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8d29dc5ab8c9b/WoW stuff/"/>
    </mc:Choice>
  </mc:AlternateContent>
  <xr:revisionPtr revIDLastSave="5271" documentId="11_897ACD46AF2B6EA5BF53B0B67F727DEDB56ACAD9" xr6:coauthVersionLast="45" xr6:coauthVersionMax="45" xr10:uidLastSave="{308E74E3-69E2-4BC6-9291-EE094889163B}"/>
  <bookViews>
    <workbookView xWindow="2950" yWindow="1570" windowWidth="29750" windowHeight="17000" xr2:uid="{00000000-000D-0000-FFFF-FFFF00000000}"/>
  </bookViews>
  <sheets>
    <sheet name="Master" sheetId="1" r:id="rId1"/>
    <sheet name="Shadowlands" sheetId="16" r:id="rId2"/>
    <sheet name="Changes" sheetId="18" r:id="rId3"/>
    <sheet name="Covenants" sheetId="20" r:id="rId4"/>
    <sheet name="Heal" sheetId="3" r:id="rId5"/>
    <sheet name="Sha Heal" sheetId="19" r:id="rId6"/>
    <sheet name="HpM" sheetId="4" r:id="rId7"/>
    <sheet name="HpT" sheetId="5" r:id="rId8"/>
    <sheet name="Mistweaver" sheetId="9" r:id="rId9"/>
    <sheet name="Vivify Anaylsis" sheetId="14" r:id="rId10"/>
    <sheet name="Innervate" sheetId="6" r:id="rId11"/>
    <sheet name="Surging vs Vivify" sheetId="12" r:id="rId12"/>
    <sheet name="Rising Mist" sheetId="13" r:id="rId13"/>
    <sheet name="MW Mana" sheetId="7" r:id="rId14"/>
    <sheet name="MW Talent T1" sheetId="8" r:id="rId15"/>
    <sheet name="Mistweaver Bis Azerite" sheetId="15" r:id="rId16"/>
    <sheet name="Mistweaver Azerite" sheetId="10" r:id="rId17"/>
    <sheet name="Way of the Crane" sheetId="11" r:id="rId18"/>
    <sheet name="Sheet2" sheetId="2" state="hidden" r:id="rId19"/>
  </sheets>
  <definedNames>
    <definedName name="_xlnm._FilterDatabase" localSheetId="6" hidden="1">HpM!$J$4:$K$14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3" i="1" l="1"/>
  <c r="I110" i="1"/>
  <c r="J107" i="1"/>
  <c r="C44" i="1"/>
  <c r="I99" i="1"/>
  <c r="Q96" i="1"/>
  <c r="H13" i="20"/>
  <c r="M9" i="20"/>
  <c r="M3" i="20"/>
  <c r="J9" i="20"/>
  <c r="I9" i="20"/>
  <c r="H9" i="20"/>
  <c r="J3" i="20"/>
  <c r="I117" i="1" l="1"/>
  <c r="I116" i="1"/>
  <c r="C62" i="16"/>
  <c r="C60" i="16"/>
  <c r="C57" i="16"/>
  <c r="F59" i="16"/>
  <c r="C59" i="16"/>
  <c r="C24" i="16"/>
  <c r="C23" i="16"/>
  <c r="C22" i="16"/>
  <c r="C18" i="16"/>
  <c r="C29" i="16"/>
  <c r="C28" i="16"/>
  <c r="C20" i="16"/>
  <c r="C26" i="16"/>
  <c r="C25" i="16"/>
  <c r="C46" i="16"/>
  <c r="C50" i="16"/>
  <c r="C53" i="16"/>
  <c r="C52" i="16"/>
  <c r="C49" i="16"/>
  <c r="C47" i="16"/>
  <c r="C48" i="16"/>
  <c r="C51" i="16"/>
  <c r="L14" i="19" l="1"/>
  <c r="L13" i="19"/>
  <c r="L12" i="19"/>
  <c r="L11" i="19"/>
  <c r="C36" i="19"/>
  <c r="C45" i="19"/>
  <c r="A36" i="19"/>
  <c r="A45" i="19"/>
  <c r="A43" i="19"/>
  <c r="A34" i="19"/>
  <c r="A28" i="19"/>
  <c r="A24" i="19"/>
  <c r="A50" i="19"/>
  <c r="A21" i="19"/>
  <c r="A14" i="19"/>
  <c r="K13" i="19" s="1"/>
  <c r="A6" i="19"/>
  <c r="K6" i="19" s="1"/>
  <c r="A10" i="19"/>
  <c r="K10" i="19" s="1"/>
  <c r="C47" i="19"/>
  <c r="C40" i="19"/>
  <c r="C37" i="19"/>
  <c r="A46" i="19"/>
  <c r="A47" i="19"/>
  <c r="A40" i="19"/>
  <c r="A31" i="19"/>
  <c r="A37" i="19"/>
  <c r="A44" i="19"/>
  <c r="A41" i="19"/>
  <c r="A48" i="19"/>
  <c r="A35" i="19"/>
  <c r="A33" i="19"/>
  <c r="A23" i="19"/>
  <c r="A17" i="19"/>
  <c r="A4" i="19"/>
  <c r="K4" i="19" s="1"/>
  <c r="A8" i="19"/>
  <c r="K8" i="19" s="1"/>
  <c r="A26" i="19"/>
  <c r="A42" i="19"/>
  <c r="A29" i="19"/>
  <c r="A25" i="19"/>
  <c r="A20" i="19"/>
  <c r="A11" i="19"/>
  <c r="A18" i="19"/>
  <c r="A7" i="19"/>
  <c r="K7" i="19" s="1"/>
  <c r="A15" i="19"/>
  <c r="K14" i="19" s="1"/>
  <c r="C22" i="19"/>
  <c r="C49" i="19"/>
  <c r="C39" i="19"/>
  <c r="C30" i="19"/>
  <c r="A22" i="19"/>
  <c r="A49" i="19"/>
  <c r="A39" i="19"/>
  <c r="A30" i="19"/>
  <c r="A38" i="19"/>
  <c r="A32" i="19"/>
  <c r="A27" i="19"/>
  <c r="A19" i="19"/>
  <c r="A16" i="19"/>
  <c r="A13" i="19"/>
  <c r="K12" i="19" s="1"/>
  <c r="A12" i="19"/>
  <c r="K11" i="19" s="1"/>
  <c r="A5" i="19"/>
  <c r="K5" i="19" s="1"/>
  <c r="A9" i="19"/>
  <c r="K9" i="19" s="1"/>
  <c r="A22" i="18" l="1"/>
  <c r="H31" i="18"/>
  <c r="G31" i="18"/>
  <c r="C31" i="18"/>
  <c r="K31" i="18" s="1"/>
  <c r="A31" i="18"/>
  <c r="H30" i="18"/>
  <c r="G30" i="18"/>
  <c r="I30" i="18" s="1"/>
  <c r="C30" i="18"/>
  <c r="E30" i="18" s="1"/>
  <c r="D30" i="18"/>
  <c r="L30" i="18" s="1"/>
  <c r="A30" i="18"/>
  <c r="H29" i="18"/>
  <c r="G29" i="18"/>
  <c r="D29" i="18"/>
  <c r="L29" i="18" s="1"/>
  <c r="C29" i="18"/>
  <c r="K29" i="18" s="1"/>
  <c r="A29" i="18"/>
  <c r="H27" i="18"/>
  <c r="G27" i="18"/>
  <c r="C27" i="18"/>
  <c r="A27" i="18"/>
  <c r="G26" i="18"/>
  <c r="D26" i="18"/>
  <c r="C26" i="18"/>
  <c r="A26" i="18"/>
  <c r="G25" i="18"/>
  <c r="D25" i="18"/>
  <c r="C25" i="18"/>
  <c r="A25" i="18"/>
  <c r="H24" i="18"/>
  <c r="G24" i="18"/>
  <c r="C24" i="18"/>
  <c r="K24" i="18" s="1"/>
  <c r="A24" i="18"/>
  <c r="G22" i="18"/>
  <c r="K22" i="18" s="1"/>
  <c r="C22" i="18"/>
  <c r="G21" i="18"/>
  <c r="C21" i="18"/>
  <c r="A21" i="18"/>
  <c r="G20" i="18"/>
  <c r="C20" i="18"/>
  <c r="A20" i="18"/>
  <c r="G19" i="18"/>
  <c r="C19" i="18"/>
  <c r="A19" i="18"/>
  <c r="G18" i="18"/>
  <c r="C18" i="18"/>
  <c r="A18" i="18"/>
  <c r="G17" i="18"/>
  <c r="C17" i="18"/>
  <c r="L36" i="18"/>
  <c r="M36" i="18" s="1"/>
  <c r="K36" i="18"/>
  <c r="I36" i="18"/>
  <c r="E36" i="18"/>
  <c r="L35" i="18"/>
  <c r="K35" i="18"/>
  <c r="M35" i="18" s="1"/>
  <c r="I35" i="18"/>
  <c r="E35" i="18"/>
  <c r="L34" i="18"/>
  <c r="M34" i="18" s="1"/>
  <c r="K34" i="18"/>
  <c r="I34" i="18"/>
  <c r="E34" i="18"/>
  <c r="M33" i="18"/>
  <c r="L33" i="18"/>
  <c r="K33" i="18"/>
  <c r="I33" i="18"/>
  <c r="E33" i="18"/>
  <c r="M32" i="18"/>
  <c r="L32" i="18"/>
  <c r="K32" i="18"/>
  <c r="I32" i="18"/>
  <c r="E32" i="18"/>
  <c r="L28" i="18"/>
  <c r="M28" i="18" s="1"/>
  <c r="K28" i="18"/>
  <c r="I28" i="18"/>
  <c r="E28" i="18"/>
  <c r="L23" i="18"/>
  <c r="M23" i="18" s="1"/>
  <c r="K23" i="18"/>
  <c r="I23" i="18"/>
  <c r="E23" i="18"/>
  <c r="A17" i="18"/>
  <c r="G15" i="18"/>
  <c r="E9" i="18"/>
  <c r="E16" i="18"/>
  <c r="I9" i="18"/>
  <c r="I16" i="18"/>
  <c r="C15" i="18"/>
  <c r="A15" i="18"/>
  <c r="G14" i="18"/>
  <c r="C14" i="18"/>
  <c r="A14" i="18"/>
  <c r="H13" i="18"/>
  <c r="G13" i="18"/>
  <c r="C13" i="18"/>
  <c r="A13" i="18"/>
  <c r="G12" i="18"/>
  <c r="C12" i="18"/>
  <c r="K12" i="18" s="1"/>
  <c r="A12" i="18"/>
  <c r="G11" i="18"/>
  <c r="C11" i="18"/>
  <c r="A11" i="18"/>
  <c r="G10" i="18"/>
  <c r="C10" i="18"/>
  <c r="A10" i="18"/>
  <c r="G8" i="18"/>
  <c r="C8" i="18"/>
  <c r="H7" i="18"/>
  <c r="G7" i="18"/>
  <c r="D7" i="18"/>
  <c r="C7" i="18"/>
  <c r="K9" i="18"/>
  <c r="L9" i="18"/>
  <c r="K16" i="18"/>
  <c r="L16" i="18"/>
  <c r="H6" i="18"/>
  <c r="G6" i="18"/>
  <c r="D6" i="18"/>
  <c r="C6" i="18"/>
  <c r="K6" i="18" s="1"/>
  <c r="M9" i="18"/>
  <c r="M16" i="18"/>
  <c r="G5" i="18"/>
  <c r="K18" i="18" l="1"/>
  <c r="K26" i="18"/>
  <c r="K13" i="18"/>
  <c r="K30" i="18"/>
  <c r="K25" i="18"/>
  <c r="I13" i="18"/>
  <c r="I29" i="18"/>
  <c r="I6" i="18"/>
  <c r="E25" i="18"/>
  <c r="I24" i="18"/>
  <c r="K17" i="18"/>
  <c r="K15" i="18"/>
  <c r="K20" i="18"/>
  <c r="E26" i="18"/>
  <c r="K14" i="18"/>
  <c r="E7" i="18"/>
  <c r="L6" i="18"/>
  <c r="M6" i="18" s="1"/>
  <c r="E29" i="18"/>
  <c r="L7" i="18"/>
  <c r="E6" i="18"/>
  <c r="I7" i="18"/>
  <c r="I31" i="18"/>
  <c r="M30" i="18"/>
  <c r="M29" i="18"/>
  <c r="I27" i="18"/>
  <c r="K27" i="18"/>
  <c r="K21" i="18"/>
  <c r="I21" i="18"/>
  <c r="I19" i="18"/>
  <c r="K19" i="18"/>
  <c r="K11" i="18"/>
  <c r="K10" i="18"/>
  <c r="K8" i="18"/>
  <c r="K7" i="18"/>
  <c r="D5" i="18"/>
  <c r="C5" i="18"/>
  <c r="K5" i="18" s="1"/>
  <c r="F48" i="1"/>
  <c r="G71" i="16"/>
  <c r="D71" i="16"/>
  <c r="C71" i="16"/>
  <c r="C24" i="19" s="1"/>
  <c r="C81" i="16"/>
  <c r="F83" i="16"/>
  <c r="C83" i="16"/>
  <c r="G86" i="16"/>
  <c r="H26" i="18"/>
  <c r="L26" i="18" s="1"/>
  <c r="M26" i="18" s="1"/>
  <c r="F50" i="16"/>
  <c r="H21" i="18" s="1"/>
  <c r="F49" i="16"/>
  <c r="H20" i="18" s="1"/>
  <c r="I20" i="18" s="1"/>
  <c r="F47" i="16"/>
  <c r="H18" i="18" s="1"/>
  <c r="I18" i="18" s="1"/>
  <c r="F48" i="16"/>
  <c r="H19" i="18" s="1"/>
  <c r="F51" i="16"/>
  <c r="H22" i="18" s="1"/>
  <c r="I22" i="18" s="1"/>
  <c r="F46" i="16"/>
  <c r="H17" i="18" s="1"/>
  <c r="I17" i="18" s="1"/>
  <c r="F34" i="16"/>
  <c r="H10" i="18" s="1"/>
  <c r="I10" i="18" s="1"/>
  <c r="C34" i="16"/>
  <c r="C42" i="16"/>
  <c r="C15" i="19" s="1"/>
  <c r="M14" i="19" s="1"/>
  <c r="C41" i="16"/>
  <c r="C39" i="16"/>
  <c r="C37" i="16"/>
  <c r="C25" i="19" s="1"/>
  <c r="F36" i="16"/>
  <c r="H11" i="18" s="1"/>
  <c r="I11" i="18" s="1"/>
  <c r="C36" i="16"/>
  <c r="F40" i="16"/>
  <c r="H14" i="18" s="1"/>
  <c r="I14" i="18" s="1"/>
  <c r="C40" i="16"/>
  <c r="F38" i="16"/>
  <c r="H12" i="18" s="1"/>
  <c r="I12" i="18" s="1"/>
  <c r="C38" i="16"/>
  <c r="C30" i="16"/>
  <c r="G19" i="16"/>
  <c r="F24" i="16"/>
  <c r="F23" i="16"/>
  <c r="H8" i="18" s="1"/>
  <c r="I8" i="18" s="1"/>
  <c r="D19" i="16"/>
  <c r="B102" i="16"/>
  <c r="B101" i="16"/>
  <c r="B100" i="16"/>
  <c r="B99" i="16"/>
  <c r="B98" i="16"/>
  <c r="B97" i="16"/>
  <c r="B96" i="16"/>
  <c r="B95" i="16"/>
  <c r="B94" i="16"/>
  <c r="B93" i="16"/>
  <c r="C92" i="16"/>
  <c r="I87" i="16"/>
  <c r="F87" i="16"/>
  <c r="C87" i="16"/>
  <c r="J87" i="16" s="1"/>
  <c r="F85" i="16"/>
  <c r="C85" i="16"/>
  <c r="C84" i="16"/>
  <c r="G84" i="16" s="1"/>
  <c r="I82" i="16"/>
  <c r="F82" i="16"/>
  <c r="C82" i="16"/>
  <c r="D82" i="16" s="1"/>
  <c r="I81" i="16"/>
  <c r="F81" i="16"/>
  <c r="C80" i="16"/>
  <c r="G80" i="16" s="1"/>
  <c r="P76" i="16"/>
  <c r="F76" i="16"/>
  <c r="C76" i="16"/>
  <c r="C10" i="19" s="1"/>
  <c r="M10" i="19" s="1"/>
  <c r="P75" i="16"/>
  <c r="F75" i="16"/>
  <c r="C75" i="16"/>
  <c r="F74" i="16"/>
  <c r="C74" i="16"/>
  <c r="C14" i="19" s="1"/>
  <c r="M13" i="19" s="1"/>
  <c r="F73" i="16"/>
  <c r="C73" i="16"/>
  <c r="F72" i="16"/>
  <c r="C72" i="16"/>
  <c r="C70" i="16"/>
  <c r="F69" i="16"/>
  <c r="C69" i="16"/>
  <c r="C34" i="19" s="1"/>
  <c r="C68" i="16"/>
  <c r="G67" i="16"/>
  <c r="D67" i="16"/>
  <c r="G66" i="16"/>
  <c r="D66" i="16"/>
  <c r="F62" i="16"/>
  <c r="F58" i="16"/>
  <c r="H25" i="18" s="1"/>
  <c r="L25" i="18" s="1"/>
  <c r="D58" i="16"/>
  <c r="G57" i="16"/>
  <c r="P53" i="16"/>
  <c r="F53" i="16"/>
  <c r="P52" i="16"/>
  <c r="F52" i="16"/>
  <c r="I51" i="16"/>
  <c r="D50" i="16"/>
  <c r="P42" i="16"/>
  <c r="F42" i="16"/>
  <c r="J42" i="16"/>
  <c r="P41" i="16"/>
  <c r="F41" i="16"/>
  <c r="H15" i="18" s="1"/>
  <c r="I15" i="18" s="1"/>
  <c r="G41" i="16"/>
  <c r="F39" i="16"/>
  <c r="J39" i="16"/>
  <c r="D36" i="16"/>
  <c r="I35" i="16"/>
  <c r="F35" i="16"/>
  <c r="C35" i="16"/>
  <c r="G34" i="16"/>
  <c r="P29" i="16"/>
  <c r="C5" i="19"/>
  <c r="M5" i="19" s="1"/>
  <c r="P28" i="16"/>
  <c r="P27" i="16"/>
  <c r="C27" i="16"/>
  <c r="C16" i="19"/>
  <c r="C38" i="19"/>
  <c r="J21" i="16"/>
  <c r="G21" i="16"/>
  <c r="D21" i="16"/>
  <c r="J20" i="16"/>
  <c r="G20" i="16"/>
  <c r="D20" i="16"/>
  <c r="F18" i="16"/>
  <c r="D18" i="16"/>
  <c r="G9" i="16"/>
  <c r="G8" i="16"/>
  <c r="M7" i="16"/>
  <c r="M8" i="16" s="1"/>
  <c r="P59" i="16" s="1"/>
  <c r="G7" i="16"/>
  <c r="I7" i="16" s="1"/>
  <c r="I6" i="16"/>
  <c r="B7" i="9"/>
  <c r="M25" i="18" l="1"/>
  <c r="M7" i="18"/>
  <c r="G38" i="16"/>
  <c r="G23" i="16"/>
  <c r="C32" i="19"/>
  <c r="D8" i="18"/>
  <c r="D52" i="16"/>
  <c r="C4" i="19"/>
  <c r="M4" i="19" s="1"/>
  <c r="C29" i="19"/>
  <c r="D11" i="18"/>
  <c r="D68" i="16"/>
  <c r="C43" i="19"/>
  <c r="D53" i="16"/>
  <c r="C8" i="19"/>
  <c r="M8" i="19" s="1"/>
  <c r="G72" i="16"/>
  <c r="C50" i="19"/>
  <c r="G82" i="16"/>
  <c r="C11" i="19"/>
  <c r="D13" i="18"/>
  <c r="C46" i="19"/>
  <c r="D24" i="18"/>
  <c r="I25" i="18"/>
  <c r="D40" i="16"/>
  <c r="C18" i="19"/>
  <c r="D14" i="18"/>
  <c r="G25" i="16"/>
  <c r="C19" i="19"/>
  <c r="J27" i="16"/>
  <c r="C13" i="19"/>
  <c r="M12" i="19" s="1"/>
  <c r="C7" i="19"/>
  <c r="M7" i="19" s="1"/>
  <c r="D15" i="18"/>
  <c r="D51" i="16"/>
  <c r="C17" i="19"/>
  <c r="D22" i="18"/>
  <c r="D70" i="16"/>
  <c r="C28" i="19"/>
  <c r="D31" i="18"/>
  <c r="J73" i="16"/>
  <c r="C21" i="19"/>
  <c r="I26" i="18"/>
  <c r="G28" i="16"/>
  <c r="C12" i="19"/>
  <c r="M11" i="19" s="1"/>
  <c r="C26" i="19"/>
  <c r="D10" i="18"/>
  <c r="C31" i="19"/>
  <c r="D27" i="18"/>
  <c r="D24" i="16"/>
  <c r="C27" i="19"/>
  <c r="G18" i="16"/>
  <c r="H5" i="18"/>
  <c r="I5" i="18" s="1"/>
  <c r="G40" i="16"/>
  <c r="J46" i="16"/>
  <c r="C41" i="19"/>
  <c r="D17" i="18"/>
  <c r="D62" i="16"/>
  <c r="C44" i="19"/>
  <c r="D75" i="16"/>
  <c r="C6" i="19"/>
  <c r="M6" i="19" s="1"/>
  <c r="D47" i="16"/>
  <c r="C48" i="19"/>
  <c r="D18" i="18"/>
  <c r="J35" i="16"/>
  <c r="C42" i="19"/>
  <c r="C9" i="19"/>
  <c r="M9" i="19" s="1"/>
  <c r="C23" i="19"/>
  <c r="D21" i="18"/>
  <c r="J48" i="16"/>
  <c r="C35" i="19"/>
  <c r="D19" i="18"/>
  <c r="D49" i="16"/>
  <c r="C33" i="19"/>
  <c r="D20" i="18"/>
  <c r="C20" i="19"/>
  <c r="D12" i="18"/>
  <c r="E5" i="18"/>
  <c r="L5" i="18"/>
  <c r="M5" i="18" s="1"/>
  <c r="D83" i="16"/>
  <c r="G83" i="16"/>
  <c r="G76" i="16"/>
  <c r="D30" i="16"/>
  <c r="D23" i="16"/>
  <c r="G30" i="16"/>
  <c r="G75" i="16"/>
  <c r="I8" i="16"/>
  <c r="G58" i="16"/>
  <c r="D46" i="16"/>
  <c r="G70" i="16"/>
  <c r="I9" i="16"/>
  <c r="J40" i="16"/>
  <c r="D80" i="16"/>
  <c r="D76" i="16"/>
  <c r="D34" i="16"/>
  <c r="D37" i="16" s="1"/>
  <c r="J47" i="16"/>
  <c r="G52" i="16"/>
  <c r="D72" i="16"/>
  <c r="D41" i="16"/>
  <c r="G62" i="16"/>
  <c r="D25" i="16"/>
  <c r="J41" i="16"/>
  <c r="G53" i="16"/>
  <c r="J81" i="16"/>
  <c r="G49" i="16"/>
  <c r="G74" i="16"/>
  <c r="D38" i="16"/>
  <c r="G68" i="16"/>
  <c r="J74" i="16"/>
  <c r="G47" i="16"/>
  <c r="D28" i="16"/>
  <c r="G50" i="16"/>
  <c r="J68" i="16"/>
  <c r="J50" i="16"/>
  <c r="D84" i="16"/>
  <c r="D86" i="16" s="1"/>
  <c r="G46" i="16"/>
  <c r="I38" i="16"/>
  <c r="J38" i="16" s="1"/>
  <c r="D35" i="16"/>
  <c r="I75" i="16"/>
  <c r="J75" i="16" s="1"/>
  <c r="D59" i="16"/>
  <c r="G36" i="16"/>
  <c r="I57" i="16"/>
  <c r="J57" i="16" s="1"/>
  <c r="I76" i="16"/>
  <c r="J76" i="16" s="1"/>
  <c r="D27" i="16"/>
  <c r="D60" i="16"/>
  <c r="D74" i="16"/>
  <c r="D87" i="16"/>
  <c r="G35" i="16"/>
  <c r="G27" i="16"/>
  <c r="P57" i="16"/>
  <c r="I25" i="16"/>
  <c r="J25" i="16" s="1"/>
  <c r="D81" i="16"/>
  <c r="D48" i="16"/>
  <c r="M9" i="16"/>
  <c r="G24" i="16"/>
  <c r="I52" i="16"/>
  <c r="J52" i="16" s="1"/>
  <c r="G60" i="16"/>
  <c r="I70" i="16"/>
  <c r="J70" i="16" s="1"/>
  <c r="J82" i="16"/>
  <c r="G87" i="16"/>
  <c r="G22" i="16"/>
  <c r="I60" i="16"/>
  <c r="J60" i="16" s="1"/>
  <c r="P82" i="16"/>
  <c r="I34" i="16"/>
  <c r="J34" i="16" s="1"/>
  <c r="I80" i="16"/>
  <c r="J80" i="16" s="1"/>
  <c r="D22" i="16"/>
  <c r="D69" i="16"/>
  <c r="D42" i="16"/>
  <c r="G69" i="16"/>
  <c r="G81" i="16"/>
  <c r="D85" i="16"/>
  <c r="D26" i="16"/>
  <c r="D29" i="16"/>
  <c r="G39" i="16"/>
  <c r="G42" i="16"/>
  <c r="G48" i="16"/>
  <c r="G51" i="16"/>
  <c r="G59" i="16"/>
  <c r="I69" i="16"/>
  <c r="J69" i="16" s="1"/>
  <c r="D73" i="16"/>
  <c r="D39" i="16"/>
  <c r="G26" i="16"/>
  <c r="I59" i="16"/>
  <c r="J59" i="16" s="1"/>
  <c r="I26" i="16"/>
  <c r="J26" i="16" s="1"/>
  <c r="J51" i="16"/>
  <c r="D57" i="16"/>
  <c r="I66" i="16"/>
  <c r="J66" i="16" s="1"/>
  <c r="P69" i="16"/>
  <c r="G73" i="16"/>
  <c r="I53" i="16"/>
  <c r="J53" i="16" s="1"/>
  <c r="G29" i="16"/>
  <c r="G85" i="16"/>
  <c r="I18" i="16"/>
  <c r="J18" i="16" s="1"/>
  <c r="D8" i="14"/>
  <c r="D10" i="14"/>
  <c r="D11" i="14"/>
  <c r="C3" i="14"/>
  <c r="G6" i="14"/>
  <c r="C7" i="14"/>
  <c r="D7" i="14" s="1"/>
  <c r="C8" i="14"/>
  <c r="C9" i="14"/>
  <c r="D9" i="14" s="1"/>
  <c r="C10" i="14"/>
  <c r="C11" i="14"/>
  <c r="C12" i="14"/>
  <c r="D12" i="14" s="1"/>
  <c r="C13" i="14"/>
  <c r="D13" i="14" s="1"/>
  <c r="C6" i="14"/>
  <c r="D6" i="14" s="1"/>
  <c r="B13" i="14"/>
  <c r="B12" i="14"/>
  <c r="B11" i="14"/>
  <c r="B10" i="14"/>
  <c r="B9" i="14"/>
  <c r="B8" i="14"/>
  <c r="B7" i="14"/>
  <c r="B6" i="14"/>
  <c r="E18" i="18" l="1"/>
  <c r="L18" i="18"/>
  <c r="M18" i="18" s="1"/>
  <c r="E12" i="18"/>
  <c r="L12" i="18"/>
  <c r="M12" i="18" s="1"/>
  <c r="E10" i="18"/>
  <c r="L10" i="18"/>
  <c r="M10" i="18" s="1"/>
  <c r="I72" i="16"/>
  <c r="I83" i="16"/>
  <c r="J83" i="16" s="1"/>
  <c r="I86" i="16"/>
  <c r="J86" i="16" s="1"/>
  <c r="I30" i="16"/>
  <c r="J30" i="16" s="1"/>
  <c r="I61" i="16"/>
  <c r="J61" i="16" s="1"/>
  <c r="I37" i="16"/>
  <c r="J37" i="16" s="1"/>
  <c r="I71" i="16"/>
  <c r="J71" i="16" s="1"/>
  <c r="I19" i="16"/>
  <c r="J19" i="16" s="1"/>
  <c r="E20" i="18"/>
  <c r="L20" i="18"/>
  <c r="M20" i="18" s="1"/>
  <c r="E14" i="18"/>
  <c r="L14" i="18"/>
  <c r="M14" i="18" s="1"/>
  <c r="E11" i="18"/>
  <c r="L11" i="18"/>
  <c r="M11" i="18" s="1"/>
  <c r="E19" i="18"/>
  <c r="L19" i="18"/>
  <c r="M19" i="18" s="1"/>
  <c r="E17" i="18"/>
  <c r="L17" i="18"/>
  <c r="M17" i="18" s="1"/>
  <c r="L31" i="18"/>
  <c r="M31" i="18" s="1"/>
  <c r="E31" i="18"/>
  <c r="L27" i="18"/>
  <c r="M27" i="18" s="1"/>
  <c r="E27" i="18"/>
  <c r="L21" i="18"/>
  <c r="M21" i="18" s="1"/>
  <c r="E21" i="18"/>
  <c r="E24" i="18"/>
  <c r="L24" i="18"/>
  <c r="M24" i="18" s="1"/>
  <c r="E8" i="18"/>
  <c r="L8" i="18"/>
  <c r="M8" i="18" s="1"/>
  <c r="L22" i="18"/>
  <c r="M22" i="18" s="1"/>
  <c r="E22" i="18"/>
  <c r="E13" i="18"/>
  <c r="L13" i="18"/>
  <c r="M13" i="18" s="1"/>
  <c r="L15" i="18"/>
  <c r="M15" i="18" s="1"/>
  <c r="E15" i="18"/>
  <c r="I23" i="16"/>
  <c r="J23" i="16" s="1"/>
  <c r="J72" i="16"/>
  <c r="I84" i="16"/>
  <c r="J84" i="16" s="1"/>
  <c r="I85" i="16"/>
  <c r="J85" i="16" s="1"/>
  <c r="I29" i="16"/>
  <c r="J29" i="16" s="1"/>
  <c r="I58" i="16"/>
  <c r="J58" i="16" s="1"/>
  <c r="I28" i="16"/>
  <c r="J28" i="16" s="1"/>
  <c r="I24" i="16"/>
  <c r="J24" i="16" s="1"/>
  <c r="I67" i="16"/>
  <c r="J67" i="16" s="1"/>
  <c r="I49" i="16"/>
  <c r="J49" i="16" s="1"/>
  <c r="I62" i="16"/>
  <c r="J62" i="16" s="1"/>
  <c r="I36" i="16"/>
  <c r="J36" i="16" s="1"/>
  <c r="I22" i="16"/>
  <c r="J22" i="16" s="1"/>
  <c r="C28" i="1"/>
  <c r="C27" i="1"/>
  <c r="C23" i="1"/>
  <c r="C22" i="1"/>
  <c r="C21" i="1"/>
  <c r="M3" i="13" l="1"/>
  <c r="M6" i="13" s="1"/>
  <c r="M9" i="13" s="1"/>
  <c r="J4" i="13"/>
  <c r="G10" i="13"/>
  <c r="G11" i="13"/>
  <c r="C11" i="13"/>
  <c r="G3" i="13"/>
  <c r="E10" i="13"/>
  <c r="E11" i="13" s="1"/>
  <c r="F10" i="13"/>
  <c r="F11" i="13" s="1"/>
  <c r="H10" i="13"/>
  <c r="H11" i="13" s="1"/>
  <c r="D10" i="13"/>
  <c r="D11" i="13" s="1"/>
  <c r="I17" i="12" l="1"/>
  <c r="I11" i="12"/>
  <c r="G18" i="12"/>
  <c r="D19" i="12"/>
  <c r="M6" i="12"/>
  <c r="K6" i="12"/>
  <c r="I6" i="12"/>
  <c r="E5" i="12"/>
  <c r="D5" i="12"/>
  <c r="C33" i="1" l="1"/>
  <c r="C36" i="1"/>
  <c r="F34" i="1"/>
  <c r="F32" i="1"/>
  <c r="C34" i="1"/>
  <c r="C32" i="1"/>
  <c r="D50" i="11" l="1"/>
  <c r="S47" i="11"/>
  <c r="R47" i="11"/>
  <c r="Q47" i="11"/>
  <c r="L25" i="11"/>
  <c r="D27" i="11"/>
  <c r="S24" i="11"/>
  <c r="R24" i="11"/>
  <c r="Q24" i="11"/>
  <c r="P24" i="11"/>
  <c r="G7" i="1"/>
  <c r="H17" i="20" s="1"/>
  <c r="K3" i="11"/>
  <c r="K4" i="11" s="1"/>
  <c r="K5" i="11" s="1"/>
  <c r="K6" i="11" s="1"/>
  <c r="F15" i="11" s="1"/>
  <c r="N3" i="11"/>
  <c r="N4" i="11" s="1"/>
  <c r="N5" i="11" s="1"/>
  <c r="N6" i="11" s="1"/>
  <c r="H3" i="11"/>
  <c r="H4" i="11" s="1"/>
  <c r="H5" i="11" s="1"/>
  <c r="H6" i="11" s="1"/>
  <c r="P47" i="11" s="1"/>
  <c r="E3" i="11"/>
  <c r="E4" i="11" s="1"/>
  <c r="E5" i="11" s="1"/>
  <c r="E6" i="11" s="1"/>
  <c r="K25" i="11" s="1"/>
  <c r="N2" i="11"/>
  <c r="D38" i="11"/>
  <c r="D12" i="9"/>
  <c r="A11" i="11"/>
  <c r="A10" i="11"/>
  <c r="P48" i="11" l="1"/>
  <c r="Q14" i="11"/>
  <c r="M25" i="11"/>
  <c r="I15" i="11"/>
  <c r="E14" i="11"/>
  <c r="J15" i="11"/>
  <c r="K15" i="11"/>
  <c r="G15" i="11"/>
  <c r="N24" i="11"/>
  <c r="S14" i="11"/>
  <c r="L35" i="11"/>
  <c r="L36" i="11" s="1"/>
  <c r="H24" i="11"/>
  <c r="R14" i="11"/>
  <c r="F14" i="11"/>
  <c r="G14" i="11"/>
  <c r="L15" i="11"/>
  <c r="I14" i="11"/>
  <c r="N15" i="11"/>
  <c r="K14" i="11"/>
  <c r="K24" i="11" s="1"/>
  <c r="J35" i="11"/>
  <c r="O15" i="11"/>
  <c r="J14" i="11"/>
  <c r="G24" i="11"/>
  <c r="G35" i="11" s="1"/>
  <c r="O14" i="11"/>
  <c r="I24" i="11"/>
  <c r="H25" i="11"/>
  <c r="L14" i="11"/>
  <c r="L24" i="11" s="1"/>
  <c r="J24" i="11"/>
  <c r="H35" i="11" s="1"/>
  <c r="H36" i="11" s="1"/>
  <c r="I25" i="11"/>
  <c r="F47" i="11"/>
  <c r="F48" i="11" s="1"/>
  <c r="H15" i="11"/>
  <c r="H14" i="11"/>
  <c r="M15" i="11"/>
  <c r="E24" i="11"/>
  <c r="F24" i="11"/>
  <c r="F35" i="11" s="1"/>
  <c r="F36" i="11" s="1"/>
  <c r="E25" i="11"/>
  <c r="M14" i="11"/>
  <c r="M24" i="11" s="1"/>
  <c r="N35" i="11" s="1"/>
  <c r="N36" i="11" s="1"/>
  <c r="F25" i="11"/>
  <c r="N14" i="11"/>
  <c r="G25" i="11"/>
  <c r="P14" i="11"/>
  <c r="O24" i="11" s="1"/>
  <c r="O25" i="11" s="1"/>
  <c r="E15" i="11"/>
  <c r="J25" i="11"/>
  <c r="J47" i="11"/>
  <c r="A11" i="10"/>
  <c r="A10" i="10"/>
  <c r="A6" i="10"/>
  <c r="A9" i="10" s="1"/>
  <c r="F4" i="10"/>
  <c r="F10" i="10" s="1"/>
  <c r="C27" i="3"/>
  <c r="A27" i="3"/>
  <c r="D36" i="1"/>
  <c r="D34" i="1"/>
  <c r="D33" i="1"/>
  <c r="D32" i="1"/>
  <c r="F36" i="1"/>
  <c r="F35" i="1"/>
  <c r="D63" i="1"/>
  <c r="D62" i="1"/>
  <c r="I80" i="1"/>
  <c r="I76" i="1"/>
  <c r="C78" i="1"/>
  <c r="D78" i="1" s="1"/>
  <c r="C58" i="1"/>
  <c r="D58" i="1" s="1"/>
  <c r="C56" i="1"/>
  <c r="D56" i="1" s="1"/>
  <c r="F56" i="1"/>
  <c r="C54" i="1"/>
  <c r="D54" i="1" s="1"/>
  <c r="F55" i="1"/>
  <c r="C55" i="1"/>
  <c r="D55" i="1"/>
  <c r="D49" i="1"/>
  <c r="D48" i="1"/>
  <c r="D28" i="1"/>
  <c r="D27" i="1"/>
  <c r="D23" i="1"/>
  <c r="D22" i="1"/>
  <c r="D21" i="1"/>
  <c r="D20" i="1"/>
  <c r="D19" i="1"/>
  <c r="D18" i="1"/>
  <c r="F47" i="1"/>
  <c r="C50" i="1"/>
  <c r="D50" i="1" s="1"/>
  <c r="C49" i="1"/>
  <c r="D44" i="1"/>
  <c r="F44" i="1"/>
  <c r="F43" i="1"/>
  <c r="F45" i="1"/>
  <c r="F50" i="1"/>
  <c r="C48" i="1"/>
  <c r="D15" i="11" l="1"/>
  <c r="M35" i="11"/>
  <c r="M36" i="11" s="1"/>
  <c r="N25" i="11"/>
  <c r="D14" i="11"/>
  <c r="D25" i="11"/>
  <c r="H47" i="11"/>
  <c r="K35" i="11"/>
  <c r="K36" i="11" s="1"/>
  <c r="J36" i="11"/>
  <c r="D24" i="11"/>
  <c r="E35" i="11"/>
  <c r="J48" i="11"/>
  <c r="M47" i="11"/>
  <c r="M48" i="11" s="1"/>
  <c r="O35" i="11"/>
  <c r="O36" i="11" s="1"/>
  <c r="I35" i="11"/>
  <c r="I36" i="11" s="1"/>
  <c r="A7" i="10"/>
  <c r="A8" i="10"/>
  <c r="G36" i="11"/>
  <c r="G47" i="11"/>
  <c r="G48" i="11" s="1"/>
  <c r="F8" i="10"/>
  <c r="F9" i="10"/>
  <c r="G9" i="10" s="1"/>
  <c r="F7" i="10"/>
  <c r="F11" i="10" s="1"/>
  <c r="G11" i="10" s="1"/>
  <c r="K12" i="10"/>
  <c r="D17" i="11"/>
  <c r="G10" i="10"/>
  <c r="J8" i="10"/>
  <c r="K8" i="10" s="1"/>
  <c r="J10" i="10"/>
  <c r="K10" i="10" s="1"/>
  <c r="J11" i="10"/>
  <c r="K11" i="10" s="1"/>
  <c r="J9" i="10"/>
  <c r="K9" i="10" s="1"/>
  <c r="G7" i="10" l="1"/>
  <c r="E47" i="11"/>
  <c r="D35" i="11"/>
  <c r="E36" i="11"/>
  <c r="D36" i="11" s="1"/>
  <c r="H48" i="11"/>
  <c r="L47" i="11"/>
  <c r="G8" i="10"/>
  <c r="L11" i="10"/>
  <c r="C66" i="1"/>
  <c r="D66" i="1" s="1"/>
  <c r="O47" i="11" l="1"/>
  <c r="O48" i="11" s="1"/>
  <c r="L48" i="11"/>
  <c r="I47" i="11"/>
  <c r="I48" i="11" s="1"/>
  <c r="E48" i="11"/>
  <c r="K47" i="11"/>
  <c r="M6" i="9"/>
  <c r="K48" i="11" l="1"/>
  <c r="N47" i="11"/>
  <c r="B10" i="9"/>
  <c r="B9" i="9"/>
  <c r="B8" i="9"/>
  <c r="E7" i="9"/>
  <c r="O23" i="9" s="1"/>
  <c r="I6" i="9"/>
  <c r="Q16" i="9"/>
  <c r="O16" i="9"/>
  <c r="M16" i="9"/>
  <c r="K16" i="9"/>
  <c r="K6" i="9"/>
  <c r="N48" i="11" l="1"/>
  <c r="D48" i="11" s="1"/>
  <c r="D47" i="11"/>
  <c r="C10" i="9"/>
  <c r="D10" i="9" s="1"/>
  <c r="C9" i="9"/>
  <c r="D9" i="9" s="1"/>
  <c r="C8" i="9"/>
  <c r="D8" i="9" s="1"/>
  <c r="B37" i="9" l="1"/>
  <c r="Q8" i="9"/>
  <c r="R7" i="10"/>
  <c r="R10" i="10" s="1"/>
  <c r="S5" i="10"/>
  <c r="B5" i="10"/>
  <c r="D9" i="10" s="1"/>
  <c r="D7" i="10" l="1"/>
  <c r="D10" i="10"/>
  <c r="D11" i="10"/>
  <c r="D8" i="10"/>
  <c r="U10" i="10"/>
  <c r="U7" i="10"/>
  <c r="R12" i="10"/>
  <c r="U12" i="10" s="1"/>
  <c r="R8" i="10"/>
  <c r="U8" i="10" s="1"/>
  <c r="R11" i="10"/>
  <c r="U11" i="10" s="1"/>
  <c r="R13" i="10"/>
  <c r="U13" i="10" s="1"/>
  <c r="R9" i="10"/>
  <c r="U9" i="10" s="1"/>
  <c r="C26" i="8"/>
  <c r="D26" i="8"/>
  <c r="M7" i="1"/>
  <c r="I6" i="1"/>
  <c r="I7" i="1"/>
  <c r="G8" i="1"/>
  <c r="G9" i="1"/>
  <c r="K49" i="9"/>
  <c r="M49" i="9" s="1"/>
  <c r="O49" i="9"/>
  <c r="Q49" i="9"/>
  <c r="I39" i="9"/>
  <c r="K39" i="9"/>
  <c r="M39" i="9"/>
  <c r="Q40" i="9"/>
  <c r="Q42" i="9" s="1"/>
  <c r="Q46" i="9" s="1"/>
  <c r="Q41" i="9"/>
  <c r="O32" i="9"/>
  <c r="O22" i="9"/>
  <c r="Q22" i="9"/>
  <c r="I8" i="1" l="1"/>
  <c r="E12" i="9"/>
  <c r="I11" i="9" s="1"/>
  <c r="M8" i="9"/>
  <c r="M9" i="9" s="1"/>
  <c r="M10" i="9" s="1"/>
  <c r="K8" i="9"/>
  <c r="K9" i="9" s="1"/>
  <c r="K10" i="9" s="1"/>
  <c r="I9" i="1"/>
  <c r="I24" i="9"/>
  <c r="O8" i="9"/>
  <c r="O25" i="9"/>
  <c r="O26" i="9" s="1"/>
  <c r="O29" i="9" s="1"/>
  <c r="I40" i="9"/>
  <c r="I42" i="9" s="1"/>
  <c r="Q50" i="9"/>
  <c r="M24" i="9"/>
  <c r="M22" i="9" s="1"/>
  <c r="M23" i="9" s="1"/>
  <c r="M25" i="9" s="1"/>
  <c r="M26" i="9" s="1"/>
  <c r="M29" i="9" s="1"/>
  <c r="M30" i="9" s="1"/>
  <c r="I8" i="9"/>
  <c r="O24" i="9"/>
  <c r="Q24" i="9"/>
  <c r="Q43" i="9"/>
  <c r="C47" i="1"/>
  <c r="D47" i="1" s="1"/>
  <c r="C64" i="1"/>
  <c r="D64" i="1" s="1"/>
  <c r="C35" i="1"/>
  <c r="D35" i="1" s="1"/>
  <c r="I41" i="9" l="1"/>
  <c r="M40" i="9"/>
  <c r="M7" i="9"/>
  <c r="E10" i="9"/>
  <c r="I23" i="9"/>
  <c r="I25" i="9" s="1"/>
  <c r="Q23" i="9"/>
  <c r="I7" i="9"/>
  <c r="E9" i="9"/>
  <c r="K7" i="9"/>
  <c r="O33" i="9"/>
  <c r="O30" i="9"/>
  <c r="K41" i="9"/>
  <c r="K42" i="9" s="1"/>
  <c r="K43" i="9" s="1"/>
  <c r="M41" i="9"/>
  <c r="M42" i="9" s="1"/>
  <c r="M43" i="9" s="1"/>
  <c r="I43" i="9"/>
  <c r="K40" i="9"/>
  <c r="J7" i="8"/>
  <c r="J6" i="8"/>
  <c r="J3" i="8"/>
  <c r="J4" i="8"/>
  <c r="C27" i="8"/>
  <c r="D27" i="8"/>
  <c r="Q26" i="9" l="1"/>
  <c r="Q25" i="9"/>
  <c r="Q29" i="9" s="1"/>
  <c r="I26" i="9"/>
  <c r="O11" i="9"/>
  <c r="O44" i="9"/>
  <c r="I27" i="9"/>
  <c r="I44" i="9" s="1"/>
  <c r="K11" i="9"/>
  <c r="K13" i="9" s="1"/>
  <c r="M11" i="9"/>
  <c r="M13" i="9" s="1"/>
  <c r="I10" i="9"/>
  <c r="I9" i="9"/>
  <c r="I13" i="9" s="1"/>
  <c r="C28" i="8"/>
  <c r="D3" i="8"/>
  <c r="D11" i="8" s="1"/>
  <c r="C13" i="8" s="1"/>
  <c r="M8" i="1"/>
  <c r="B43" i="11" s="1"/>
  <c r="B20" i="11" l="1"/>
  <c r="B30" i="11"/>
  <c r="P65" i="1"/>
  <c r="B10" i="11"/>
  <c r="F8" i="11" s="1"/>
  <c r="I50" i="1"/>
  <c r="I49" i="1"/>
  <c r="I14" i="9"/>
  <c r="M14" i="9"/>
  <c r="M17" i="9"/>
  <c r="Q33" i="9"/>
  <c r="Q30" i="9"/>
  <c r="K17" i="9"/>
  <c r="K14" i="9"/>
  <c r="I29" i="9"/>
  <c r="M44" i="9"/>
  <c r="M46" i="9" s="1"/>
  <c r="K44" i="9"/>
  <c r="K46" i="9" s="1"/>
  <c r="I46" i="9"/>
  <c r="A6" i="8"/>
  <c r="A9" i="7"/>
  <c r="C6" i="8"/>
  <c r="I30" i="9" l="1"/>
  <c r="I33" i="9"/>
  <c r="K50" i="9"/>
  <c r="K47" i="9"/>
  <c r="M47" i="9"/>
  <c r="M50" i="9"/>
  <c r="I50" i="9"/>
  <c r="I47" i="9"/>
  <c r="T10" i="7"/>
  <c r="U10" i="7" s="1"/>
  <c r="T9" i="7"/>
  <c r="U9" i="7" s="1"/>
  <c r="T8" i="7"/>
  <c r="U8" i="7" s="1"/>
  <c r="T7" i="7"/>
  <c r="U7" i="7" s="1"/>
  <c r="T6" i="7"/>
  <c r="U6" i="7" s="1"/>
  <c r="N7" i="7"/>
  <c r="M7" i="7"/>
  <c r="L7" i="7"/>
  <c r="G6" i="7"/>
  <c r="G7" i="7" s="1"/>
  <c r="F6" i="7"/>
  <c r="F24" i="7" s="1"/>
  <c r="G5" i="7"/>
  <c r="J23" i="6"/>
  <c r="F23" i="6"/>
  <c r="F77" i="1"/>
  <c r="M8" i="6"/>
  <c r="G8" i="6"/>
  <c r="E8" i="6"/>
  <c r="J8" i="6" s="1"/>
  <c r="G7" i="6"/>
  <c r="B3" i="6"/>
  <c r="A3" i="6"/>
  <c r="A4" i="6"/>
  <c r="F11" i="7" l="1"/>
  <c r="F12" i="7"/>
  <c r="F13" i="7"/>
  <c r="F17" i="7"/>
  <c r="F25" i="7"/>
  <c r="F18" i="7"/>
  <c r="F19" i="7"/>
  <c r="F20" i="7"/>
  <c r="F10" i="7"/>
  <c r="F21" i="7"/>
  <c r="F14" i="7"/>
  <c r="F22" i="7"/>
  <c r="F15" i="7"/>
  <c r="F23" i="7"/>
  <c r="F7" i="7"/>
  <c r="F16" i="7"/>
  <c r="L8" i="6"/>
  <c r="K8" i="6"/>
  <c r="F8" i="6"/>
  <c r="H8" i="6"/>
  <c r="I8" i="6"/>
  <c r="B94" i="1"/>
  <c r="B92" i="1"/>
  <c r="B90" i="1"/>
  <c r="B88" i="1"/>
  <c r="B86" i="1"/>
  <c r="B95" i="1"/>
  <c r="B93" i="1"/>
  <c r="B91" i="1"/>
  <c r="B89" i="1"/>
  <c r="B87" i="1"/>
  <c r="C85" i="1"/>
  <c r="O6" i="9"/>
  <c r="O7" i="9" s="1"/>
  <c r="D8" i="6" l="1"/>
  <c r="O10" i="9"/>
  <c r="O9" i="9"/>
  <c r="O13" i="9" s="1"/>
  <c r="E7" i="6"/>
  <c r="F5" i="7"/>
  <c r="G24" i="7"/>
  <c r="H24" i="7" s="1"/>
  <c r="G16" i="7"/>
  <c r="H16" i="7" s="1"/>
  <c r="G23" i="7"/>
  <c r="H23" i="7" s="1"/>
  <c r="G15" i="7"/>
  <c r="H15" i="7" s="1"/>
  <c r="G13" i="7"/>
  <c r="H13" i="7" s="1"/>
  <c r="G20" i="7"/>
  <c r="H20" i="7" s="1"/>
  <c r="G11" i="7"/>
  <c r="H11" i="7" s="1"/>
  <c r="G10" i="7"/>
  <c r="H10" i="7" s="1"/>
  <c r="G25" i="7"/>
  <c r="H25" i="7" s="1"/>
  <c r="G22" i="7"/>
  <c r="H22" i="7" s="1"/>
  <c r="G14" i="7"/>
  <c r="H14" i="7" s="1"/>
  <c r="G21" i="7"/>
  <c r="H21" i="7" s="1"/>
  <c r="G12" i="7"/>
  <c r="H12" i="7" s="1"/>
  <c r="G19" i="7"/>
  <c r="H19" i="7" s="1"/>
  <c r="G18" i="7"/>
  <c r="H18" i="7" s="1"/>
  <c r="G17" i="7"/>
  <c r="H17" i="7" s="1"/>
  <c r="D9" i="6"/>
  <c r="H7" i="6" l="1"/>
  <c r="F7" i="6"/>
  <c r="O17" i="9"/>
  <c r="O14" i="9"/>
  <c r="I7" i="6"/>
  <c r="P77" i="1"/>
  <c r="P71" i="1"/>
  <c r="P70" i="1"/>
  <c r="P56" i="1"/>
  <c r="P54" i="1"/>
  <c r="P50" i="1"/>
  <c r="P49" i="1"/>
  <c r="P39" i="1"/>
  <c r="P38" i="1"/>
  <c r="I33" i="1"/>
  <c r="E18" i="6"/>
  <c r="C26" i="1"/>
  <c r="D26" i="1" s="1"/>
  <c r="P28" i="1"/>
  <c r="P27" i="1"/>
  <c r="P26" i="1"/>
  <c r="C45" i="1"/>
  <c r="D45" i="1" s="1"/>
  <c r="C46" i="1"/>
  <c r="L13" i="6" l="1"/>
  <c r="D46" i="1"/>
  <c r="F18" i="6"/>
  <c r="G18" i="6" s="1"/>
  <c r="H18" i="6" s="1"/>
  <c r="I18" i="6" s="1"/>
  <c r="J18" i="6" s="1"/>
  <c r="K18" i="6" s="1"/>
  <c r="L18" i="6" s="1"/>
  <c r="M18" i="6" s="1"/>
  <c r="N18" i="6" s="1"/>
  <c r="K7" i="6"/>
  <c r="J7" i="6"/>
  <c r="L7" i="6"/>
  <c r="A26" i="5"/>
  <c r="A48" i="5"/>
  <c r="A20" i="5"/>
  <c r="A16" i="5"/>
  <c r="A31" i="5"/>
  <c r="A42" i="5"/>
  <c r="A11" i="5"/>
  <c r="A33" i="5"/>
  <c r="A18" i="5"/>
  <c r="A43" i="5"/>
  <c r="A28" i="5"/>
  <c r="A15" i="5"/>
  <c r="A32" i="5"/>
  <c r="A30" i="5"/>
  <c r="A25" i="5"/>
  <c r="A21" i="5"/>
  <c r="A46" i="5"/>
  <c r="A40" i="5"/>
  <c r="A14" i="5"/>
  <c r="A35" i="5"/>
  <c r="A47" i="5"/>
  <c r="A41" i="5"/>
  <c r="A7" i="5"/>
  <c r="A9" i="5"/>
  <c r="A39" i="5"/>
  <c r="A23" i="5"/>
  <c r="A27" i="5"/>
  <c r="A37" i="5"/>
  <c r="A22" i="5"/>
  <c r="A45" i="5"/>
  <c r="A49" i="5"/>
  <c r="A44" i="5"/>
  <c r="A12" i="5"/>
  <c r="A29" i="5"/>
  <c r="A38" i="5"/>
  <c r="A6" i="5"/>
  <c r="A8" i="5"/>
  <c r="A34" i="5"/>
  <c r="A50" i="5"/>
  <c r="A36" i="5"/>
  <c r="A17" i="5"/>
  <c r="A13" i="5"/>
  <c r="A10" i="5"/>
  <c r="A24" i="5"/>
  <c r="A19" i="5"/>
  <c r="A5" i="5"/>
  <c r="A4" i="5"/>
  <c r="A12" i="4"/>
  <c r="A35" i="4"/>
  <c r="A28" i="4"/>
  <c r="A29" i="4"/>
  <c r="A8" i="4"/>
  <c r="A4" i="4"/>
  <c r="A19" i="4"/>
  <c r="A37" i="4"/>
  <c r="A24" i="4"/>
  <c r="A11" i="4"/>
  <c r="A26" i="4"/>
  <c r="A40" i="4"/>
  <c r="A9" i="4"/>
  <c r="J13" i="4"/>
  <c r="J6" i="4"/>
  <c r="J10" i="4"/>
  <c r="A16" i="4"/>
  <c r="A41" i="4"/>
  <c r="A31" i="4"/>
  <c r="A15" i="4"/>
  <c r="A20" i="4"/>
  <c r="A32" i="4"/>
  <c r="A33" i="4"/>
  <c r="A17" i="4"/>
  <c r="A23" i="4"/>
  <c r="A25" i="4"/>
  <c r="A6" i="4"/>
  <c r="J5" i="4"/>
  <c r="J8" i="4"/>
  <c r="A14" i="4"/>
  <c r="A21" i="4"/>
  <c r="A38" i="4"/>
  <c r="A30" i="4"/>
  <c r="A7" i="4"/>
  <c r="A5" i="4"/>
  <c r="J4" i="4"/>
  <c r="J9" i="4"/>
  <c r="A13" i="4"/>
  <c r="A34" i="4"/>
  <c r="A39" i="4"/>
  <c r="A36" i="4"/>
  <c r="A27" i="4"/>
  <c r="A22" i="4"/>
  <c r="A18" i="4"/>
  <c r="A10" i="4"/>
  <c r="J11" i="4"/>
  <c r="J12" i="4"/>
  <c r="J7" i="4"/>
  <c r="A15" i="3"/>
  <c r="C39" i="1"/>
  <c r="F39" i="1"/>
  <c r="C38" i="1"/>
  <c r="D38" i="1" s="1"/>
  <c r="A10" i="3"/>
  <c r="C10" i="3"/>
  <c r="A33" i="3"/>
  <c r="A23" i="3"/>
  <c r="A41" i="3"/>
  <c r="A35" i="3"/>
  <c r="A50" i="3"/>
  <c r="A16" i="3"/>
  <c r="A36" i="3"/>
  <c r="C36" i="3"/>
  <c r="A46" i="3"/>
  <c r="C46" i="3"/>
  <c r="A45" i="3"/>
  <c r="A31" i="3"/>
  <c r="A24" i="3"/>
  <c r="A51" i="3"/>
  <c r="A19" i="3"/>
  <c r="A12" i="3"/>
  <c r="A6" i="3"/>
  <c r="A9" i="3"/>
  <c r="A34" i="3"/>
  <c r="C34" i="3"/>
  <c r="A48" i="3"/>
  <c r="A43" i="3"/>
  <c r="A26" i="3"/>
  <c r="A47" i="3"/>
  <c r="C47" i="3"/>
  <c r="A42" i="3"/>
  <c r="A49" i="3"/>
  <c r="A32" i="3"/>
  <c r="A29" i="3"/>
  <c r="C29" i="3"/>
  <c r="A21" i="3"/>
  <c r="A14" i="3"/>
  <c r="A4" i="3"/>
  <c r="A8" i="3"/>
  <c r="A38" i="3"/>
  <c r="C38" i="3"/>
  <c r="A44" i="3"/>
  <c r="A40" i="3"/>
  <c r="A25" i="3"/>
  <c r="A18" i="3"/>
  <c r="A20" i="3"/>
  <c r="A7" i="3"/>
  <c r="A22" i="3"/>
  <c r="C22" i="3"/>
  <c r="A39" i="3"/>
  <c r="C39" i="3"/>
  <c r="A30" i="3"/>
  <c r="C30" i="3"/>
  <c r="A37" i="3"/>
  <c r="A28" i="3"/>
  <c r="A17" i="3"/>
  <c r="A13" i="3"/>
  <c r="A11" i="3"/>
  <c r="A5" i="3"/>
  <c r="F80" i="1"/>
  <c r="C80" i="1"/>
  <c r="F79" i="1"/>
  <c r="C79" i="1"/>
  <c r="G78" i="1"/>
  <c r="B29" i="4" s="1"/>
  <c r="C77" i="1"/>
  <c r="F76" i="1"/>
  <c r="C76" i="1"/>
  <c r="I75" i="1"/>
  <c r="C75" i="1"/>
  <c r="F67" i="1"/>
  <c r="C67" i="1"/>
  <c r="I77" i="1"/>
  <c r="I71" i="1"/>
  <c r="I70" i="1"/>
  <c r="I66" i="1"/>
  <c r="I65" i="1"/>
  <c r="I62" i="1"/>
  <c r="I54" i="1"/>
  <c r="I35" i="1"/>
  <c r="I32" i="1"/>
  <c r="I25" i="1"/>
  <c r="I24" i="1"/>
  <c r="M9" i="1"/>
  <c r="I18" i="1"/>
  <c r="F71" i="1"/>
  <c r="F70" i="1"/>
  <c r="C71" i="1"/>
  <c r="C8" i="3"/>
  <c r="F49" i="1"/>
  <c r="C4" i="3"/>
  <c r="C70" i="1"/>
  <c r="B44" i="11" l="1"/>
  <c r="E44" i="11" s="1"/>
  <c r="F44" i="11" s="1"/>
  <c r="G44" i="11" s="1"/>
  <c r="H44" i="11" s="1"/>
  <c r="I44" i="11" s="1"/>
  <c r="J44" i="11" s="1"/>
  <c r="K44" i="11" s="1"/>
  <c r="L44" i="11" s="1"/>
  <c r="M44" i="11" s="1"/>
  <c r="N44" i="11" s="1"/>
  <c r="O44" i="11" s="1"/>
  <c r="P44" i="11" s="1"/>
  <c r="Q44" i="11" s="1"/>
  <c r="R44" i="11" s="1"/>
  <c r="S44" i="11" s="1"/>
  <c r="I17" i="20"/>
  <c r="H19" i="20" s="1"/>
  <c r="C9" i="3"/>
  <c r="D71" i="1"/>
  <c r="J39" i="1"/>
  <c r="B33" i="5" s="1"/>
  <c r="D39" i="1"/>
  <c r="C16" i="3"/>
  <c r="D80" i="1"/>
  <c r="C23" i="3"/>
  <c r="D76" i="1"/>
  <c r="C41" i="3"/>
  <c r="D77" i="1"/>
  <c r="C6" i="3"/>
  <c r="D70" i="1"/>
  <c r="C51" i="3"/>
  <c r="D67" i="1"/>
  <c r="G75" i="1"/>
  <c r="B12" i="4" s="1"/>
  <c r="D75" i="1"/>
  <c r="C50" i="3"/>
  <c r="D79" i="1"/>
  <c r="B21" i="1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B31" i="1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R31" i="11" s="1"/>
  <c r="S31" i="11" s="1"/>
  <c r="A12" i="7"/>
  <c r="C15" i="7" s="1"/>
  <c r="I15" i="7" s="1"/>
  <c r="B11" i="1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D18" i="6"/>
  <c r="I67" i="1"/>
  <c r="J67" i="1" s="1"/>
  <c r="B35" i="5" s="1"/>
  <c r="B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C15" i="3"/>
  <c r="G39" i="1"/>
  <c r="K9" i="4" s="1"/>
  <c r="I27" i="1"/>
  <c r="J27" i="1" s="1"/>
  <c r="B5" i="5" s="1"/>
  <c r="I79" i="1"/>
  <c r="J79" i="1" s="1"/>
  <c r="B32" i="5" s="1"/>
  <c r="G27" i="1"/>
  <c r="K12" i="4" s="1"/>
  <c r="C35" i="3"/>
  <c r="J77" i="1"/>
  <c r="B28" i="5" s="1"/>
  <c r="J80" i="1"/>
  <c r="B30" i="5" s="1"/>
  <c r="I78" i="1"/>
  <c r="J78" i="1" s="1"/>
  <c r="B15" i="5" s="1"/>
  <c r="C33" i="3"/>
  <c r="G80" i="1"/>
  <c r="B4" i="4" s="1"/>
  <c r="G79" i="1"/>
  <c r="B8" i="4" s="1"/>
  <c r="G76" i="1"/>
  <c r="B35" i="4" s="1"/>
  <c r="J76" i="1"/>
  <c r="B43" i="5" s="1"/>
  <c r="J75" i="1"/>
  <c r="B18" i="5" s="1"/>
  <c r="G67" i="1"/>
  <c r="B40" i="4" s="1"/>
  <c r="G77" i="1"/>
  <c r="B28" i="4" s="1"/>
  <c r="G71" i="1"/>
  <c r="K10" i="4" s="1"/>
  <c r="G70" i="1"/>
  <c r="K6" i="4" s="1"/>
  <c r="J71" i="1"/>
  <c r="B9" i="5" s="1"/>
  <c r="G50" i="1"/>
  <c r="K8" i="4" s="1"/>
  <c r="J50" i="1"/>
  <c r="B8" i="5" s="1"/>
  <c r="J70" i="1"/>
  <c r="B7" i="5" s="1"/>
  <c r="F68" i="1"/>
  <c r="F69" i="1"/>
  <c r="M24" i="6" s="1"/>
  <c r="C68" i="1"/>
  <c r="C69" i="1"/>
  <c r="D69" i="1" s="1"/>
  <c r="F65" i="1"/>
  <c r="F66" i="1"/>
  <c r="C65" i="1"/>
  <c r="C45" i="3"/>
  <c r="C19" i="3" l="1"/>
  <c r="D68" i="1"/>
  <c r="C31" i="3"/>
  <c r="D65" i="1"/>
  <c r="I27" i="11"/>
  <c r="J27" i="11" s="1"/>
  <c r="C16" i="7"/>
  <c r="I16" i="7" s="1"/>
  <c r="C25" i="7"/>
  <c r="I25" i="7" s="1"/>
  <c r="L16" i="7"/>
  <c r="M17" i="7" s="1"/>
  <c r="C14" i="7"/>
  <c r="I14" i="7" s="1"/>
  <c r="L9" i="7"/>
  <c r="L10" i="7" s="1"/>
  <c r="N9" i="7"/>
  <c r="N10" i="7" s="1"/>
  <c r="C19" i="7"/>
  <c r="I19" i="7" s="1"/>
  <c r="M9" i="7"/>
  <c r="M10" i="7" s="1"/>
  <c r="C21" i="7"/>
  <c r="I21" i="7" s="1"/>
  <c r="L11" i="7"/>
  <c r="C11" i="7"/>
  <c r="I11" i="7" s="1"/>
  <c r="C20" i="7"/>
  <c r="I20" i="7" s="1"/>
  <c r="C24" i="7"/>
  <c r="I24" i="7" s="1"/>
  <c r="C13" i="7"/>
  <c r="I13" i="7" s="1"/>
  <c r="C12" i="7"/>
  <c r="I12" i="7" s="1"/>
  <c r="C18" i="7"/>
  <c r="I18" i="7" s="1"/>
  <c r="C17" i="7"/>
  <c r="I17" i="7" s="1"/>
  <c r="C10" i="7"/>
  <c r="I10" i="7" s="1"/>
  <c r="C23" i="7"/>
  <c r="I23" i="7" s="1"/>
  <c r="C22" i="7"/>
  <c r="I22" i="7" s="1"/>
  <c r="C24" i="3"/>
  <c r="E23" i="6"/>
  <c r="G23" i="6" s="1"/>
  <c r="H23" i="6" s="1"/>
  <c r="I23" i="6"/>
  <c r="K23" i="6" s="1"/>
  <c r="L23" i="6" s="1"/>
  <c r="I24" i="6"/>
  <c r="E24" i="6"/>
  <c r="C12" i="3"/>
  <c r="M23" i="6"/>
  <c r="I57" i="1"/>
  <c r="C57" i="1"/>
  <c r="F57" i="1"/>
  <c r="I58" i="1"/>
  <c r="J58" i="1" s="1"/>
  <c r="B22" i="5" s="1"/>
  <c r="F58" i="1"/>
  <c r="G58" i="1" s="1"/>
  <c r="B20" i="4" s="1"/>
  <c r="I56" i="1"/>
  <c r="C43" i="3"/>
  <c r="C48" i="3"/>
  <c r="F38" i="1"/>
  <c r="F37" i="1"/>
  <c r="E19" i="6"/>
  <c r="F33" i="1"/>
  <c r="C49" i="3"/>
  <c r="M14" i="6"/>
  <c r="E14" i="6"/>
  <c r="R14" i="6" s="1"/>
  <c r="F46" i="1"/>
  <c r="L14" i="6" s="1"/>
  <c r="F14" i="6"/>
  <c r="I46" i="1"/>
  <c r="C32" i="3"/>
  <c r="C43" i="1"/>
  <c r="D43" i="1" s="1"/>
  <c r="G49" i="1"/>
  <c r="K5" i="4" s="1"/>
  <c r="C37" i="1"/>
  <c r="C7" i="3"/>
  <c r="I28" i="1"/>
  <c r="C11" i="3"/>
  <c r="J26" i="1"/>
  <c r="C18" i="3"/>
  <c r="C37" i="3"/>
  <c r="C25" i="3"/>
  <c r="C40" i="3"/>
  <c r="C25" i="1"/>
  <c r="C24" i="1"/>
  <c r="D24" i="1" s="1"/>
  <c r="C28" i="3"/>
  <c r="J18" i="1"/>
  <c r="J19" i="1"/>
  <c r="F18" i="1"/>
  <c r="F6" i="14" l="1"/>
  <c r="H6" i="14" s="1"/>
  <c r="D25" i="1"/>
  <c r="C20" i="3"/>
  <c r="D37" i="1"/>
  <c r="C26" i="3"/>
  <c r="D57" i="1"/>
  <c r="N17" i="7"/>
  <c r="M12" i="7"/>
  <c r="M13" i="7" s="1"/>
  <c r="L17" i="7"/>
  <c r="L12" i="7"/>
  <c r="L13" i="7" s="1"/>
  <c r="N12" i="7"/>
  <c r="N13" i="7" s="1"/>
  <c r="O12" i="7"/>
  <c r="K14" i="7"/>
  <c r="C5" i="3"/>
  <c r="K22" i="9"/>
  <c r="K23" i="9" s="1"/>
  <c r="G18" i="1"/>
  <c r="B13" i="4" s="1"/>
  <c r="I16" i="9"/>
  <c r="I17" i="9" s="1"/>
  <c r="C13" i="3"/>
  <c r="Q6" i="9"/>
  <c r="J28" i="1"/>
  <c r="B4" i="5" s="1"/>
  <c r="G28" i="1"/>
  <c r="K7" i="4" s="1"/>
  <c r="D24" i="6"/>
  <c r="B34" i="5"/>
  <c r="C20" i="8"/>
  <c r="C21" i="8" s="1"/>
  <c r="D20" i="8"/>
  <c r="D21" i="8" s="1"/>
  <c r="B50" i="5"/>
  <c r="C31" i="8"/>
  <c r="C32" i="8" s="1"/>
  <c r="D31" i="8"/>
  <c r="D32" i="8" s="1"/>
  <c r="C42" i="3"/>
  <c r="F13" i="6"/>
  <c r="C17" i="3"/>
  <c r="M7" i="6"/>
  <c r="D7" i="6" s="1"/>
  <c r="C21" i="3"/>
  <c r="E13" i="6"/>
  <c r="C14" i="3"/>
  <c r="M13" i="6"/>
  <c r="H14" i="6"/>
  <c r="J14" i="6"/>
  <c r="I14" i="6"/>
  <c r="G14" i="6"/>
  <c r="K14" i="6"/>
  <c r="F19" i="6"/>
  <c r="G19" i="6" s="1"/>
  <c r="H19" i="6" s="1"/>
  <c r="I19" i="6" s="1"/>
  <c r="J19" i="6" s="1"/>
  <c r="K19" i="6" s="1"/>
  <c r="L19" i="6" s="1"/>
  <c r="M19" i="6" s="1"/>
  <c r="N19" i="6" s="1"/>
  <c r="D23" i="6"/>
  <c r="G33" i="1"/>
  <c r="B21" i="4" s="1"/>
  <c r="C44" i="3"/>
  <c r="J49" i="1"/>
  <c r="B6" i="5" s="1"/>
  <c r="J33" i="1"/>
  <c r="B48" i="5" s="1"/>
  <c r="G26" i="1"/>
  <c r="K11" i="4" s="1"/>
  <c r="G23" i="1"/>
  <c r="B22" i="4" s="1"/>
  <c r="J38" i="1"/>
  <c r="B11" i="5" s="1"/>
  <c r="O39" i="9" l="1"/>
  <c r="O40" i="9" s="1"/>
  <c r="Q7" i="9"/>
  <c r="K25" i="9"/>
  <c r="K29" i="9" s="1"/>
  <c r="K26" i="9"/>
  <c r="C33" i="8"/>
  <c r="C22" i="8"/>
  <c r="D14" i="6"/>
  <c r="D19" i="6"/>
  <c r="K13" i="6"/>
  <c r="G13" i="6"/>
  <c r="H13" i="6"/>
  <c r="I13" i="6"/>
  <c r="J13" i="6"/>
  <c r="R13" i="6"/>
  <c r="G38" i="1"/>
  <c r="K4" i="4" s="1"/>
  <c r="K35" i="2"/>
  <c r="L35" i="2" s="1"/>
  <c r="K11" i="2"/>
  <c r="L11" i="2" s="1"/>
  <c r="I35" i="2"/>
  <c r="I11" i="2"/>
  <c r="I29" i="2"/>
  <c r="I18" i="2"/>
  <c r="I22" i="2"/>
  <c r="L22" i="2"/>
  <c r="F35" i="2"/>
  <c r="F15" i="2"/>
  <c r="F28" i="2"/>
  <c r="F13" i="2"/>
  <c r="F18" i="2"/>
  <c r="F22" i="2"/>
  <c r="C27" i="2"/>
  <c r="F27" i="2" s="1"/>
  <c r="C33" i="2"/>
  <c r="I33" i="2" s="1"/>
  <c r="C38" i="2"/>
  <c r="K38" i="2" s="1"/>
  <c r="C17" i="2"/>
  <c r="K17" i="2" s="1"/>
  <c r="L17" i="2" s="1"/>
  <c r="E30" i="2"/>
  <c r="C30" i="2"/>
  <c r="L30" i="2" s="1"/>
  <c r="E16" i="2"/>
  <c r="F16" i="2" s="1"/>
  <c r="E12" i="2"/>
  <c r="F12" i="2" s="1"/>
  <c r="E19" i="2"/>
  <c r="F19" i="2" s="1"/>
  <c r="H37" i="2"/>
  <c r="E37" i="2"/>
  <c r="C37" i="2"/>
  <c r="E20" i="2"/>
  <c r="C20" i="2"/>
  <c r="I20" i="2" s="1"/>
  <c r="H26" i="2"/>
  <c r="K26" i="2" s="1"/>
  <c r="L26" i="2" s="1"/>
  <c r="E26" i="2"/>
  <c r="F26" i="2" s="1"/>
  <c r="E9" i="2"/>
  <c r="C9" i="2"/>
  <c r="K9" i="2" s="1"/>
  <c r="L9" i="2" s="1"/>
  <c r="E24" i="2"/>
  <c r="C24" i="2"/>
  <c r="K24" i="2" s="1"/>
  <c r="L24" i="2" s="1"/>
  <c r="E11" i="2"/>
  <c r="E8" i="2" s="1"/>
  <c r="F8" i="2" s="1"/>
  <c r="E23" i="2"/>
  <c r="F23" i="2" s="1"/>
  <c r="H39" i="2"/>
  <c r="E39" i="2"/>
  <c r="C39" i="2"/>
  <c r="E32" i="2"/>
  <c r="C32" i="2"/>
  <c r="L32" i="2" s="1"/>
  <c r="E29" i="2"/>
  <c r="F29" i="2" s="1"/>
  <c r="E14" i="2"/>
  <c r="F14" i="2" s="1"/>
  <c r="E10" i="2"/>
  <c r="F10" i="2" s="1"/>
  <c r="H25" i="2"/>
  <c r="K25" i="2" s="1"/>
  <c r="L25" i="2" s="1"/>
  <c r="E25" i="2"/>
  <c r="F25" i="2" s="1"/>
  <c r="K36" i="2"/>
  <c r="H36" i="2"/>
  <c r="C36" i="2"/>
  <c r="F36" i="2" s="1"/>
  <c r="C34" i="2"/>
  <c r="I34" i="2" s="1"/>
  <c r="L34" i="2" s="1"/>
  <c r="K31" i="2"/>
  <c r="C31" i="2"/>
  <c r="F31" i="2" s="1"/>
  <c r="C21" i="2"/>
  <c r="F21" i="2" s="1"/>
  <c r="H8" i="2"/>
  <c r="I8" i="2" s="1"/>
  <c r="D3" i="2"/>
  <c r="J62" i="1"/>
  <c r="B25" i="5" s="1"/>
  <c r="J68" i="1"/>
  <c r="B47" i="5" s="1"/>
  <c r="G68" i="1"/>
  <c r="B9" i="4" s="1"/>
  <c r="G63" i="1"/>
  <c r="B37" i="4" s="1"/>
  <c r="G62" i="1"/>
  <c r="B19" i="4" s="1"/>
  <c r="J65" i="1"/>
  <c r="B40" i="5" s="1"/>
  <c r="G69" i="1"/>
  <c r="K13" i="4" s="1"/>
  <c r="J64" i="1"/>
  <c r="B46" i="5" s="1"/>
  <c r="J56" i="1"/>
  <c r="B27" i="5" s="1"/>
  <c r="J54" i="1"/>
  <c r="B39" i="5" s="1"/>
  <c r="J57" i="1"/>
  <c r="B37" i="5" s="1"/>
  <c r="G55" i="1"/>
  <c r="B41" i="4" s="1"/>
  <c r="G54" i="1"/>
  <c r="B16" i="4" s="1"/>
  <c r="G56" i="1"/>
  <c r="B31" i="4" s="1"/>
  <c r="G57" i="1"/>
  <c r="B15" i="4" s="1"/>
  <c r="I48" i="1"/>
  <c r="J46" i="1"/>
  <c r="B12" i="5" s="1"/>
  <c r="J44" i="1"/>
  <c r="B49" i="5" s="1"/>
  <c r="G48" i="1"/>
  <c r="B6" i="4" s="1"/>
  <c r="G46" i="1"/>
  <c r="B23" i="4" s="1"/>
  <c r="G44" i="1"/>
  <c r="B33" i="4" s="1"/>
  <c r="G32" i="1"/>
  <c r="B14" i="4" s="1"/>
  <c r="J47" i="1"/>
  <c r="B29" i="5" s="1"/>
  <c r="J45" i="1"/>
  <c r="B44" i="5" s="1"/>
  <c r="J35" i="1"/>
  <c r="B16" i="5" s="1"/>
  <c r="J32" i="1"/>
  <c r="B26" i="5" s="1"/>
  <c r="G35" i="1"/>
  <c r="B30" i="4" s="1"/>
  <c r="G34" i="1"/>
  <c r="B38" i="4" s="1"/>
  <c r="G22" i="1"/>
  <c r="B27" i="4" s="1"/>
  <c r="G21" i="1"/>
  <c r="B36" i="4" s="1"/>
  <c r="J20" i="1"/>
  <c r="B36" i="5" s="1"/>
  <c r="G20" i="1"/>
  <c r="B39" i="4" s="1"/>
  <c r="G19" i="1"/>
  <c r="B34" i="4" s="1"/>
  <c r="Q9" i="9" l="1"/>
  <c r="Q13" i="9" s="1"/>
  <c r="Q10" i="9"/>
  <c r="O41" i="9"/>
  <c r="O43" i="9"/>
  <c r="O42" i="9"/>
  <c r="O46" i="9" s="1"/>
  <c r="F37" i="2"/>
  <c r="F39" i="2"/>
  <c r="F24" i="2"/>
  <c r="I32" i="2"/>
  <c r="K37" i="2"/>
  <c r="D13" i="6"/>
  <c r="I39" i="2"/>
  <c r="F33" i="2"/>
  <c r="I30" i="2"/>
  <c r="L37" i="2"/>
  <c r="I36" i="2"/>
  <c r="L36" i="2" s="1"/>
  <c r="F32" i="2"/>
  <c r="F11" i="2"/>
  <c r="I17" i="2"/>
  <c r="K33" i="2"/>
  <c r="L33" i="2"/>
  <c r="F9" i="2"/>
  <c r="F30" i="2"/>
  <c r="I55" i="1"/>
  <c r="J55" i="1" s="1"/>
  <c r="B23" i="5" s="1"/>
  <c r="I23" i="1"/>
  <c r="J23" i="1" s="1"/>
  <c r="B10" i="5" s="1"/>
  <c r="J69" i="1"/>
  <c r="B41" i="5" s="1"/>
  <c r="G43" i="1"/>
  <c r="B32" i="4" s="1"/>
  <c r="J37" i="1"/>
  <c r="B42" i="5" s="1"/>
  <c r="J36" i="1"/>
  <c r="B31" i="5" s="1"/>
  <c r="I34" i="1"/>
  <c r="G64" i="1"/>
  <c r="B24" i="4" s="1"/>
  <c r="F34" i="2"/>
  <c r="I37" i="2"/>
  <c r="L20" i="2"/>
  <c r="L38" i="2"/>
  <c r="I21" i="1"/>
  <c r="J21" i="1" s="1"/>
  <c r="B17" i="5" s="1"/>
  <c r="G65" i="1"/>
  <c r="B11" i="4" s="1"/>
  <c r="L39" i="2"/>
  <c r="K30" i="2"/>
  <c r="I22" i="1"/>
  <c r="J22" i="1" s="1"/>
  <c r="B13" i="5" s="1"/>
  <c r="G45" i="1"/>
  <c r="B17" i="4" s="1"/>
  <c r="J43" i="1"/>
  <c r="B45" i="5" s="1"/>
  <c r="G66" i="1"/>
  <c r="B26" i="4" s="1"/>
  <c r="I63" i="1"/>
  <c r="I24" i="2"/>
  <c r="I38" i="2"/>
  <c r="K32" i="2"/>
  <c r="J66" i="1"/>
  <c r="B14" i="5" s="1"/>
  <c r="F20" i="2"/>
  <c r="F17" i="2"/>
  <c r="I31" i="2"/>
  <c r="L31" i="2" s="1"/>
  <c r="I9" i="2"/>
  <c r="K39" i="2"/>
  <c r="G36" i="1"/>
  <c r="B7" i="4" s="1"/>
  <c r="I26" i="2"/>
  <c r="K20" i="2"/>
  <c r="G37" i="1"/>
  <c r="B5" i="4" s="1"/>
  <c r="G47" i="1"/>
  <c r="B25" i="4" s="1"/>
  <c r="J48" i="1"/>
  <c r="B38" i="5" s="1"/>
  <c r="F38" i="2"/>
  <c r="I25" i="2"/>
  <c r="J25" i="1"/>
  <c r="B19" i="5" s="1"/>
  <c r="J24" i="1"/>
  <c r="B24" i="5" s="1"/>
  <c r="G24" i="1"/>
  <c r="B18" i="4" s="1"/>
  <c r="G25" i="1"/>
  <c r="B10" i="4" s="1"/>
  <c r="O47" i="9" l="1"/>
  <c r="O50" i="9"/>
  <c r="Q14" i="9"/>
  <c r="Q17" i="9"/>
  <c r="J63" i="1"/>
  <c r="B21" i="5" s="1"/>
  <c r="J34" i="1"/>
  <c r="B20" i="5" s="1"/>
</calcChain>
</file>

<file path=xl/sharedStrings.xml><?xml version="1.0" encoding="utf-8"?>
<sst xmlns="http://schemas.openxmlformats.org/spreadsheetml/2006/main" count="1487" uniqueCount="560">
  <si>
    <t>Healers</t>
  </si>
  <si>
    <t>Monk</t>
  </si>
  <si>
    <t>Mistweaver Spells</t>
  </si>
  <si>
    <t>Kecub @ Sargeras</t>
  </si>
  <si>
    <t>Heal (Spell Power)</t>
  </si>
  <si>
    <t>Mana Cost</t>
  </si>
  <si>
    <t>Heal / Mana Cost</t>
  </si>
  <si>
    <t>Duration (time)</t>
  </si>
  <si>
    <t>Heal / Duration (time)</t>
  </si>
  <si>
    <t>Single Target / Second</t>
  </si>
  <si>
    <t>Multi Target / Second</t>
  </si>
  <si>
    <t>Soothing Mist</t>
  </si>
  <si>
    <t>Renewing Mist</t>
  </si>
  <si>
    <t>Enveloping Mist</t>
  </si>
  <si>
    <t>Effuse</t>
  </si>
  <si>
    <t>Vivify</t>
  </si>
  <si>
    <t>Essence Font (5)</t>
  </si>
  <si>
    <t>Essence Font (20)</t>
  </si>
  <si>
    <t>Refreshing Jade Wind</t>
  </si>
  <si>
    <t>Shaman</t>
  </si>
  <si>
    <t>Healing Wave</t>
  </si>
  <si>
    <t>Healing Surge</t>
  </si>
  <si>
    <t>Chain Heal</t>
  </si>
  <si>
    <t>Riptide</t>
  </si>
  <si>
    <t>Healing Rain</t>
  </si>
  <si>
    <t>Gift of the Queen</t>
  </si>
  <si>
    <t>Haste</t>
  </si>
  <si>
    <t>GCD</t>
  </si>
  <si>
    <t>Druid</t>
  </si>
  <si>
    <t>Healing Touch</t>
  </si>
  <si>
    <t>Rejuvenation</t>
  </si>
  <si>
    <t>Lifebloom</t>
  </si>
  <si>
    <t>Regrowth</t>
  </si>
  <si>
    <t>Swiftmend</t>
  </si>
  <si>
    <t>Wild Growth</t>
  </si>
  <si>
    <t>Efflo</t>
  </si>
  <si>
    <t>Paladin</t>
  </si>
  <si>
    <t>Holy Shock</t>
  </si>
  <si>
    <t>Flash of Light</t>
  </si>
  <si>
    <t>Holy Light</t>
  </si>
  <si>
    <t>Light of Dawn</t>
  </si>
  <si>
    <t>Holy Priest</t>
  </si>
  <si>
    <t>Heal</t>
  </si>
  <si>
    <t>Flash Heal</t>
  </si>
  <si>
    <t>Renew</t>
  </si>
  <si>
    <t>Holy Word: Serenity</t>
  </si>
  <si>
    <t>Holy Word: Sanctify</t>
  </si>
  <si>
    <t>Prayer of Mending</t>
  </si>
  <si>
    <t>Prayer of Healing</t>
  </si>
  <si>
    <t>Duraton (time)</t>
  </si>
  <si>
    <t>Spells</t>
  </si>
  <si>
    <t>Heailng Surge</t>
  </si>
  <si>
    <t>Healing Stream Totem</t>
  </si>
  <si>
    <t>Vivify (1 Renew)</t>
  </si>
  <si>
    <t>Life Cocoon</t>
  </si>
  <si>
    <t>Light of the Martyr</t>
  </si>
  <si>
    <t>HoT</t>
  </si>
  <si>
    <t>Single Target</t>
  </si>
  <si>
    <t>Instant</t>
  </si>
  <si>
    <t>Absorb</t>
  </si>
  <si>
    <t>Types of</t>
  </si>
  <si>
    <t>Area of Effect</t>
  </si>
  <si>
    <t>Channel + HoT</t>
  </si>
  <si>
    <t>Channel</t>
  </si>
  <si>
    <t>Instant + HoT</t>
  </si>
  <si>
    <t>Instant hot</t>
  </si>
  <si>
    <t>Discipline</t>
  </si>
  <si>
    <t>Holy Nova [5]</t>
  </si>
  <si>
    <t>Penance</t>
  </si>
  <si>
    <t>Power Word: Shield</t>
  </si>
  <si>
    <t>Shadow Mend</t>
  </si>
  <si>
    <t>Smite</t>
  </si>
  <si>
    <t>(Dmg Absorb)</t>
  </si>
  <si>
    <t>Heal Spell Power %s</t>
  </si>
  <si>
    <t>Name</t>
  </si>
  <si>
    <t>Spell Power %</t>
  </si>
  <si>
    <t>Essence Font [5]</t>
  </si>
  <si>
    <t>Essence Font [18]</t>
  </si>
  <si>
    <t>Revival [20]</t>
  </si>
  <si>
    <t>Chain Heal [3]</t>
  </si>
  <si>
    <t>Healing Rain [6]</t>
  </si>
  <si>
    <t>Healing Tide Totem [20]</t>
  </si>
  <si>
    <t>Tranquility [20]</t>
  </si>
  <si>
    <t>Tranquility [5]</t>
  </si>
  <si>
    <t>Vivify (3 Renews) [3]</t>
  </si>
  <si>
    <t>Vivify (5 Renews) [5]</t>
  </si>
  <si>
    <t>Wild Growth [6]</t>
  </si>
  <si>
    <t>Efflo [3]</t>
  </si>
  <si>
    <t>Light of Dawn [5]</t>
  </si>
  <si>
    <t>Prayer of Healing [4]</t>
  </si>
  <si>
    <t>Holy Word: Sanctify [6]</t>
  </si>
  <si>
    <t>Divine Hymn [20]</t>
  </si>
  <si>
    <t>Divine Hymn [5]</t>
  </si>
  <si>
    <t>Power Word: Radiance [5]</t>
  </si>
  <si>
    <t>Shadow Covenant [5]</t>
  </si>
  <si>
    <t>Dungeon (not dynamic)</t>
  </si>
  <si>
    <t>All (Dynamic)</t>
  </si>
  <si>
    <t>Raid (not dynamic)</t>
  </si>
  <si>
    <t>Revival [5]</t>
  </si>
  <si>
    <t>Healing Tide Totem [5]</t>
  </si>
  <si>
    <t>Heal / Mana</t>
  </si>
  <si>
    <t>Heal / Time</t>
  </si>
  <si>
    <t>Healers - Battle for Azeroth</t>
  </si>
  <si>
    <t>Extras</t>
  </si>
  <si>
    <t>Cooldown (s)</t>
  </si>
  <si>
    <t>Vivify (2 Renews) [2]</t>
  </si>
  <si>
    <t>soothing tick rate</t>
  </si>
  <si>
    <t xml:space="preserve">haste = </t>
  </si>
  <si>
    <t>(old / new) - 1</t>
  </si>
  <si>
    <t>haste required</t>
  </si>
  <si>
    <t>Innvervate | (Mana Tea)</t>
  </si>
  <si>
    <t>0 (Cast)</t>
  </si>
  <si>
    <t>Cast 1</t>
  </si>
  <si>
    <t>Cast 2</t>
  </si>
  <si>
    <t>Cast 3</t>
  </si>
  <si>
    <t>Cast 4</t>
  </si>
  <si>
    <t>Cast 5</t>
  </si>
  <si>
    <t>Cast 6</t>
  </si>
  <si>
    <t>Cast 7</t>
  </si>
  <si>
    <t>(Cast) 8</t>
  </si>
  <si>
    <t>12 Sec</t>
  </si>
  <si>
    <t xml:space="preserve"> + GCD</t>
  </si>
  <si>
    <t>Start</t>
  </si>
  <si>
    <t>(Cast) 9</t>
  </si>
  <si>
    <t>(Cast) 10</t>
  </si>
  <si>
    <t>(Cast) 11</t>
  </si>
  <si>
    <t>(Cast) 12</t>
  </si>
  <si>
    <t>haste &gt; 0%</t>
  </si>
  <si>
    <t>H &gt; 12.53%</t>
  </si>
  <si>
    <t>H &gt; 25%</t>
  </si>
  <si>
    <t>H &gt; 37.5%</t>
  </si>
  <si>
    <t>H &gt; 50%</t>
  </si>
  <si>
    <t>Mistweaver</t>
  </si>
  <si>
    <t>SP</t>
  </si>
  <si>
    <t>Mana</t>
  </si>
  <si>
    <t>Mana Tea</t>
  </si>
  <si>
    <t>Essence Font</t>
  </si>
  <si>
    <t>Total:</t>
  </si>
  <si>
    <t>Resto Druid</t>
  </si>
  <si>
    <t>MT Cost:</t>
  </si>
  <si>
    <t>* Cheeky WG</t>
  </si>
  <si>
    <t>Resto Shaman</t>
  </si>
  <si>
    <t>(Cloudburst)</t>
  </si>
  <si>
    <t>(no chain heal)</t>
  </si>
  <si>
    <t>(odd timings)</t>
  </si>
  <si>
    <t xml:space="preserve"> x 1.25 (CB)</t>
  </si>
  <si>
    <t>Prayer of Healing x3</t>
  </si>
  <si>
    <t>HW:S</t>
  </si>
  <si>
    <t>Mana Talents</t>
  </si>
  <si>
    <t>Lifecycles</t>
  </si>
  <si>
    <t>Envelop</t>
  </si>
  <si>
    <t>Spell Power</t>
  </si>
  <si>
    <t>Reduced</t>
  </si>
  <si>
    <t>Reduction</t>
  </si>
  <si>
    <t>Cycles</t>
  </si>
  <si>
    <t>1 Cycle</t>
  </si>
  <si>
    <t>2 Cycles</t>
  </si>
  <si>
    <t>3 Cycles</t>
  </si>
  <si>
    <t>4 Cycles</t>
  </si>
  <si>
    <t>5 Cycles</t>
  </si>
  <si>
    <t>6 Cycles</t>
  </si>
  <si>
    <t>7 Cycles</t>
  </si>
  <si>
    <t>8 Cycles</t>
  </si>
  <si>
    <t>9 Cycles</t>
  </si>
  <si>
    <t>10 Cycles</t>
  </si>
  <si>
    <t>Without</t>
  </si>
  <si>
    <t>11 Cycles</t>
  </si>
  <si>
    <t>12 Cycles</t>
  </si>
  <si>
    <t>13 Cycles</t>
  </si>
  <si>
    <t>14 Cycles</t>
  </si>
  <si>
    <t>15 Cycles</t>
  </si>
  <si>
    <t>16 Cycles</t>
  </si>
  <si>
    <t>Saved</t>
  </si>
  <si>
    <t>Time</t>
  </si>
  <si>
    <t>Base Mana regen:</t>
  </si>
  <si>
    <t>4% Mana / 5 Sec</t>
  </si>
  <si>
    <t>Spirit of the Crane</t>
  </si>
  <si>
    <t>0.65% per extra BLK</t>
  </si>
  <si>
    <t>2TP + BLK[3]</t>
  </si>
  <si>
    <t>TP + BLK[2]</t>
  </si>
  <si>
    <t>3TP + BLK[4]</t>
  </si>
  <si>
    <t>TotM</t>
  </si>
  <si>
    <t>Mana Regen</t>
  </si>
  <si>
    <t>GCDs</t>
  </si>
  <si>
    <t>Time Req</t>
  </si>
  <si>
    <t>Regen / Sec</t>
  </si>
  <si>
    <t>For 24 GCDs</t>
  </si>
  <si>
    <t>seconds</t>
  </si>
  <si>
    <t>w/ base regen</t>
  </si>
  <si>
    <t>Mana / Sec</t>
  </si>
  <si>
    <t>50% mana cost for 12 seconds</t>
  </si>
  <si>
    <t>Haste Values</t>
  </si>
  <si>
    <t>W/O mana tea</t>
  </si>
  <si>
    <t>W/ Mana Tea</t>
  </si>
  <si>
    <t>SP %</t>
  </si>
  <si>
    <t>For 30 Seconds</t>
  </si>
  <si>
    <t>(1/3 mana tea)</t>
  </si>
  <si>
    <t>Haste Rating</t>
  </si>
  <si>
    <t>Talent T1</t>
  </si>
  <si>
    <t>Mist Wrap</t>
  </si>
  <si>
    <t xml:space="preserve"> + 1 Second</t>
  </si>
  <si>
    <t xml:space="preserve"> + 10% heal+</t>
  </si>
  <si>
    <t>6 sec duration</t>
  </si>
  <si>
    <t>Added to Envelop</t>
  </si>
  <si>
    <t>Envelop Haste Math</t>
  </si>
  <si>
    <t xml:space="preserve">(M6/6)    *     (6 / (1/(1+D8))) </t>
  </si>
  <si>
    <t>M6 = Spellpower</t>
  </si>
  <si>
    <t>D8 = Haste %</t>
  </si>
  <si>
    <t xml:space="preserve">[SP% / Sec]  *  </t>
  </si>
  <si>
    <t>(Duration / (1 / (1+Haste)))</t>
  </si>
  <si>
    <t>With Haste</t>
  </si>
  <si>
    <t>(from ^^ master)</t>
  </si>
  <si>
    <t>Soothing+</t>
  </si>
  <si>
    <t>Soothing</t>
  </si>
  <si>
    <t>Statue+</t>
  </si>
  <si>
    <t>Statue</t>
  </si>
  <si>
    <t>Renewing+</t>
  </si>
  <si>
    <t>Renewing</t>
  </si>
  <si>
    <t>+</t>
  </si>
  <si>
    <t>Chi Wave</t>
  </si>
  <si>
    <t>dmg = 14.2015%</t>
  </si>
  <si>
    <t>healing = 30%</t>
  </si>
  <si>
    <t>7 bounces</t>
  </si>
  <si>
    <t>4 bounces</t>
  </si>
  <si>
    <t>3 bounces</t>
  </si>
  <si>
    <t>Chi Burst</t>
  </si>
  <si>
    <t>15 sec cd</t>
  </si>
  <si>
    <t>30 sec cd</t>
  </si>
  <si>
    <t>heal = 67.6%</t>
  </si>
  <si>
    <t>dmg = 46%</t>
  </si>
  <si>
    <t>Mistweaver Complete Excel Math</t>
  </si>
  <si>
    <t>Stats</t>
  </si>
  <si>
    <t>Rating</t>
  </si>
  <si>
    <t>Rating / 1%</t>
  </si>
  <si>
    <t>Percent</t>
  </si>
  <si>
    <t>Effect</t>
  </si>
  <si>
    <t>Coeff</t>
  </si>
  <si>
    <t>Intellect</t>
  </si>
  <si>
    <t>N/A</t>
  </si>
  <si>
    <t>Haste factored (+)</t>
  </si>
  <si>
    <t>Versatility</t>
  </si>
  <si>
    <t>Versatility factored ++</t>
  </si>
  <si>
    <t>Critical</t>
  </si>
  <si>
    <t>Critical factored +++</t>
  </si>
  <si>
    <t>Mastery</t>
  </si>
  <si>
    <t>Mastery (Vers + Crit)</t>
  </si>
  <si>
    <t>Total</t>
  </si>
  <si>
    <t>Per Second</t>
  </si>
  <si>
    <t>Total / Mana</t>
  </si>
  <si>
    <t>Surging Mist</t>
  </si>
  <si>
    <t>Revival</t>
  </si>
  <si>
    <t>Invoke Chi-Ji, Red Crane</t>
  </si>
  <si>
    <t>Jade Serpent Statue</t>
  </si>
  <si>
    <t>Chi-Ji</t>
  </si>
  <si>
    <t>Serpent</t>
  </si>
  <si>
    <t>Combos</t>
  </si>
  <si>
    <t>outdated</t>
  </si>
  <si>
    <t>Effuse + SG</t>
  </si>
  <si>
    <t>Envelop + Soothing</t>
  </si>
  <si>
    <t>Env + Soo + Mist Wrap</t>
  </si>
  <si>
    <t>Essence Font + Renewing</t>
  </si>
  <si>
    <t>(Input)</t>
  </si>
  <si>
    <r>
      <t xml:space="preserve">Note: Heal/Duration only takes per tick heal into account;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 ending ticks into consideration</t>
    </r>
  </si>
  <si>
    <t>more sp</t>
  </si>
  <si>
    <t>36% + 32% = 68%</t>
  </si>
  <si>
    <t>68% + 14% = 82%</t>
  </si>
  <si>
    <t>82% more sp</t>
  </si>
  <si>
    <t>from JSS + Renew</t>
  </si>
  <si>
    <t>for Mist Wrap</t>
  </si>
  <si>
    <t>Mistweaver Azerite</t>
  </si>
  <si>
    <t>Uplifted Spirits</t>
  </si>
  <si>
    <t>Overflowing Mists</t>
  </si>
  <si>
    <t>renews</t>
  </si>
  <si>
    <t>tick</t>
  </si>
  <si>
    <t>Heal/Mana</t>
  </si>
  <si>
    <t>766+</t>
  </si>
  <si>
    <t>(766+ *1.4)</t>
  </si>
  <si>
    <t>Vivify (2 Renews)</t>
  </si>
  <si>
    <t>(Mistweaver Aura) --&gt;</t>
  </si>
  <si>
    <t>Mastery (+Crit)</t>
  </si>
  <si>
    <t>Secondary Stat Allocation Analysis</t>
  </si>
  <si>
    <t>Haste Heavy</t>
  </si>
  <si>
    <t>Vers Heavy</t>
  </si>
  <si>
    <t>Crit Heavy</t>
  </si>
  <si>
    <t>Mastery Heavy</t>
  </si>
  <si>
    <t>normalized</t>
  </si>
  <si>
    <t>Prayer of Healing [5]</t>
  </si>
  <si>
    <t>(G)CD math</t>
  </si>
  <si>
    <t>(New CD) = (Old CD) / (1 + Haste %)</t>
  </si>
  <si>
    <t>(20 sec) = (24 sec) / (1 + 20%)</t>
  </si>
  <si>
    <t>100% haste would half CD</t>
  </si>
  <si>
    <t>Secret Infusion</t>
  </si>
  <si>
    <t>672 of stat for 10 sec</t>
  </si>
  <si>
    <t>TFT -&gt; 30 (~22) sec cd</t>
  </si>
  <si>
    <t>Crit</t>
  </si>
  <si>
    <t>Vers</t>
  </si>
  <si>
    <t>Mast</t>
  </si>
  <si>
    <t>rating / 1%</t>
  </si>
  <si>
    <t>(Assume)</t>
  </si>
  <si>
    <t>intellect</t>
  </si>
  <si>
    <t>Extra Mastery Healing</t>
  </si>
  <si>
    <t>(Gear @ 420)</t>
  </si>
  <si>
    <t>Updated: Jun 11th 2019</t>
  </si>
  <si>
    <t>Aura Modification</t>
  </si>
  <si>
    <t>Aura Modifcation</t>
  </si>
  <si>
    <t>Vivify Base</t>
  </si>
  <si>
    <t xml:space="preserve">int = </t>
  </si>
  <si>
    <t>Percent increase</t>
  </si>
  <si>
    <t>Way of the Crane</t>
  </si>
  <si>
    <t>15 sec</t>
  </si>
  <si>
    <t>RSK</t>
  </si>
  <si>
    <t>TP</t>
  </si>
  <si>
    <t>Tiger Palm (x1) + TFT(2)</t>
  </si>
  <si>
    <t>Tiger Palm (x2) + TFT(1)</t>
  </si>
  <si>
    <t>Rising Sun Kick (RSK)</t>
  </si>
  <si>
    <t>Blackout Kick (BK)</t>
  </si>
  <si>
    <t>Tiger Palm (TP)</t>
  </si>
  <si>
    <t>Spinning Crane Kick (SCK)</t>
  </si>
  <si>
    <t>ATTACK power</t>
  </si>
  <si>
    <t>spell power</t>
  </si>
  <si>
    <t>attack power</t>
  </si>
  <si>
    <t>SPELL power</t>
  </si>
  <si>
    <t>Armor Reduction</t>
  </si>
  <si>
    <t>~power</t>
  </si>
  <si>
    <t>(Mystic Touch)</t>
  </si>
  <si>
    <t>~dmg</t>
  </si>
  <si>
    <t>Perfect RNG RSK</t>
  </si>
  <si>
    <t>BLK(x2)</t>
  </si>
  <si>
    <t>BLK (x4)</t>
  </si>
  <si>
    <t>&lt;--Reset</t>
  </si>
  <si>
    <t>Cast 8</t>
  </si>
  <si>
    <t>Cast 9</t>
  </si>
  <si>
    <t>Cast 10</t>
  </si>
  <si>
    <t>Cast 11</t>
  </si>
  <si>
    <t>Cast 12</t>
  </si>
  <si>
    <t>Cast 13</t>
  </si>
  <si>
    <t>Cast 14</t>
  </si>
  <si>
    <t>Cast 15</t>
  </si>
  <si>
    <t>BLK</t>
  </si>
  <si>
    <t>Healing</t>
  </si>
  <si>
    <t>(25%) more phys dmg</t>
  </si>
  <si>
    <t>(3) targets</t>
  </si>
  <si>
    <t>(150%) of dmg done</t>
  </si>
  <si>
    <t>Final</t>
  </si>
  <si>
    <t>H &gt; 40%</t>
  </si>
  <si>
    <t>H &gt; 30%</t>
  </si>
  <si>
    <t>H &gt; 20%</t>
  </si>
  <si>
    <t>H &gt; 10%</t>
  </si>
  <si>
    <t>H = 0</t>
  </si>
  <si>
    <t>Normal RNG</t>
  </si>
  <si>
    <t>60% chance</t>
  </si>
  <si>
    <t>30% chance</t>
  </si>
  <si>
    <t>15% chance</t>
  </si>
  <si>
    <t>No Reset</t>
  </si>
  <si>
    <t>cd start</t>
  </si>
  <si>
    <t>RSK CD:</t>
  </si>
  <si>
    <t>cd end:</t>
  </si>
  <si>
    <t>No 'Focused Thunder'</t>
  </si>
  <si>
    <t>rip</t>
  </si>
  <si>
    <t>H &gt; 0</t>
  </si>
  <si>
    <t>BLK(x4)</t>
  </si>
  <si>
    <t>BLK(x3)</t>
  </si>
  <si>
    <t>45% Chance</t>
  </si>
  <si>
    <t>(Natural RSK Reset)</t>
  </si>
  <si>
    <t>Natural Start</t>
  </si>
  <si>
    <t>Tiger Palm (x3) + TFT(2)</t>
  </si>
  <si>
    <t>BLK (x2)</t>
  </si>
  <si>
    <t>RngAggressive PvP Pre-TP</t>
  </si>
  <si>
    <t>(Double Renew right b4)</t>
  </si>
  <si>
    <t>(essence font then--&gt;)</t>
  </si>
  <si>
    <t>Updated: Aug 11th 2019</t>
  </si>
  <si>
    <t>Jaykecub#1233</t>
  </si>
  <si>
    <t>xx</t>
  </si>
  <si>
    <t>mana</t>
  </si>
  <si>
    <t>(+50% more</t>
  </si>
  <si>
    <t>stacks twice</t>
  </si>
  <si>
    <t>(renew)</t>
  </si>
  <si>
    <t>Uplifted spirits</t>
  </si>
  <si>
    <t>~12% spell power</t>
  </si>
  <si>
    <t>(pvp nerf)</t>
  </si>
  <si>
    <t>~6%</t>
  </si>
  <si>
    <t>total</t>
  </si>
  <si>
    <t>about</t>
  </si>
  <si>
    <t>spell power / mana</t>
  </si>
  <si>
    <t>1 stack</t>
  </si>
  <si>
    <t>2 Stack</t>
  </si>
  <si>
    <t>3 casts</t>
  </si>
  <si>
    <t>3*3.8 mana</t>
  </si>
  <si>
    <t xml:space="preserve">for </t>
  </si>
  <si>
    <t>128+192+256</t>
  </si>
  <si>
    <t>576/11.4</t>
  </si>
  <si>
    <t>Renewing mist</t>
  </si>
  <si>
    <t>140% / 20 sec</t>
  </si>
  <si>
    <t>2.8% mana</t>
  </si>
  <si>
    <t>140/2.8</t>
  </si>
  <si>
    <t>sp/mana</t>
  </si>
  <si>
    <t>plus 3.5</t>
  </si>
  <si>
    <t>170/6.3</t>
  </si>
  <si>
    <t>95+5</t>
  </si>
  <si>
    <t>100/3.5</t>
  </si>
  <si>
    <t>enveloping mist</t>
  </si>
  <si>
    <t>Rising Mist</t>
  </si>
  <si>
    <t>increase hots by 4 sec</t>
  </si>
  <si>
    <t>per rising sun kick</t>
  </si>
  <si>
    <t xml:space="preserve">rising sun kick </t>
  </si>
  <si>
    <t>12 sec base cd</t>
  </si>
  <si>
    <t>haste</t>
  </si>
  <si>
    <t>rsk cd</t>
  </si>
  <si>
    <t>thunder focus tea</t>
  </si>
  <si>
    <t>(+1rsk)</t>
  </si>
  <si>
    <t>every 30 sec</t>
  </si>
  <si>
    <t xml:space="preserve"> + 4 sec to hots</t>
  </si>
  <si>
    <t>would need to rsk every 4 sec</t>
  </si>
  <si>
    <t>rsks per 30 sec</t>
  </si>
  <si>
    <t>6.5 rsks after tft</t>
  </si>
  <si>
    <t>no resets</t>
  </si>
  <si>
    <t>teachings of the monestary</t>
  </si>
  <si>
    <t>blk has 15% chance to reset rsk</t>
  </si>
  <si>
    <t>tp -&gt; blk -&gt;</t>
  </si>
  <si>
    <t>30% reset chance</t>
  </si>
  <si>
    <t>would need 7.5 rsks per 30 sec</t>
  </si>
  <si>
    <t>with 40% haste, need 3 extra rsks</t>
  </si>
  <si>
    <t>gcds with gcd of 1.1</t>
  </si>
  <si>
    <t>with 40% haste</t>
  </si>
  <si>
    <t>gcds in 30 sec</t>
  </si>
  <si>
    <t>Updated: Dec 12th 2019</t>
  </si>
  <si>
    <t>rising mist</t>
  </si>
  <si>
    <t>(vivify &amp; essence font)</t>
  </si>
  <si>
    <t>Renewing Total Healing</t>
  </si>
  <si>
    <t>Vivify Healing</t>
  </si>
  <si>
    <t>Mana Cost:</t>
  </si>
  <si>
    <t>T1 Trait</t>
  </si>
  <si>
    <t>T2 Trait</t>
  </si>
  <si>
    <t>Helm</t>
  </si>
  <si>
    <t>Helms</t>
  </si>
  <si>
    <t>Chests</t>
  </si>
  <si>
    <t>Shoulders</t>
  </si>
  <si>
    <t>Irontide Captain's Hat</t>
  </si>
  <si>
    <t>Uplifted</t>
  </si>
  <si>
    <t>Vest of Rev Adoration</t>
  </si>
  <si>
    <t>Burst of life</t>
  </si>
  <si>
    <t>secret infusion</t>
  </si>
  <si>
    <t>stygian guise</t>
  </si>
  <si>
    <t>uplifted</t>
  </si>
  <si>
    <t>burst of life</t>
  </si>
  <si>
    <t>gibbering maw</t>
  </si>
  <si>
    <t>burst</t>
  </si>
  <si>
    <t>corrupted glad leather hoood</t>
  </si>
  <si>
    <t>corrupted glaad leather helm</t>
  </si>
  <si>
    <t>corrupted glad leather headpiece</t>
  </si>
  <si>
    <t>gorak tul</t>
  </si>
  <si>
    <t>flashpowder hood</t>
  </si>
  <si>
    <t>ceph jacket</t>
  </si>
  <si>
    <t>leech</t>
  </si>
  <si>
    <t>font</t>
  </si>
  <si>
    <t>darkheart robe</t>
  </si>
  <si>
    <t>resounding + vers</t>
  </si>
  <si>
    <t>hood of slithering loa</t>
  </si>
  <si>
    <t>gore splattered</t>
  </si>
  <si>
    <t>vers</t>
  </si>
  <si>
    <t>corrupted glad leather palud</t>
  </si>
  <si>
    <t>Combinations</t>
  </si>
  <si>
    <t>Shoulder</t>
  </si>
  <si>
    <t>Chest</t>
  </si>
  <si>
    <t>(490)Pauldron's of great conv</t>
  </si>
  <si>
    <t>(490)tortured fleshbeast cuirass</t>
  </si>
  <si>
    <t>ultimate bis?</t>
  </si>
  <si>
    <t>current</t>
  </si>
  <si>
    <t>woundbinder</t>
  </si>
  <si>
    <t>gemhide</t>
  </si>
  <si>
    <t>strength of spirit</t>
  </si>
  <si>
    <t>lifespeed</t>
  </si>
  <si>
    <t>impassive</t>
  </si>
  <si>
    <t>resounding</t>
  </si>
  <si>
    <t>PvP Upgrade</t>
  </si>
  <si>
    <t>mending</t>
  </si>
  <si>
    <t>prob also bis</t>
  </si>
  <si>
    <t>longstrider</t>
  </si>
  <si>
    <t>exit strat</t>
  </si>
  <si>
    <t>use burst?</t>
  </si>
  <si>
    <t>Swap WW Chest</t>
  </si>
  <si>
    <t>buy uplifted helm</t>
  </si>
  <si>
    <t>Prob Dream (kill carapace on M)</t>
  </si>
  <si>
    <t>mistweaver mastery:</t>
  </si>
  <si>
    <t>Heal = (1.4) [mw aura] (Intellect * (Mastery%))</t>
  </si>
  <si>
    <t>Mastery = ( 40% [base] + (mastery_rating / 24)%)</t>
  </si>
  <si>
    <t>Healers - Shadowlands</t>
  </si>
  <si>
    <t>Expel Harm</t>
  </si>
  <si>
    <r>
      <t xml:space="preserve">Invoke </t>
    </r>
    <r>
      <rPr>
        <sz val="11"/>
        <color rgb="FFFF0000"/>
        <rFont val="Calibri"/>
        <family val="2"/>
        <scheme val="minor"/>
      </rPr>
      <t>Yul'on</t>
    </r>
    <r>
      <rPr>
        <sz val="11"/>
        <rFont val="Calibri"/>
        <family val="2"/>
        <scheme val="minor"/>
      </rPr>
      <t>, the Jade Serpent</t>
    </r>
  </si>
  <si>
    <t>(HoT)</t>
  </si>
  <si>
    <t>Updated: June 30th, 2020</t>
  </si>
  <si>
    <t>Earth Shield</t>
  </si>
  <si>
    <t>Word of Glory</t>
  </si>
  <si>
    <t>3 Holy Power</t>
  </si>
  <si>
    <t>Updated: Jun 30th 2020</t>
  </si>
  <si>
    <t>Circle of Healing</t>
  </si>
  <si>
    <t>(outdated)</t>
  </si>
  <si>
    <t>(Input)(outdated(Squish))</t>
  </si>
  <si>
    <t>Shadowlands Changes</t>
  </si>
  <si>
    <t>Spell</t>
  </si>
  <si>
    <t>Heal BfA</t>
  </si>
  <si>
    <t>Heal Sha</t>
  </si>
  <si>
    <t>Mana BfA</t>
  </si>
  <si>
    <t>Mana Sha</t>
  </si>
  <si>
    <t>H/M BfA</t>
  </si>
  <si>
    <t>H/M Sha</t>
  </si>
  <si>
    <t>Gain/Loss %</t>
  </si>
  <si>
    <t>Vivify[2 Renews]</t>
  </si>
  <si>
    <t>(- good)</t>
  </si>
  <si>
    <t>(-bad)</t>
  </si>
  <si>
    <t>(- bad)</t>
  </si>
  <si>
    <t>x</t>
  </si>
  <si>
    <t>Cooldowns</t>
  </si>
  <si>
    <t>Base Spells</t>
  </si>
  <si>
    <t>Racing chill</t>
  </si>
  <si>
    <t>Updated: Aug 11, 2020</t>
  </si>
  <si>
    <t>? (100%?)</t>
  </si>
  <si>
    <t>(@ Level 50)</t>
  </si>
  <si>
    <t>Night Fae</t>
  </si>
  <si>
    <t>Kryian</t>
  </si>
  <si>
    <t>Faeline Stomp</t>
  </si>
  <si>
    <t>Weapons of Order</t>
  </si>
  <si>
    <t>Stomp Heal</t>
  </si>
  <si>
    <t>Bolt HoT</t>
  </si>
  <si>
    <t>Max Targets</t>
  </si>
  <si>
    <t>6% reset chance</t>
  </si>
  <si>
    <t>approx casted spells to reset</t>
  </si>
  <si>
    <t>Aquiring global from 'master' haste…</t>
  </si>
  <si>
    <t>Updated: 11/18/2020</t>
  </si>
  <si>
    <t>seconds to reset</t>
  </si>
  <si>
    <t>~25 sec cd</t>
  </si>
  <si>
    <t>Dreamweaver</t>
  </si>
  <si>
    <t>Field of Dreams Capstone</t>
  </si>
  <si>
    <t>12% haste for 5 sec</t>
  </si>
  <si>
    <t>(K6/10) * (20 / (2/(1+D8)))*E7</t>
  </si>
  <si>
    <t>([SP Coeff]/[ticks/duration])  *  ([duration] / ([base tick rate] / (1 + [haste%]))  *  [intellect]</t>
  </si>
  <si>
    <t>(SP / tick)  *  ([duration] / (new tick rate)) * intellect</t>
  </si>
  <si>
    <t>(SP / tick)  *  (ticks) * intellect</t>
  </si>
  <si>
    <t>Hasted HoTs calculation</t>
  </si>
  <si>
    <t>(SP / tick)  *  (# of ticks) * intellect</t>
  </si>
  <si>
    <t>Renewing Mist Example</t>
  </si>
  <si>
    <t>([225%] / [10])  *  ([20] / ([2] / (1 + [12%]) )  *  [1,400]</t>
  </si>
  <si>
    <t>(22.5%) * ([20] / (2 / 1.12) )  *  1,400</t>
  </si>
  <si>
    <t>(22.5%)  *  (20 / 1.785)  *  1,400</t>
  </si>
  <si>
    <t>SP Coeff</t>
  </si>
  <si>
    <t>base # of ticks</t>
  </si>
  <si>
    <t>HoT Duration</t>
  </si>
  <si>
    <t>base tick rate</t>
  </si>
  <si>
    <t>haste %</t>
  </si>
  <si>
    <t>([SP Coeff]/[base # of ticks])  *  ([duration] / ([base tick rate] / (1 + [haste%])))  *  [intellect]</t>
  </si>
  <si>
    <r>
      <t xml:space="preserve">Total </t>
    </r>
    <r>
      <rPr>
        <i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Heal:</t>
    </r>
  </si>
  <si>
    <r>
      <t xml:space="preserve">Total </t>
    </r>
    <r>
      <rPr>
        <i/>
        <sz val="11"/>
        <color theme="1"/>
        <rFont val="Calibri"/>
        <family val="2"/>
        <scheme val="minor"/>
      </rPr>
      <t>old unhasted</t>
    </r>
    <r>
      <rPr>
        <sz val="11"/>
        <color theme="1"/>
        <rFont val="Calibri"/>
        <family val="2"/>
        <scheme val="minor"/>
      </rPr>
      <t xml:space="preserve"> Heal:</t>
    </r>
  </si>
  <si>
    <t>Gain:</t>
  </si>
  <si>
    <t>18 sec</t>
  </si>
  <si>
    <t>note:</t>
  </si>
  <si>
    <t>both renew and rejuvenation apply their healing tick as an initial heal upon cast</t>
  </si>
  <si>
    <t>(Aura%):</t>
  </si>
  <si>
    <t>(Versatility%):</t>
  </si>
  <si>
    <t>for these outputs, you must calculate the hot heal (done thru calc) then add on one more tick heal for the total</t>
  </si>
  <si>
    <t>HoT Calculator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</si>
</sst>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"/>
    <numFmt numFmtId="166" formatCode="0.000%"/>
    <numFmt numFmtId="167" formatCode="0.000"/>
    <numFmt numFmtId="168" formatCode="#,##0.000"/>
    <numFmt numFmtId="169" formatCode="_(* #,##0_);_(* \(#,##0\);_(* &quot;-&quot;??_);_(@_)"/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999FF"/>
        <bgColor indexed="64"/>
      </patternFill>
    </fill>
    <fill>
      <patternFill patternType="solid">
        <fgColor rgb="FF00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26" borderId="0" applyNumberFormat="0" applyBorder="0" applyAlignment="0" applyProtection="0"/>
    <xf numFmtId="0" fontId="12" fillId="27" borderId="0" applyNumberFormat="0" applyBorder="0" applyAlignment="0" applyProtection="0"/>
    <xf numFmtId="0" fontId="16" fillId="31" borderId="31" applyNumberFormat="0" applyAlignment="0" applyProtection="0"/>
    <xf numFmtId="0" fontId="17" fillId="32" borderId="31" applyNumberFormat="0" applyAlignment="0" applyProtection="0"/>
  </cellStyleXfs>
  <cellXfs count="405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0" borderId="1" xfId="0" applyBorder="1"/>
    <xf numFmtId="0" fontId="0" fillId="9" borderId="1" xfId="0" applyFill="1" applyBorder="1"/>
    <xf numFmtId="0" fontId="0" fillId="8" borderId="1" xfId="0" applyFill="1" applyBorder="1"/>
    <xf numFmtId="0" fontId="0" fillId="5" borderId="0" xfId="0" applyFill="1"/>
    <xf numFmtId="0" fontId="1" fillId="2" borderId="1" xfId="0" applyFont="1" applyFill="1" applyBorder="1"/>
    <xf numFmtId="0" fontId="1" fillId="0" borderId="0" xfId="0" applyFont="1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5" fillId="7" borderId="1" xfId="0" applyFont="1" applyFill="1" applyBorder="1"/>
    <xf numFmtId="0" fontId="5" fillId="0" borderId="0" xfId="0" applyFont="1"/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8" borderId="1" xfId="0" applyFont="1" applyFill="1" applyBorder="1"/>
    <xf numFmtId="0" fontId="6" fillId="0" borderId="0" xfId="0" applyFont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8" borderId="1" xfId="0" applyFont="1" applyFill="1" applyBorder="1"/>
    <xf numFmtId="0" fontId="7" fillId="0" borderId="0" xfId="0" applyFont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9" fontId="0" fillId="0" borderId="0" xfId="0" applyNumberFormat="1"/>
    <xf numFmtId="9" fontId="0" fillId="3" borderId="1" xfId="0" applyNumberFormat="1" applyFill="1" applyBorder="1"/>
    <xf numFmtId="164" fontId="0" fillId="4" borderId="1" xfId="1" applyNumberFormat="1" applyFont="1" applyFill="1" applyBorder="1"/>
    <xf numFmtId="2" fontId="0" fillId="4" borderId="1" xfId="0" applyNumberFormat="1" applyFill="1" applyBorder="1"/>
    <xf numFmtId="9" fontId="0" fillId="5" borderId="1" xfId="1" applyFont="1" applyFill="1" applyBorder="1"/>
    <xf numFmtId="164" fontId="0" fillId="5" borderId="1" xfId="1" applyNumberFormat="1" applyFont="1" applyFill="1" applyBorder="1"/>
    <xf numFmtId="164" fontId="0" fillId="3" borderId="1" xfId="0" applyNumberFormat="1" applyFill="1" applyBorder="1"/>
    <xf numFmtId="9" fontId="0" fillId="3" borderId="1" xfId="1" applyFont="1" applyFill="1" applyBorder="1"/>
    <xf numFmtId="9" fontId="0" fillId="6" borderId="1" xfId="0" applyNumberFormat="1" applyFill="1" applyBorder="1"/>
    <xf numFmtId="9" fontId="0" fillId="6" borderId="1" xfId="1" applyFont="1" applyFill="1" applyBorder="1"/>
    <xf numFmtId="9" fontId="0" fillId="9" borderId="1" xfId="1" applyFont="1" applyFill="1" applyBorder="1"/>
    <xf numFmtId="2" fontId="0" fillId="5" borderId="1" xfId="0" applyNumberFormat="1" applyFill="1" applyBorder="1"/>
    <xf numFmtId="9" fontId="0" fillId="8" borderId="1" xfId="0" applyNumberFormat="1" applyFill="1" applyBorder="1"/>
    <xf numFmtId="164" fontId="0" fillId="4" borderId="1" xfId="0" applyNumberFormat="1" applyFill="1" applyBorder="1"/>
    <xf numFmtId="9" fontId="0" fillId="8" borderId="1" xfId="1" applyFont="1" applyFill="1" applyBorder="1"/>
    <xf numFmtId="164" fontId="0" fillId="8" borderId="1" xfId="1" applyNumberFormat="1" applyFont="1" applyFill="1" applyBorder="1"/>
    <xf numFmtId="0" fontId="0" fillId="10" borderId="1" xfId="0" applyFill="1" applyBorder="1"/>
    <xf numFmtId="0" fontId="0" fillId="11" borderId="1" xfId="0" applyFill="1" applyBorder="1"/>
    <xf numFmtId="9" fontId="0" fillId="11" borderId="1" xfId="1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" fontId="0" fillId="2" borderId="1" xfId="0" applyNumberFormat="1" applyFill="1" applyBorder="1"/>
    <xf numFmtId="2" fontId="0" fillId="13" borderId="1" xfId="0" applyNumberFormat="1" applyFill="1" applyBorder="1"/>
    <xf numFmtId="2" fontId="0" fillId="14" borderId="1" xfId="0" applyNumberFormat="1" applyFill="1" applyBorder="1"/>
    <xf numFmtId="0" fontId="9" fillId="4" borderId="1" xfId="0" applyFont="1" applyFill="1" applyBorder="1"/>
    <xf numFmtId="2" fontId="9" fillId="4" borderId="1" xfId="0" applyNumberFormat="1" applyFont="1" applyFill="1" applyBorder="1"/>
    <xf numFmtId="0" fontId="9" fillId="13" borderId="1" xfId="0" applyFont="1" applyFill="1" applyBorder="1"/>
    <xf numFmtId="2" fontId="9" fillId="13" borderId="1" xfId="0" applyNumberFormat="1" applyFont="1" applyFill="1" applyBorder="1"/>
    <xf numFmtId="0" fontId="9" fillId="14" borderId="1" xfId="0" applyFont="1" applyFill="1" applyBorder="1"/>
    <xf numFmtId="2" fontId="9" fillId="14" borderId="1" xfId="0" applyNumberFormat="1" applyFont="1" applyFill="1" applyBorder="1"/>
    <xf numFmtId="0" fontId="9" fillId="2" borderId="1" xfId="0" applyFont="1" applyFill="1" applyBorder="1"/>
    <xf numFmtId="1" fontId="9" fillId="2" borderId="1" xfId="0" applyNumberFormat="1" applyFont="1" applyFill="1" applyBorder="1"/>
    <xf numFmtId="164" fontId="0" fillId="2" borderId="1" xfId="1" applyNumberFormat="1" applyFont="1" applyFill="1" applyBorder="1"/>
    <xf numFmtId="164" fontId="0" fillId="12" borderId="1" xfId="1" applyNumberFormat="1" applyFont="1" applyFill="1" applyBorder="1"/>
    <xf numFmtId="164" fontId="0" fillId="13" borderId="1" xfId="1" applyNumberFormat="1" applyFont="1" applyFill="1" applyBorder="1"/>
    <xf numFmtId="164" fontId="0" fillId="9" borderId="1" xfId="1" applyNumberFormat="1" applyFont="1" applyFill="1" applyBorder="1"/>
    <xf numFmtId="164" fontId="0" fillId="14" borderId="1" xfId="1" applyNumberFormat="1" applyFont="1" applyFill="1" applyBorder="1"/>
    <xf numFmtId="164" fontId="0" fillId="11" borderId="1" xfId="1" applyNumberFormat="1" applyFont="1" applyFill="1" applyBorder="1"/>
    <xf numFmtId="165" fontId="0" fillId="4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6" borderId="1" xfId="0" applyNumberFormat="1" applyFill="1" applyBorder="1" applyAlignment="1">
      <alignment horizontal="center"/>
    </xf>
    <xf numFmtId="164" fontId="0" fillId="0" borderId="0" xfId="1" applyNumberFormat="1" applyFont="1"/>
    <xf numFmtId="0" fontId="0" fillId="16" borderId="1" xfId="0" applyFill="1" applyBorder="1"/>
    <xf numFmtId="9" fontId="0" fillId="16" borderId="1" xfId="0" applyNumberFormat="1" applyFill="1" applyBorder="1"/>
    <xf numFmtId="10" fontId="0" fillId="16" borderId="1" xfId="0" applyNumberFormat="1" applyFill="1" applyBorder="1"/>
    <xf numFmtId="10" fontId="0" fillId="16" borderId="1" xfId="1" applyNumberFormat="1" applyFont="1" applyFill="1" applyBorder="1"/>
    <xf numFmtId="10" fontId="0" fillId="0" borderId="0" xfId="0" applyNumberFormat="1"/>
    <xf numFmtId="0" fontId="0" fillId="17" borderId="1" xfId="0" applyFill="1" applyBorder="1"/>
    <xf numFmtId="0" fontId="0" fillId="17" borderId="4" xfId="0" applyFill="1" applyBorder="1"/>
    <xf numFmtId="9" fontId="0" fillId="17" borderId="4" xfId="0" applyNumberFormat="1" applyFill="1" applyBorder="1"/>
    <xf numFmtId="10" fontId="0" fillId="17" borderId="1" xfId="1" applyNumberFormat="1" applyFont="1" applyFill="1" applyBorder="1"/>
    <xf numFmtId="10" fontId="0" fillId="17" borderId="1" xfId="0" applyNumberFormat="1" applyFill="1" applyBorder="1"/>
    <xf numFmtId="0" fontId="9" fillId="17" borderId="1" xfId="0" applyFont="1" applyFill="1" applyBorder="1"/>
    <xf numFmtId="9" fontId="9" fillId="17" borderId="4" xfId="0" applyNumberFormat="1" applyFont="1" applyFill="1" applyBorder="1"/>
    <xf numFmtId="10" fontId="9" fillId="17" borderId="1" xfId="0" applyNumberFormat="1" applyFont="1" applyFill="1" applyBorder="1"/>
    <xf numFmtId="0" fontId="0" fillId="15" borderId="1" xfId="0" applyFill="1" applyBorder="1"/>
    <xf numFmtId="0" fontId="0" fillId="15" borderId="2" xfId="0" applyFill="1" applyBorder="1"/>
    <xf numFmtId="9" fontId="0" fillId="15" borderId="1" xfId="0" applyNumberFormat="1" applyFill="1" applyBorder="1"/>
    <xf numFmtId="10" fontId="0" fillId="15" borderId="1" xfId="1" applyNumberFormat="1" applyFont="1" applyFill="1" applyBorder="1"/>
    <xf numFmtId="10" fontId="0" fillId="15" borderId="1" xfId="0" applyNumberFormat="1" applyFill="1" applyBorder="1"/>
    <xf numFmtId="0" fontId="9" fillId="15" borderId="1" xfId="0" applyFont="1" applyFill="1" applyBorder="1"/>
    <xf numFmtId="9" fontId="9" fillId="15" borderId="1" xfId="0" applyNumberFormat="1" applyFont="1" applyFill="1" applyBorder="1"/>
    <xf numFmtId="10" fontId="9" fillId="15" borderId="1" xfId="0" applyNumberFormat="1" applyFont="1" applyFill="1" applyBorder="1"/>
    <xf numFmtId="0" fontId="0" fillId="5" borderId="4" xfId="0" applyFill="1" applyBorder="1"/>
    <xf numFmtId="9" fontId="0" fillId="5" borderId="4" xfId="0" applyNumberFormat="1" applyFill="1" applyBorder="1"/>
    <xf numFmtId="9" fontId="0" fillId="5" borderId="4" xfId="1" applyFont="1" applyFill="1" applyBorder="1"/>
    <xf numFmtId="10" fontId="0" fillId="5" borderId="1" xfId="1" applyNumberFormat="1" applyFont="1" applyFill="1" applyBorder="1"/>
    <xf numFmtId="10" fontId="0" fillId="5" borderId="1" xfId="0" applyNumberFormat="1" applyFill="1" applyBorder="1"/>
    <xf numFmtId="10" fontId="0" fillId="0" borderId="0" xfId="1" applyNumberFormat="1" applyFont="1"/>
    <xf numFmtId="166" fontId="0" fillId="0" borderId="0" xfId="1" applyNumberFormat="1" applyFont="1"/>
    <xf numFmtId="0" fontId="0" fillId="0" borderId="8" xfId="0" applyBorder="1"/>
    <xf numFmtId="9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1" applyNumberFormat="1" applyFont="1" applyBorder="1"/>
    <xf numFmtId="10" fontId="0" fillId="0" borderId="11" xfId="1" applyNumberFormat="1" applyFont="1" applyBorder="1"/>
    <xf numFmtId="0" fontId="0" fillId="0" borderId="12" xfId="0" applyBorder="1"/>
    <xf numFmtId="166" fontId="0" fillId="0" borderId="6" xfId="1" applyNumberFormat="1" applyFont="1" applyBorder="1"/>
    <xf numFmtId="10" fontId="0" fillId="0" borderId="13" xfId="1" applyNumberFormat="1" applyFont="1" applyBorder="1"/>
    <xf numFmtId="0" fontId="0" fillId="0" borderId="5" xfId="0" applyBorder="1"/>
    <xf numFmtId="2" fontId="0" fillId="0" borderId="10" xfId="0" applyNumberFormat="1" applyBorder="1"/>
    <xf numFmtId="164" fontId="0" fillId="0" borderId="0" xfId="0" applyNumberFormat="1"/>
    <xf numFmtId="2" fontId="0" fillId="0" borderId="12" xfId="0" applyNumberFormat="1" applyBorder="1"/>
    <xf numFmtId="0" fontId="0" fillId="0" borderId="6" xfId="0" applyBorder="1"/>
    <xf numFmtId="10" fontId="0" fillId="0" borderId="6" xfId="1" applyNumberFormat="1" applyFont="1" applyBorder="1"/>
    <xf numFmtId="164" fontId="0" fillId="0" borderId="6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16" borderId="1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9" fontId="0" fillId="16" borderId="16" xfId="0" applyNumberFormat="1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0" fontId="0" fillId="16" borderId="16" xfId="0" applyNumberFormat="1" applyFill="1" applyBorder="1" applyAlignment="1">
      <alignment horizontal="center"/>
    </xf>
    <xf numFmtId="0" fontId="10" fillId="0" borderId="11" xfId="0" applyFont="1" applyBorder="1"/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3" borderId="15" xfId="0" applyFont="1" applyFill="1" applyBorder="1"/>
    <xf numFmtId="0" fontId="10" fillId="18" borderId="15" xfId="0" applyFont="1" applyFill="1" applyBorder="1"/>
    <xf numFmtId="0" fontId="10" fillId="19" borderId="15" xfId="0" applyFont="1" applyFill="1" applyBorder="1"/>
    <xf numFmtId="0" fontId="10" fillId="10" borderId="15" xfId="0" applyFont="1" applyFill="1" applyBorder="1"/>
    <xf numFmtId="0" fontId="10" fillId="4" borderId="15" xfId="0" applyFont="1" applyFill="1" applyBorder="1"/>
    <xf numFmtId="0" fontId="0" fillId="0" borderId="21" xfId="0" applyBorder="1"/>
    <xf numFmtId="0" fontId="0" fillId="19" borderId="1" xfId="0" applyFill="1" applyBorder="1"/>
    <xf numFmtId="0" fontId="0" fillId="20" borderId="1" xfId="0" applyFill="1" applyBorder="1"/>
    <xf numFmtId="0" fontId="0" fillId="9" borderId="22" xfId="0" applyFill="1" applyBorder="1"/>
    <xf numFmtId="0" fontId="0" fillId="21" borderId="2" xfId="0" applyFill="1" applyBorder="1"/>
    <xf numFmtId="9" fontId="0" fillId="3" borderId="16" xfId="0" applyNumberFormat="1" applyFill="1" applyBorder="1"/>
    <xf numFmtId="9" fontId="0" fillId="18" borderId="16" xfId="0" applyNumberFormat="1" applyFill="1" applyBorder="1"/>
    <xf numFmtId="164" fontId="0" fillId="19" borderId="16" xfId="0" applyNumberFormat="1" applyFill="1" applyBorder="1"/>
    <xf numFmtId="9" fontId="0" fillId="10" borderId="16" xfId="0" applyNumberFormat="1" applyFill="1" applyBorder="1"/>
    <xf numFmtId="9" fontId="0" fillId="4" borderId="16" xfId="0" applyNumberFormat="1" applyFill="1" applyBorder="1"/>
    <xf numFmtId="0" fontId="0" fillId="10" borderId="23" xfId="0" applyFill="1" applyBorder="1"/>
    <xf numFmtId="3" fontId="9" fillId="19" borderId="1" xfId="0" applyNumberFormat="1" applyFont="1" applyFill="1" applyBorder="1"/>
    <xf numFmtId="3" fontId="0" fillId="9" borderId="22" xfId="0" applyNumberFormat="1" applyFill="1" applyBorder="1"/>
    <xf numFmtId="0" fontId="0" fillId="10" borderId="2" xfId="0" applyFill="1" applyBorder="1"/>
    <xf numFmtId="3" fontId="0" fillId="3" borderId="16" xfId="0" applyNumberFormat="1" applyFill="1" applyBorder="1"/>
    <xf numFmtId="3" fontId="0" fillId="18" borderId="16" xfId="0" applyNumberFormat="1" applyFill="1" applyBorder="1"/>
    <xf numFmtId="3" fontId="0" fillId="19" borderId="16" xfId="0" applyNumberFormat="1" applyFill="1" applyBorder="1"/>
    <xf numFmtId="3" fontId="0" fillId="10" borderId="16" xfId="0" applyNumberFormat="1" applyFill="1" applyBorder="1"/>
    <xf numFmtId="3" fontId="0" fillId="4" borderId="16" xfId="0" applyNumberFormat="1" applyFill="1" applyBorder="1"/>
    <xf numFmtId="3" fontId="0" fillId="9" borderId="22" xfId="0" applyNumberFormat="1" applyFill="1" applyBorder="1" applyAlignment="1">
      <alignment horizontal="right"/>
    </xf>
    <xf numFmtId="4" fontId="0" fillId="3" borderId="16" xfId="0" applyNumberFormat="1" applyFill="1" applyBorder="1"/>
    <xf numFmtId="2" fontId="0" fillId="10" borderId="16" xfId="0" applyNumberFormat="1" applyFill="1" applyBorder="1"/>
    <xf numFmtId="4" fontId="0" fillId="4" borderId="16" xfId="0" applyNumberFormat="1" applyFill="1" applyBorder="1"/>
    <xf numFmtId="0" fontId="0" fillId="4" borderId="16" xfId="0" applyFill="1" applyBorder="1"/>
    <xf numFmtId="0" fontId="0" fillId="12" borderId="24" xfId="0" applyFill="1" applyBorder="1"/>
    <xf numFmtId="3" fontId="0" fillId="12" borderId="25" xfId="0" applyNumberFormat="1" applyFill="1" applyBorder="1"/>
    <xf numFmtId="0" fontId="0" fillId="0" borderId="26" xfId="0" applyBorder="1"/>
    <xf numFmtId="0" fontId="0" fillId="0" borderId="27" xfId="0" applyBorder="1"/>
    <xf numFmtId="0" fontId="0" fillId="3" borderId="16" xfId="0" applyFill="1" applyBorder="1"/>
    <xf numFmtId="0" fontId="0" fillId="20" borderId="2" xfId="0" applyFill="1" applyBorder="1"/>
    <xf numFmtId="0" fontId="0" fillId="21" borderId="0" xfId="0" applyFill="1"/>
    <xf numFmtId="3" fontId="0" fillId="3" borderId="28" xfId="0" applyNumberFormat="1" applyFill="1" applyBorder="1"/>
    <xf numFmtId="3" fontId="0" fillId="0" borderId="0" xfId="0" applyNumberFormat="1"/>
    <xf numFmtId="3" fontId="0" fillId="19" borderId="28" xfId="0" applyNumberFormat="1" applyFill="1" applyBorder="1"/>
    <xf numFmtId="3" fontId="0" fillId="10" borderId="28" xfId="0" applyNumberFormat="1" applyFill="1" applyBorder="1"/>
    <xf numFmtId="3" fontId="0" fillId="4" borderId="28" xfId="0" applyNumberFormat="1" applyFill="1" applyBorder="1"/>
    <xf numFmtId="0" fontId="0" fillId="12" borderId="2" xfId="0" applyFill="1" applyBorder="1"/>
    <xf numFmtId="164" fontId="0" fillId="12" borderId="16" xfId="0" applyNumberFormat="1" applyFill="1" applyBorder="1"/>
    <xf numFmtId="0" fontId="0" fillId="4" borderId="2" xfId="0" applyFill="1" applyBorder="1"/>
    <xf numFmtId="2" fontId="0" fillId="4" borderId="16" xfId="0" applyNumberFormat="1" applyFill="1" applyBorder="1"/>
    <xf numFmtId="2" fontId="0" fillId="22" borderId="0" xfId="0" applyNumberFormat="1" applyFill="1"/>
    <xf numFmtId="0" fontId="10" fillId="11" borderId="15" xfId="0" applyFont="1" applyFill="1" applyBorder="1"/>
    <xf numFmtId="0" fontId="10" fillId="9" borderId="15" xfId="0" applyFont="1" applyFill="1" applyBorder="1"/>
    <xf numFmtId="9" fontId="0" fillId="11" borderId="16" xfId="0" applyNumberFormat="1" applyFill="1" applyBorder="1"/>
    <xf numFmtId="9" fontId="0" fillId="9" borderId="16" xfId="0" applyNumberFormat="1" applyFill="1" applyBorder="1"/>
    <xf numFmtId="9" fontId="0" fillId="19" borderId="16" xfId="0" applyNumberFormat="1" applyFill="1" applyBorder="1"/>
    <xf numFmtId="3" fontId="0" fillId="11" borderId="16" xfId="0" applyNumberFormat="1" applyFill="1" applyBorder="1"/>
    <xf numFmtId="3" fontId="0" fillId="9" borderId="16" xfId="0" applyNumberFormat="1" applyFill="1" applyBorder="1"/>
    <xf numFmtId="4" fontId="0" fillId="11" borderId="16" xfId="0" applyNumberFormat="1" applyFill="1" applyBorder="1"/>
    <xf numFmtId="43" fontId="0" fillId="19" borderId="16" xfId="2" applyFont="1" applyFill="1" applyBorder="1"/>
    <xf numFmtId="167" fontId="0" fillId="0" borderId="0" xfId="0" applyNumberFormat="1"/>
    <xf numFmtId="0" fontId="0" fillId="11" borderId="16" xfId="0" applyFill="1" applyBorder="1"/>
    <xf numFmtId="3" fontId="0" fillId="11" borderId="28" xfId="0" applyNumberFormat="1" applyFill="1" applyBorder="1"/>
    <xf numFmtId="3" fontId="0" fillId="9" borderId="28" xfId="0" applyNumberFormat="1" applyFill="1" applyBorder="1"/>
    <xf numFmtId="3" fontId="0" fillId="10" borderId="29" xfId="0" applyNumberFormat="1" applyFill="1" applyBorder="1"/>
    <xf numFmtId="3" fontId="0" fillId="4" borderId="29" xfId="0" applyNumberFormat="1" applyFill="1" applyBorder="1"/>
    <xf numFmtId="10" fontId="0" fillId="12" borderId="16" xfId="0" applyNumberFormat="1" applyFill="1" applyBorder="1"/>
    <xf numFmtId="0" fontId="0" fillId="11" borderId="15" xfId="0" applyFill="1" applyBorder="1"/>
    <xf numFmtId="0" fontId="0" fillId="9" borderId="15" xfId="0" applyFill="1" applyBorder="1"/>
    <xf numFmtId="0" fontId="0" fillId="19" borderId="15" xfId="0" applyFill="1" applyBorder="1"/>
    <xf numFmtId="0" fontId="0" fillId="10" borderId="15" xfId="0" applyFill="1" applyBorder="1"/>
    <xf numFmtId="0" fontId="0" fillId="4" borderId="15" xfId="0" applyFill="1" applyBorder="1"/>
    <xf numFmtId="3" fontId="0" fillId="11" borderId="17" xfId="0" applyNumberFormat="1" applyFill="1" applyBorder="1"/>
    <xf numFmtId="3" fontId="0" fillId="9" borderId="17" xfId="0" applyNumberFormat="1" applyFill="1" applyBorder="1"/>
    <xf numFmtId="3" fontId="0" fillId="0" borderId="29" xfId="0" applyNumberFormat="1" applyBorder="1"/>
    <xf numFmtId="0" fontId="0" fillId="22" borderId="0" xfId="0" applyFill="1"/>
    <xf numFmtId="2" fontId="0" fillId="0" borderId="0" xfId="0" applyNumberFormat="1"/>
    <xf numFmtId="10" fontId="0" fillId="20" borderId="1" xfId="0" applyNumberFormat="1" applyFill="1" applyBorder="1"/>
    <xf numFmtId="169" fontId="0" fillId="0" borderId="0" xfId="2" applyNumberFormat="1" applyFont="1"/>
    <xf numFmtId="169" fontId="10" fillId="0" borderId="0" xfId="2" applyNumberFormat="1" applyFont="1"/>
    <xf numFmtId="169" fontId="8" fillId="0" borderId="0" xfId="2" applyNumberFormat="1"/>
    <xf numFmtId="9" fontId="0" fillId="4" borderId="1" xfId="0" applyNumberFormat="1" applyFill="1" applyBorder="1"/>
    <xf numFmtId="9" fontId="0" fillId="4" borderId="1" xfId="1" applyFont="1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25" borderId="0" xfId="2" applyNumberFormat="1" applyFont="1" applyFill="1" applyAlignment="1">
      <alignment horizontal="center"/>
    </xf>
    <xf numFmtId="0" fontId="0" fillId="25" borderId="0" xfId="0" applyFill="1" applyAlignment="1">
      <alignment horizontal="center"/>
    </xf>
    <xf numFmtId="2" fontId="0" fillId="2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0" xfId="0" applyFill="1" applyBorder="1"/>
    <xf numFmtId="0" fontId="0" fillId="0" borderId="0" xfId="0" applyBorder="1"/>
    <xf numFmtId="9" fontId="0" fillId="3" borderId="1" xfId="0" applyNumberForma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9" fontId="0" fillId="11" borderId="1" xfId="1" applyNumberFormat="1" applyFon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9" fontId="0" fillId="9" borderId="1" xfId="1" applyNumberFormat="1" applyFon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43" fontId="0" fillId="2" borderId="1" xfId="2" applyFont="1" applyFill="1" applyBorder="1"/>
    <xf numFmtId="0" fontId="0" fillId="2" borderId="1" xfId="2" applyNumberFormat="1" applyFont="1" applyFill="1" applyBorder="1"/>
    <xf numFmtId="0" fontId="0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5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6" borderId="0" xfId="0" applyNumberFormat="1" applyFill="1"/>
    <xf numFmtId="164" fontId="0" fillId="29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6" borderId="1" xfId="0" applyNumberFormat="1" applyFill="1" applyBorder="1"/>
    <xf numFmtId="9" fontId="0" fillId="29" borderId="1" xfId="0" applyNumberFormat="1" applyFill="1" applyBorder="1"/>
    <xf numFmtId="0" fontId="0" fillId="29" borderId="1" xfId="0" applyFill="1" applyBorder="1"/>
    <xf numFmtId="9" fontId="0" fillId="29" borderId="1" xfId="1" applyFont="1" applyFill="1" applyBorder="1"/>
    <xf numFmtId="164" fontId="0" fillId="29" borderId="1" xfId="0" applyNumberFormat="1" applyFill="1" applyBorder="1"/>
    <xf numFmtId="9" fontId="0" fillId="2" borderId="1" xfId="1" applyFont="1" applyFill="1" applyBorder="1"/>
    <xf numFmtId="164" fontId="0" fillId="2" borderId="1" xfId="0" applyNumberFormat="1" applyFill="1" applyBorder="1"/>
    <xf numFmtId="0" fontId="0" fillId="28" borderId="1" xfId="0" applyFill="1" applyBorder="1"/>
    <xf numFmtId="9" fontId="0" fillId="28" borderId="1" xfId="0" applyNumberFormat="1" applyFill="1" applyBorder="1"/>
    <xf numFmtId="0" fontId="0" fillId="28" borderId="11" xfId="0" applyFill="1" applyBorder="1"/>
    <xf numFmtId="0" fontId="0" fillId="0" borderId="5" xfId="0" applyBorder="1" applyAlignment="1"/>
    <xf numFmtId="0" fontId="0" fillId="16" borderId="1" xfId="0" applyFont="1" applyFill="1" applyBorder="1"/>
    <xf numFmtId="9" fontId="0" fillId="16" borderId="1" xfId="0" applyNumberFormat="1" applyFont="1" applyFill="1" applyBorder="1"/>
    <xf numFmtId="0" fontId="9" fillId="0" borderId="6" xfId="0" applyFont="1" applyBorder="1" applyAlignment="1"/>
    <xf numFmtId="0" fontId="11" fillId="26" borderId="6" xfId="3" applyBorder="1" applyAlignment="1"/>
    <xf numFmtId="0" fontId="11" fillId="26" borderId="1" xfId="3" applyBorder="1"/>
    <xf numFmtId="9" fontId="11" fillId="26" borderId="1" xfId="3" applyNumberFormat="1" applyBorder="1"/>
    <xf numFmtId="170" fontId="0" fillId="0" borderId="0" xfId="0" applyNumberFormat="1"/>
    <xf numFmtId="169" fontId="0" fillId="16" borderId="1" xfId="2" applyNumberFormat="1" applyFont="1" applyFill="1" applyBorder="1"/>
    <xf numFmtId="0" fontId="0" fillId="28" borderId="0" xfId="0" applyFill="1" applyBorder="1"/>
    <xf numFmtId="0" fontId="12" fillId="27" borderId="6" xfId="4" applyBorder="1" applyAlignment="1"/>
    <xf numFmtId="0" fontId="12" fillId="27" borderId="1" xfId="4" applyBorder="1"/>
    <xf numFmtId="9" fontId="12" fillId="27" borderId="1" xfId="4" applyNumberFormat="1" applyBorder="1"/>
    <xf numFmtId="0" fontId="9" fillId="0" borderId="0" xfId="0" applyFont="1"/>
    <xf numFmtId="0" fontId="0" fillId="6" borderId="0" xfId="0" applyFill="1" applyBorder="1"/>
    <xf numFmtId="9" fontId="0" fillId="0" borderId="0" xfId="0" applyNumberFormat="1" applyFont="1"/>
    <xf numFmtId="9" fontId="0" fillId="0" borderId="5" xfId="0" applyNumberFormat="1" applyFont="1" applyBorder="1" applyAlignment="1"/>
    <xf numFmtId="9" fontId="0" fillId="0" borderId="5" xfId="0" applyNumberFormat="1" applyBorder="1" applyAlignment="1"/>
    <xf numFmtId="9" fontId="11" fillId="26" borderId="0" xfId="3" applyNumberFormat="1"/>
    <xf numFmtId="10" fontId="0" fillId="16" borderId="1" xfId="0" applyNumberFormat="1" applyFont="1" applyFill="1" applyBorder="1"/>
    <xf numFmtId="10" fontId="0" fillId="4" borderId="1" xfId="1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/>
    <xf numFmtId="0" fontId="0" fillId="12" borderId="0" xfId="0" applyFill="1"/>
    <xf numFmtId="0" fontId="0" fillId="16" borderId="0" xfId="0" applyFill="1"/>
    <xf numFmtId="0" fontId="10" fillId="0" borderId="0" xfId="0" applyFont="1"/>
    <xf numFmtId="0" fontId="0" fillId="13" borderId="0" xfId="0" applyFill="1"/>
    <xf numFmtId="0" fontId="0" fillId="24" borderId="0" xfId="0" applyFill="1"/>
    <xf numFmtId="0" fontId="0" fillId="30" borderId="0" xfId="0" applyFill="1"/>
    <xf numFmtId="0" fontId="0" fillId="11" borderId="0" xfId="0" applyFill="1"/>
    <xf numFmtId="0" fontId="0" fillId="5" borderId="6" xfId="0" applyFill="1" applyBorder="1"/>
    <xf numFmtId="0" fontId="0" fillId="5" borderId="5" xfId="0" applyFill="1" applyBorder="1"/>
    <xf numFmtId="0" fontId="0" fillId="16" borderId="6" xfId="0" applyFill="1" applyBorder="1"/>
    <xf numFmtId="0" fontId="0" fillId="11" borderId="8" xfId="0" applyFill="1" applyBorder="1"/>
    <xf numFmtId="0" fontId="0" fillId="12" borderId="5" xfId="0" applyFill="1" applyBorder="1"/>
    <xf numFmtId="0" fontId="0" fillId="12" borderId="0" xfId="0" applyFill="1" applyBorder="1"/>
    <xf numFmtId="0" fontId="0" fillId="5" borderId="0" xfId="0" applyFill="1" applyBorder="1"/>
    <xf numFmtId="0" fontId="0" fillId="30" borderId="0" xfId="0" applyFill="1" applyBorder="1"/>
    <xf numFmtId="0" fontId="0" fillId="13" borderId="11" xfId="0" applyFill="1" applyBorder="1"/>
    <xf numFmtId="0" fontId="0" fillId="11" borderId="10" xfId="0" applyFill="1" applyBorder="1"/>
    <xf numFmtId="0" fontId="0" fillId="24" borderId="0" xfId="0" applyFill="1" applyBorder="1"/>
    <xf numFmtId="0" fontId="0" fillId="30" borderId="11" xfId="0" applyFill="1" applyBorder="1"/>
    <xf numFmtId="0" fontId="0" fillId="11" borderId="12" xfId="0" applyFill="1" applyBorder="1"/>
    <xf numFmtId="0" fontId="0" fillId="2" borderId="6" xfId="0" applyFill="1" applyBorder="1"/>
    <xf numFmtId="0" fontId="0" fillId="30" borderId="6" xfId="0" applyFill="1" applyBorder="1"/>
    <xf numFmtId="0" fontId="0" fillId="13" borderId="13" xfId="0" applyFill="1" applyBorder="1"/>
    <xf numFmtId="0" fontId="10" fillId="24" borderId="0" xfId="0" applyFont="1" applyFill="1"/>
    <xf numFmtId="0" fontId="10" fillId="24" borderId="5" xfId="0" applyFont="1" applyFill="1" applyBorder="1"/>
    <xf numFmtId="0" fontId="0" fillId="0" borderId="7" xfId="0" applyBorder="1"/>
    <xf numFmtId="0" fontId="0" fillId="0" borderId="3" xfId="0" applyBorder="1"/>
    <xf numFmtId="0" fontId="0" fillId="11" borderId="0" xfId="0" applyFill="1" applyBorder="1"/>
    <xf numFmtId="3" fontId="0" fillId="18" borderId="28" xfId="0" applyNumberFormat="1" applyFill="1" applyBorder="1"/>
    <xf numFmtId="0" fontId="0" fillId="5" borderId="0" xfId="0" applyFill="1" applyAlignment="1">
      <alignment wrapText="1"/>
    </xf>
    <xf numFmtId="9" fontId="0" fillId="5" borderId="1" xfId="0" applyNumberFormat="1" applyFill="1" applyBorder="1"/>
    <xf numFmtId="9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/>
    <xf numFmtId="16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9" fontId="0" fillId="5" borderId="1" xfId="1" applyNumberFormat="1" applyFont="1" applyFill="1" applyBorder="1" applyAlignment="1">
      <alignment horizontal="center"/>
    </xf>
    <xf numFmtId="2" fontId="0" fillId="24" borderId="1" xfId="0" applyNumberFormat="1" applyFill="1" applyBorder="1"/>
    <xf numFmtId="10" fontId="0" fillId="4" borderId="1" xfId="0" applyNumberForma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9" fontId="0" fillId="2" borderId="1" xfId="0" applyNumberFormat="1" applyFill="1" applyBorder="1"/>
    <xf numFmtId="9" fontId="0" fillId="13" borderId="1" xfId="0" applyNumberFormat="1" applyFill="1" applyBorder="1"/>
    <xf numFmtId="9" fontId="0" fillId="9" borderId="1" xfId="0" applyNumberFormat="1" applyFill="1" applyBorder="1"/>
    <xf numFmtId="9" fontId="0" fillId="14" borderId="1" xfId="0" applyNumberFormat="1" applyFill="1" applyBorder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3" fontId="0" fillId="9" borderId="1" xfId="0" applyNumberFormat="1" applyFill="1" applyBorder="1" applyAlignment="1">
      <alignment horizontal="center"/>
    </xf>
    <xf numFmtId="168" fontId="0" fillId="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0" fontId="0" fillId="20" borderId="1" xfId="0" applyNumberForma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3" fontId="0" fillId="12" borderId="2" xfId="0" applyNumberFormat="1" applyFill="1" applyBorder="1" applyAlignment="1">
      <alignment horizontal="center"/>
    </xf>
    <xf numFmtId="3" fontId="0" fillId="12" borderId="7" xfId="0" applyNumberFormat="1" applyFill="1" applyBorder="1" applyAlignment="1">
      <alignment horizontal="center"/>
    </xf>
    <xf numFmtId="3" fontId="0" fillId="12" borderId="3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9" fontId="0" fillId="20" borderId="1" xfId="0" applyNumberFormat="1" applyFill="1" applyBorder="1" applyAlignment="1">
      <alignment horizontal="center"/>
    </xf>
    <xf numFmtId="3" fontId="9" fillId="19" borderId="2" xfId="0" applyNumberFormat="1" applyFont="1" applyFill="1" applyBorder="1" applyAlignment="1">
      <alignment horizontal="center"/>
    </xf>
    <xf numFmtId="3" fontId="9" fillId="19" borderId="7" xfId="0" applyNumberFormat="1" applyFont="1" applyFill="1" applyBorder="1" applyAlignment="1">
      <alignment horizontal="center"/>
    </xf>
    <xf numFmtId="3" fontId="9" fillId="19" borderId="3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0" fontId="0" fillId="5" borderId="2" xfId="1" applyNumberFormat="1" applyFont="1" applyFill="1" applyBorder="1" applyAlignment="1">
      <alignment horizontal="center"/>
    </xf>
    <xf numFmtId="10" fontId="0" fillId="5" borderId="7" xfId="1" applyNumberFormat="1" applyFont="1" applyFill="1" applyBorder="1" applyAlignment="1">
      <alignment horizontal="center"/>
    </xf>
    <xf numFmtId="10" fontId="0" fillId="5" borderId="3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2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3" borderId="0" xfId="0" applyFill="1"/>
    <xf numFmtId="0" fontId="0" fillId="34" borderId="0" xfId="0" applyFill="1"/>
    <xf numFmtId="9" fontId="0" fillId="0" borderId="0" xfId="1" applyFont="1"/>
    <xf numFmtId="0" fontId="0" fillId="0" borderId="0" xfId="1" applyNumberFormat="1" applyFont="1"/>
    <xf numFmtId="0" fontId="0" fillId="0" borderId="0" xfId="0" applyAlignment="1"/>
    <xf numFmtId="10" fontId="0" fillId="0" borderId="0" xfId="0" applyNumberFormat="1" applyAlignment="1">
      <alignment horizontal="center"/>
    </xf>
    <xf numFmtId="0" fontId="11" fillId="26" borderId="0" xfId="3" applyAlignment="1">
      <alignment horizontal="center"/>
    </xf>
    <xf numFmtId="0" fontId="11" fillId="26" borderId="0" xfId="3"/>
    <xf numFmtId="14" fontId="0" fillId="0" borderId="0" xfId="0" applyNumberFormat="1"/>
    <xf numFmtId="0" fontId="17" fillId="32" borderId="31" xfId="6"/>
    <xf numFmtId="0" fontId="17" fillId="32" borderId="31" xfId="6" applyAlignment="1">
      <alignment horizontal="center"/>
    </xf>
    <xf numFmtId="10" fontId="17" fillId="32" borderId="31" xfId="6" applyNumberFormat="1" applyAlignment="1">
      <alignment horizontal="center"/>
    </xf>
    <xf numFmtId="0" fontId="16" fillId="31" borderId="31" xfId="5"/>
    <xf numFmtId="10" fontId="16" fillId="31" borderId="31" xfId="5" applyNumberFormat="1"/>
    <xf numFmtId="9" fontId="16" fillId="31" borderId="31" xfId="5" applyNumberFormat="1"/>
  </cellXfs>
  <cellStyles count="7">
    <cellStyle name="Bad" xfId="4" builtinId="27"/>
    <cellStyle name="Calculation" xfId="6" builtinId="22"/>
    <cellStyle name="Comma" xfId="2" builtinId="3"/>
    <cellStyle name="Good" xfId="3" builtinId="26"/>
    <cellStyle name="Input" xfId="5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  <color rgb="FF00FFFF"/>
      <color rgb="FFFFCCFF"/>
      <color rgb="FFCCCCFF"/>
      <color rgb="FF00FF99"/>
      <color rgb="FFFF9966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tabSelected="1" topLeftCell="A88" zoomScale="120" zoomScaleNormal="115" workbookViewId="0">
      <selection activeCell="I104" sqref="I104"/>
    </sheetView>
  </sheetViews>
  <sheetFormatPr defaultRowHeight="14.5" x14ac:dyDescent="0.35"/>
  <cols>
    <col min="1" max="1" width="23.54296875" customWidth="1"/>
    <col min="2" max="2" width="6.81640625" customWidth="1"/>
    <col min="3" max="4" width="15.7265625" customWidth="1"/>
    <col min="5" max="5" width="8.1796875" customWidth="1"/>
    <col min="6" max="6" width="10.6328125" customWidth="1"/>
    <col min="7" max="7" width="15.453125" customWidth="1"/>
    <col min="8" max="8" width="5.81640625" customWidth="1"/>
    <col min="9" max="9" width="13.26953125" customWidth="1"/>
    <col min="10" max="10" width="18.453125" customWidth="1"/>
    <col min="11" max="11" width="4.36328125" customWidth="1"/>
    <col min="12" max="13" width="12.6328125" customWidth="1"/>
    <col min="14" max="14" width="3" customWidth="1"/>
    <col min="15" max="15" width="3.54296875" customWidth="1"/>
    <col min="16" max="16" width="12.54296875" customWidth="1"/>
    <col min="17" max="17" width="16.81640625" customWidth="1"/>
  </cols>
  <sheetData>
    <row r="1" spans="1:17" x14ac:dyDescent="0.35">
      <c r="A1" s="354" t="s">
        <v>102</v>
      </c>
      <c r="B1" s="354"/>
      <c r="C1" s="354"/>
    </row>
    <row r="2" spans="1:17" x14ac:dyDescent="0.35">
      <c r="A2" s="355" t="s">
        <v>371</v>
      </c>
      <c r="B2" s="355"/>
      <c r="C2" s="355"/>
    </row>
    <row r="4" spans="1:17" x14ac:dyDescent="0.35">
      <c r="A4" s="10" t="s">
        <v>231</v>
      </c>
      <c r="B4" s="358" t="s">
        <v>261</v>
      </c>
      <c r="C4" s="359"/>
      <c r="D4" s="360"/>
      <c r="E4" s="358" t="s">
        <v>517</v>
      </c>
      <c r="F4" s="360"/>
      <c r="G4" s="10"/>
      <c r="H4" s="10"/>
      <c r="I4" s="356"/>
      <c r="J4" s="356"/>
    </row>
    <row r="5" spans="1:17" x14ac:dyDescent="0.35">
      <c r="A5" s="10" t="s">
        <v>528</v>
      </c>
      <c r="B5" s="361" t="s">
        <v>232</v>
      </c>
      <c r="C5" s="362"/>
      <c r="D5" s="363"/>
      <c r="E5" s="348" t="s">
        <v>233</v>
      </c>
      <c r="F5" s="348"/>
      <c r="G5" s="352" t="s">
        <v>234</v>
      </c>
      <c r="H5" s="352"/>
      <c r="I5" s="357" t="s">
        <v>235</v>
      </c>
      <c r="J5" s="357"/>
    </row>
    <row r="6" spans="1:17" x14ac:dyDescent="0.35">
      <c r="A6" s="66" t="s">
        <v>237</v>
      </c>
      <c r="B6" s="370">
        <v>1400</v>
      </c>
      <c r="C6" s="371"/>
      <c r="D6" s="372"/>
      <c r="E6" s="348"/>
      <c r="F6" s="348"/>
      <c r="G6" s="352"/>
      <c r="H6" s="352"/>
      <c r="I6" s="350">
        <f>B6</f>
        <v>1400</v>
      </c>
      <c r="J6" s="350"/>
      <c r="P6" t="s">
        <v>287</v>
      </c>
    </row>
    <row r="7" spans="1:17" x14ac:dyDescent="0.35">
      <c r="A7" s="66" t="s">
        <v>26</v>
      </c>
      <c r="B7" s="370">
        <v>400</v>
      </c>
      <c r="C7" s="371"/>
      <c r="D7" s="372"/>
      <c r="E7" s="348">
        <v>33</v>
      </c>
      <c r="F7" s="348"/>
      <c r="G7" s="353">
        <f>B7/E7/100</f>
        <v>0.12121212121212122</v>
      </c>
      <c r="H7" s="353"/>
      <c r="I7" s="351" t="str">
        <f>ROUND((1.5)/(1+G7),2)&amp; " Sec GCD"</f>
        <v>1.34 Sec GCD</v>
      </c>
      <c r="J7" s="351"/>
      <c r="L7" t="s">
        <v>197</v>
      </c>
      <c r="M7" s="198">
        <f>B7</f>
        <v>400</v>
      </c>
    </row>
    <row r="8" spans="1:17" x14ac:dyDescent="0.35">
      <c r="A8" s="66" t="s">
        <v>240</v>
      </c>
      <c r="B8" s="370">
        <v>750</v>
      </c>
      <c r="C8" s="371"/>
      <c r="D8" s="372"/>
      <c r="E8" s="349">
        <v>40</v>
      </c>
      <c r="F8" s="349"/>
      <c r="G8" s="353">
        <f>B8/E8/100</f>
        <v>0.1875</v>
      </c>
      <c r="H8" s="353"/>
      <c r="I8" s="350">
        <f>I6*(G8 + 1)</f>
        <v>1662.5</v>
      </c>
      <c r="J8" s="350"/>
      <c r="L8" t="s">
        <v>26</v>
      </c>
      <c r="M8" s="100">
        <f>M7/68/100</f>
        <v>5.8823529411764712E-2</v>
      </c>
      <c r="P8" s="347" t="s">
        <v>288</v>
      </c>
      <c r="Q8" s="347"/>
    </row>
    <row r="9" spans="1:17" x14ac:dyDescent="0.35">
      <c r="A9" s="66" t="s">
        <v>242</v>
      </c>
      <c r="B9" s="370">
        <v>50</v>
      </c>
      <c r="C9" s="371"/>
      <c r="D9" s="372"/>
      <c r="E9" s="348">
        <v>35</v>
      </c>
      <c r="F9" s="348"/>
      <c r="G9" s="353">
        <f>(B9/E9/100) + 5%</f>
        <v>6.4285714285714293E-2</v>
      </c>
      <c r="H9" s="353"/>
      <c r="I9" s="350">
        <f>(I6 * (2*G9))</f>
        <v>180.00000000000003</v>
      </c>
      <c r="J9" s="350"/>
      <c r="L9" t="s">
        <v>27</v>
      </c>
      <c r="M9">
        <f>1.5 /(1+M8)</f>
        <v>1.4166666666666667</v>
      </c>
      <c r="P9" s="347" t="s">
        <v>289</v>
      </c>
      <c r="Q9" s="347"/>
    </row>
    <row r="10" spans="1:17" x14ac:dyDescent="0.35">
      <c r="A10" s="66"/>
      <c r="B10" s="370"/>
      <c r="C10" s="371"/>
      <c r="D10" s="372"/>
      <c r="E10" s="348"/>
      <c r="F10" s="348"/>
      <c r="G10" s="369"/>
      <c r="H10" s="369"/>
      <c r="I10" s="350"/>
      <c r="J10" s="350"/>
      <c r="P10" s="347" t="s">
        <v>290</v>
      </c>
      <c r="Q10" s="347"/>
    </row>
    <row r="11" spans="1:17" x14ac:dyDescent="0.35">
      <c r="A11" s="69" t="s">
        <v>134</v>
      </c>
      <c r="B11" s="364">
        <v>100000</v>
      </c>
      <c r="C11" s="365"/>
      <c r="D11" s="366"/>
      <c r="E11" s="356"/>
      <c r="F11" s="356"/>
      <c r="G11" s="10"/>
      <c r="H11" s="10"/>
      <c r="I11" s="356"/>
      <c r="J11" s="356"/>
    </row>
    <row r="12" spans="1:17" x14ac:dyDescent="0.35">
      <c r="A12" s="93"/>
      <c r="B12" s="93"/>
      <c r="C12" s="93"/>
      <c r="D12" s="245"/>
      <c r="E12" s="93"/>
      <c r="F12" s="93"/>
      <c r="I12" s="93"/>
      <c r="J12" s="93"/>
    </row>
    <row r="13" spans="1:17" ht="17" customHeight="1" x14ac:dyDescent="0.35">
      <c r="A13" s="93"/>
      <c r="B13" s="93"/>
      <c r="C13" s="93"/>
      <c r="D13" s="245"/>
      <c r="E13" s="93"/>
      <c r="F13" s="93"/>
      <c r="I13" s="367" t="s">
        <v>262</v>
      </c>
      <c r="J13" s="367"/>
    </row>
    <row r="14" spans="1:17" x14ac:dyDescent="0.35">
      <c r="A14" s="93"/>
      <c r="B14" s="93"/>
      <c r="C14" s="93"/>
      <c r="D14" s="245"/>
      <c r="E14" s="93"/>
      <c r="F14" s="93"/>
      <c r="I14" s="367"/>
      <c r="J14" s="367"/>
    </row>
    <row r="15" spans="1:17" x14ac:dyDescent="0.35">
      <c r="C15" s="93"/>
      <c r="D15" s="245"/>
      <c r="E15" s="93"/>
      <c r="I15" s="368"/>
      <c r="J15" s="368"/>
      <c r="L15" t="s">
        <v>60</v>
      </c>
      <c r="M15" t="s">
        <v>50</v>
      </c>
      <c r="P15" t="s">
        <v>103</v>
      </c>
    </row>
    <row r="16" spans="1:17" x14ac:dyDescent="0.35">
      <c r="A16" s="1" t="s">
        <v>2</v>
      </c>
      <c r="C16" s="3" t="s">
        <v>4</v>
      </c>
      <c r="D16" s="247" t="s">
        <v>303</v>
      </c>
      <c r="F16" s="4" t="s">
        <v>5</v>
      </c>
      <c r="G16" s="4" t="s">
        <v>6</v>
      </c>
      <c r="I16" s="5" t="s">
        <v>7</v>
      </c>
      <c r="J16" s="5" t="s">
        <v>8</v>
      </c>
      <c r="L16" s="66" t="s">
        <v>57</v>
      </c>
      <c r="M16" s="66" t="s">
        <v>61</v>
      </c>
      <c r="P16" s="6" t="s">
        <v>104</v>
      </c>
    </row>
    <row r="17" spans="1:16" x14ac:dyDescent="0.35">
      <c r="A17" s="1" t="s">
        <v>425</v>
      </c>
      <c r="B17" s="2"/>
      <c r="C17" s="51"/>
      <c r="D17" s="249">
        <v>1.4</v>
      </c>
      <c r="F17" s="4"/>
      <c r="G17" s="4"/>
      <c r="I17" s="5"/>
      <c r="J17" s="5"/>
      <c r="L17" s="66"/>
      <c r="M17" s="66"/>
      <c r="P17" s="6"/>
    </row>
    <row r="18" spans="1:16" x14ac:dyDescent="0.35">
      <c r="A18" s="1" t="s">
        <v>11</v>
      </c>
      <c r="B18" s="2"/>
      <c r="C18" s="51">
        <v>3.2</v>
      </c>
      <c r="D18" s="249">
        <f>C18*D17</f>
        <v>4.4799999999999995</v>
      </c>
      <c r="F18" s="52">
        <f>0.4% * 8</f>
        <v>3.2000000000000001E-2</v>
      </c>
      <c r="G18" s="91">
        <f>(C18 / F18)</f>
        <v>100</v>
      </c>
      <c r="I18" s="61">
        <f>8/(1+M8)</f>
        <v>7.5555555555555554</v>
      </c>
      <c r="J18" s="55">
        <f xml:space="preserve"> (C18 / I18)</f>
        <v>0.42352941176470593</v>
      </c>
      <c r="L18" s="66" t="s">
        <v>63</v>
      </c>
      <c r="M18" s="66"/>
      <c r="P18" s="6"/>
    </row>
    <row r="19" spans="1:16" x14ac:dyDescent="0.35">
      <c r="A19" s="1" t="s">
        <v>12</v>
      </c>
      <c r="B19" s="2"/>
      <c r="C19" s="51">
        <v>1.61</v>
      </c>
      <c r="D19" s="249">
        <f>C19*D17</f>
        <v>2.254</v>
      </c>
      <c r="F19" s="52">
        <v>2.5000000000000001E-2</v>
      </c>
      <c r="G19" s="91">
        <f t="shared" ref="G19:G22" si="0">(C19 / F19)</f>
        <v>64.400000000000006</v>
      </c>
      <c r="I19" s="61">
        <v>20</v>
      </c>
      <c r="J19" s="55">
        <f xml:space="preserve"> (C19/I19)</f>
        <v>8.0500000000000002E-2</v>
      </c>
      <c r="L19" s="66" t="s">
        <v>56</v>
      </c>
      <c r="M19" s="66"/>
      <c r="P19" s="92">
        <v>9</v>
      </c>
    </row>
    <row r="20" spans="1:16" x14ac:dyDescent="0.35">
      <c r="A20" s="1" t="s">
        <v>13</v>
      </c>
      <c r="B20" s="2"/>
      <c r="C20" s="56">
        <v>2.3759999999999999</v>
      </c>
      <c r="D20" s="249">
        <f>C20*D17</f>
        <v>3.3263999999999996</v>
      </c>
      <c r="F20" s="52">
        <v>5.1999999999999998E-2</v>
      </c>
      <c r="G20" s="91">
        <f t="shared" si="0"/>
        <v>45.692307692307693</v>
      </c>
      <c r="I20" s="61">
        <v>6</v>
      </c>
      <c r="J20" s="55">
        <f t="shared" ref="J20:J22" si="1" xml:space="preserve"> (C20/I20)</f>
        <v>0.39599999999999996</v>
      </c>
      <c r="L20" s="66" t="s">
        <v>56</v>
      </c>
      <c r="M20" s="66"/>
      <c r="P20" s="92"/>
    </row>
    <row r="21" spans="1:16" x14ac:dyDescent="0.35">
      <c r="A21" s="1" t="s">
        <v>53</v>
      </c>
      <c r="B21" s="2"/>
      <c r="C21" s="57">
        <f>101% + (1)*(74%)</f>
        <v>1.75</v>
      </c>
      <c r="D21" s="250">
        <f>C21*D17</f>
        <v>2.4499999999999997</v>
      </c>
      <c r="F21" s="52">
        <v>3.5000000000000003E-2</v>
      </c>
      <c r="G21" s="91">
        <f t="shared" si="0"/>
        <v>49.999999999999993</v>
      </c>
      <c r="I21" s="61">
        <f>M9</f>
        <v>1.4166666666666667</v>
      </c>
      <c r="J21" s="55">
        <f t="shared" si="1"/>
        <v>1.2352941176470587</v>
      </c>
      <c r="L21" s="66"/>
      <c r="M21" s="66" t="s">
        <v>58</v>
      </c>
      <c r="P21" s="92"/>
    </row>
    <row r="22" spans="1:16" x14ac:dyDescent="0.35">
      <c r="A22" s="1" t="s">
        <v>105</v>
      </c>
      <c r="B22" s="2"/>
      <c r="C22" s="57">
        <f>101% + (74%*2)</f>
        <v>2.4900000000000002</v>
      </c>
      <c r="D22" s="249">
        <f>C22*D17</f>
        <v>3.4860000000000002</v>
      </c>
      <c r="F22" s="52">
        <v>3.5000000000000003E-2</v>
      </c>
      <c r="G22" s="91">
        <f t="shared" si="0"/>
        <v>71.142857142857139</v>
      </c>
      <c r="I22" s="61">
        <f>M9</f>
        <v>1.4166666666666667</v>
      </c>
      <c r="J22" s="55">
        <f t="shared" si="1"/>
        <v>1.7576470588235296</v>
      </c>
      <c r="L22" s="66"/>
      <c r="M22" s="66" t="s">
        <v>58</v>
      </c>
      <c r="P22" s="92"/>
    </row>
    <row r="23" spans="1:16" x14ac:dyDescent="0.35">
      <c r="A23" s="1" t="s">
        <v>84</v>
      </c>
      <c r="B23" s="2"/>
      <c r="C23" s="57">
        <f>101% + (74%*3)</f>
        <v>3.2299999999999995</v>
      </c>
      <c r="D23" s="249">
        <f>C23*D17</f>
        <v>4.5219999999999994</v>
      </c>
      <c r="F23" s="52">
        <v>3.5000000000000003E-2</v>
      </c>
      <c r="G23" s="91">
        <f t="shared" ref="G23" si="2">(C23 / F23)</f>
        <v>92.285714285714263</v>
      </c>
      <c r="I23" s="61">
        <f>M9</f>
        <v>1.4166666666666667</v>
      </c>
      <c r="J23" s="55">
        <f t="shared" ref="J23" si="3" xml:space="preserve"> (C23/I23)</f>
        <v>2.2799999999999994</v>
      </c>
      <c r="L23" s="66"/>
      <c r="M23" s="66" t="s">
        <v>58</v>
      </c>
      <c r="P23" s="92"/>
    </row>
    <row r="24" spans="1:16" x14ac:dyDescent="0.35">
      <c r="A24" s="1" t="s">
        <v>76</v>
      </c>
      <c r="B24" s="2"/>
      <c r="C24" s="57">
        <f xml:space="preserve"> (33.75% * 18) + (12% * 5)</f>
        <v>6.6749999999999998</v>
      </c>
      <c r="D24" s="250">
        <f>C24*D17</f>
        <v>9.3449999999999989</v>
      </c>
      <c r="F24" s="52">
        <v>7.1999999999999995E-2</v>
      </c>
      <c r="G24" s="91">
        <f>(C24 / F24)</f>
        <v>92.708333333333343</v>
      </c>
      <c r="I24" s="61">
        <f>8/(1+M8)</f>
        <v>7.5555555555555554</v>
      </c>
      <c r="J24" s="55">
        <f xml:space="preserve"> (C24/I24)</f>
        <v>0.88345588235294115</v>
      </c>
      <c r="L24" s="66"/>
      <c r="M24" s="66" t="s">
        <v>62</v>
      </c>
      <c r="P24" s="92">
        <v>12</v>
      </c>
    </row>
    <row r="25" spans="1:16" x14ac:dyDescent="0.35">
      <c r="A25" s="1" t="s">
        <v>77</v>
      </c>
      <c r="B25" s="2"/>
      <c r="C25" s="57">
        <f xml:space="preserve"> (3 * (6 *(33.75% + 12%)))</f>
        <v>8.2349999999999994</v>
      </c>
      <c r="D25" s="249">
        <f>C25*D17</f>
        <v>11.528999999999998</v>
      </c>
      <c r="F25" s="52">
        <v>7.1999999999999995E-2</v>
      </c>
      <c r="G25" s="91">
        <f>(C25 / F25)</f>
        <v>114.375</v>
      </c>
      <c r="I25" s="61">
        <f>8/(1+M8)</f>
        <v>7.5555555555555554</v>
      </c>
      <c r="J25" s="55">
        <f xml:space="preserve"> (C25/I25)</f>
        <v>1.0899264705882352</v>
      </c>
      <c r="L25" s="66"/>
      <c r="M25" s="66" t="s">
        <v>62</v>
      </c>
      <c r="P25" s="92">
        <v>12</v>
      </c>
    </row>
    <row r="26" spans="1:16" x14ac:dyDescent="0.35">
      <c r="A26" s="1" t="s">
        <v>54</v>
      </c>
      <c r="B26" s="2"/>
      <c r="C26" s="57">
        <f>1100%</f>
        <v>11</v>
      </c>
      <c r="D26" s="249">
        <f>C26*D17</f>
        <v>15.399999999999999</v>
      </c>
      <c r="F26" s="52">
        <v>2.4E-2</v>
      </c>
      <c r="G26" s="91">
        <f>(C26 / F26)</f>
        <v>458.33333333333331</v>
      </c>
      <c r="I26" s="61">
        <v>12</v>
      </c>
      <c r="J26" s="55">
        <f xml:space="preserve"> (C26/I26)</f>
        <v>0.91666666666666663</v>
      </c>
      <c r="L26" s="66" t="s">
        <v>59</v>
      </c>
      <c r="M26" s="66"/>
      <c r="P26" s="92">
        <f>2*60</f>
        <v>120</v>
      </c>
    </row>
    <row r="27" spans="1:16" x14ac:dyDescent="0.35">
      <c r="A27" s="1" t="s">
        <v>98</v>
      </c>
      <c r="B27" s="2"/>
      <c r="C27" s="57">
        <f>225%*5</f>
        <v>11.25</v>
      </c>
      <c r="D27" s="250">
        <f>C27*D17</f>
        <v>15.749999999999998</v>
      </c>
      <c r="F27" s="52">
        <v>4.3740000000000001E-2</v>
      </c>
      <c r="G27" s="91">
        <f>(C27 / F27)</f>
        <v>257.20164609053495</v>
      </c>
      <c r="I27" s="61">
        <f>M9</f>
        <v>1.4166666666666667</v>
      </c>
      <c r="J27" s="55">
        <f xml:space="preserve"> (C27/I27)</f>
        <v>7.9411764705882346</v>
      </c>
      <c r="L27" s="66"/>
      <c r="M27" s="66" t="s">
        <v>58</v>
      </c>
      <c r="P27" s="92">
        <f>3*60</f>
        <v>180</v>
      </c>
    </row>
    <row r="28" spans="1:16" x14ac:dyDescent="0.35">
      <c r="A28" s="1" t="s">
        <v>78</v>
      </c>
      <c r="B28" s="2"/>
      <c r="C28" s="57">
        <f>225%*20</f>
        <v>45</v>
      </c>
      <c r="D28" s="249">
        <f>C28*D17</f>
        <v>62.999999999999993</v>
      </c>
      <c r="F28" s="52">
        <v>4.3740000000000001E-2</v>
      </c>
      <c r="G28" s="91">
        <f>(C28 / F28)</f>
        <v>1028.8065843621398</v>
      </c>
      <c r="I28" s="61">
        <f>M9</f>
        <v>1.4166666666666667</v>
      </c>
      <c r="J28" s="55">
        <f xml:space="preserve"> (C28/I28)</f>
        <v>31.764705882352938</v>
      </c>
      <c r="L28" s="66"/>
      <c r="M28" s="66" t="s">
        <v>58</v>
      </c>
      <c r="P28" s="92">
        <f>3*60</f>
        <v>180</v>
      </c>
    </row>
    <row r="30" spans="1:16" x14ac:dyDescent="0.35">
      <c r="A30" s="4" t="s">
        <v>19</v>
      </c>
      <c r="C30" s="4" t="s">
        <v>4</v>
      </c>
      <c r="D30" s="4" t="s">
        <v>303</v>
      </c>
      <c r="F30" s="4" t="s">
        <v>5</v>
      </c>
      <c r="G30" s="4" t="s">
        <v>6</v>
      </c>
      <c r="I30" s="5" t="s">
        <v>7</v>
      </c>
      <c r="J30" s="5" t="s">
        <v>8</v>
      </c>
      <c r="L30" s="66" t="s">
        <v>57</v>
      </c>
      <c r="M30" s="66" t="s">
        <v>61</v>
      </c>
      <c r="P30" s="92"/>
    </row>
    <row r="31" spans="1:16" x14ac:dyDescent="0.35">
      <c r="A31" s="4" t="s">
        <v>370</v>
      </c>
      <c r="C31" s="4"/>
      <c r="D31" s="257">
        <v>1.4</v>
      </c>
      <c r="F31" s="4"/>
      <c r="G31" s="4"/>
      <c r="I31" s="5"/>
      <c r="J31" s="5"/>
      <c r="L31" s="66"/>
      <c r="M31" s="66"/>
      <c r="P31" s="92"/>
    </row>
    <row r="32" spans="1:16" x14ac:dyDescent="0.35">
      <c r="A32" s="4" t="s">
        <v>20</v>
      </c>
      <c r="C32" s="237">
        <f>155%*1.1</f>
        <v>1.7050000000000003</v>
      </c>
      <c r="D32" s="257">
        <f>C32*D31</f>
        <v>2.3870000000000005</v>
      </c>
      <c r="F32" s="298">
        <f>360/20000 *0.95</f>
        <v>1.7099999999999997E-2</v>
      </c>
      <c r="G32" s="91">
        <f>(C32 / F32)</f>
        <v>99.707602339181321</v>
      </c>
      <c r="I32" s="61">
        <f>2.5/(1+M8)</f>
        <v>2.3611111111111112</v>
      </c>
      <c r="J32" s="54">
        <f xml:space="preserve"> (C32 / I32)</f>
        <v>0.72211764705882364</v>
      </c>
      <c r="L32" s="66" t="s">
        <v>58</v>
      </c>
      <c r="M32" s="66"/>
      <c r="P32" s="92"/>
    </row>
    <row r="33" spans="1:16" x14ac:dyDescent="0.35">
      <c r="A33" s="4" t="s">
        <v>23</v>
      </c>
      <c r="C33" s="237">
        <f>66.25% + (66.25%)*1.15</f>
        <v>1.4243749999999999</v>
      </c>
      <c r="D33" s="257">
        <f>C33*D31</f>
        <v>1.9941249999999997</v>
      </c>
      <c r="F33" s="52">
        <f>320/20000</f>
        <v>1.6E-2</v>
      </c>
      <c r="G33" s="91">
        <f t="shared" ref="G33" si="4">(C33 / F33)</f>
        <v>89.0234375</v>
      </c>
      <c r="I33" s="61">
        <f>15+3</f>
        <v>18</v>
      </c>
      <c r="J33" s="55">
        <f t="shared" ref="J33" si="5" xml:space="preserve"> (C33/I33)</f>
        <v>7.9131944444444435E-2</v>
      </c>
      <c r="L33" s="66" t="s">
        <v>56</v>
      </c>
      <c r="M33" s="66"/>
      <c r="P33" s="92">
        <v>6</v>
      </c>
    </row>
    <row r="34" spans="1:16" x14ac:dyDescent="0.35">
      <c r="A34" s="4" t="s">
        <v>21</v>
      </c>
      <c r="C34" s="238">
        <f>143%*1.1</f>
        <v>1.573</v>
      </c>
      <c r="D34" s="257">
        <f>C34*D31</f>
        <v>2.2021999999999999</v>
      </c>
      <c r="F34" s="298">
        <f>19%/5 *0.95</f>
        <v>3.61E-2</v>
      </c>
      <c r="G34" s="91">
        <f>(C34 / F34)</f>
        <v>43.573407202216067</v>
      </c>
      <c r="I34" s="61">
        <f>M9</f>
        <v>1.4166666666666667</v>
      </c>
      <c r="J34" s="54">
        <f xml:space="preserve"> (C34/I34)</f>
        <v>1.1103529411764705</v>
      </c>
      <c r="L34" s="66" t="s">
        <v>58</v>
      </c>
      <c r="M34" s="66"/>
      <c r="P34" s="92"/>
    </row>
    <row r="35" spans="1:16" x14ac:dyDescent="0.35">
      <c r="A35" s="4" t="s">
        <v>79</v>
      </c>
      <c r="C35" s="238">
        <f>140%+(140%*70%)+(140%*40%)</f>
        <v>2.94</v>
      </c>
      <c r="D35" s="257">
        <f>C35*D31</f>
        <v>4.1159999999999997</v>
      </c>
      <c r="F35" s="52">
        <f>25%/5</f>
        <v>0.05</v>
      </c>
      <c r="G35" s="91">
        <f>(C35 / F35)</f>
        <v>58.8</v>
      </c>
      <c r="I35" s="61">
        <f>2.5/(1+M8)</f>
        <v>2.3611111111111112</v>
      </c>
      <c r="J35" s="54">
        <f xml:space="preserve"> (C35/I35)</f>
        <v>1.2451764705882353</v>
      </c>
      <c r="L35" s="66"/>
      <c r="M35" s="66" t="s">
        <v>58</v>
      </c>
      <c r="P35" s="92"/>
    </row>
    <row r="36" spans="1:16" x14ac:dyDescent="0.35">
      <c r="A36" s="4" t="s">
        <v>80</v>
      </c>
      <c r="C36" s="238">
        <f>14%*6*6 *1.2</f>
        <v>6.0480000000000009</v>
      </c>
      <c r="D36" s="257">
        <f>C36*D31</f>
        <v>8.4672000000000001</v>
      </c>
      <c r="F36" s="52">
        <f>21.6%/5</f>
        <v>4.3200000000000002E-2</v>
      </c>
      <c r="G36" s="91">
        <f t="shared" ref="G36:G37" si="6">(C36 / F36)</f>
        <v>140</v>
      </c>
      <c r="I36" s="61">
        <v>10</v>
      </c>
      <c r="J36" s="55">
        <f t="shared" ref="J36:J37" si="7" xml:space="preserve"> (C36/I36)</f>
        <v>0.60480000000000012</v>
      </c>
      <c r="L36" s="66"/>
      <c r="M36" s="66" t="s">
        <v>56</v>
      </c>
      <c r="P36" s="92">
        <v>10</v>
      </c>
    </row>
    <row r="37" spans="1:16" x14ac:dyDescent="0.35">
      <c r="A37" s="4" t="s">
        <v>52</v>
      </c>
      <c r="C37" s="238">
        <f>32% * (30/2)</f>
        <v>4.8</v>
      </c>
      <c r="D37" s="257">
        <f>C37*D31</f>
        <v>6.72</v>
      </c>
      <c r="F37" s="52">
        <f>440/20000</f>
        <v>2.1999999999999999E-2</v>
      </c>
      <c r="G37" s="91">
        <f t="shared" si="6"/>
        <v>218.18181818181819</v>
      </c>
      <c r="I37" s="61">
        <v>30</v>
      </c>
      <c r="J37" s="55">
        <f t="shared" si="7"/>
        <v>0.16</v>
      </c>
      <c r="L37" s="66" t="s">
        <v>56</v>
      </c>
      <c r="M37" s="66"/>
      <c r="P37" s="92">
        <v>30</v>
      </c>
    </row>
    <row r="38" spans="1:16" x14ac:dyDescent="0.35">
      <c r="A38" s="4" t="s">
        <v>81</v>
      </c>
      <c r="C38" s="238">
        <f>24% * (12/2) * 20</f>
        <v>28.799999999999997</v>
      </c>
      <c r="D38" s="257">
        <f>C38*D31</f>
        <v>40.319999999999993</v>
      </c>
      <c r="F38" s="52">
        <f>224/20000</f>
        <v>1.12E-2</v>
      </c>
      <c r="G38" s="91">
        <f>C38/F38</f>
        <v>2571.4285714285711</v>
      </c>
      <c r="I38" s="61">
        <v>15</v>
      </c>
      <c r="J38" s="55">
        <f>C38/I38</f>
        <v>1.9199999999999997</v>
      </c>
      <c r="L38" s="66"/>
      <c r="M38" s="66" t="s">
        <v>56</v>
      </c>
      <c r="P38" s="92">
        <f>3*60</f>
        <v>180</v>
      </c>
    </row>
    <row r="39" spans="1:16" x14ac:dyDescent="0.35">
      <c r="A39" s="4" t="s">
        <v>99</v>
      </c>
      <c r="C39" s="238">
        <f>24% * (12/2) * 5</f>
        <v>7.1999999999999993</v>
      </c>
      <c r="D39" s="257">
        <f>C39*D31</f>
        <v>10.079999999999998</v>
      </c>
      <c r="F39" s="52">
        <f>224/20000</f>
        <v>1.12E-2</v>
      </c>
      <c r="G39" s="91">
        <f>C39/F39</f>
        <v>642.85714285714278</v>
      </c>
      <c r="I39" s="61">
        <v>15</v>
      </c>
      <c r="J39" s="55">
        <f>C39/I39</f>
        <v>0.47999999999999993</v>
      </c>
      <c r="L39" s="66"/>
      <c r="M39" s="66" t="s">
        <v>56</v>
      </c>
      <c r="P39" s="92">
        <f>3*60</f>
        <v>180</v>
      </c>
    </row>
    <row r="40" spans="1:16" x14ac:dyDescent="0.35">
      <c r="P40" s="93"/>
    </row>
    <row r="41" spans="1:16" x14ac:dyDescent="0.35">
      <c r="A41" s="6" t="s">
        <v>28</v>
      </c>
      <c r="C41" s="6" t="s">
        <v>4</v>
      </c>
      <c r="D41" s="6" t="s">
        <v>304</v>
      </c>
      <c r="F41" s="4" t="s">
        <v>5</v>
      </c>
      <c r="G41" s="4" t="s">
        <v>6</v>
      </c>
      <c r="I41" s="5" t="s">
        <v>7</v>
      </c>
      <c r="J41" s="5" t="s">
        <v>8</v>
      </c>
      <c r="L41" s="66" t="s">
        <v>57</v>
      </c>
      <c r="M41" s="66" t="s">
        <v>61</v>
      </c>
      <c r="P41" s="92"/>
    </row>
    <row r="42" spans="1:16" x14ac:dyDescent="0.35">
      <c r="A42" s="6" t="s">
        <v>494</v>
      </c>
      <c r="C42" s="58"/>
      <c r="D42" s="251">
        <v>1.44</v>
      </c>
      <c r="F42" s="4"/>
      <c r="G42" s="4"/>
      <c r="I42" s="5"/>
      <c r="J42" s="5"/>
      <c r="L42" s="66"/>
      <c r="M42" s="66"/>
      <c r="P42" s="92"/>
    </row>
    <row r="43" spans="1:16" x14ac:dyDescent="0.35">
      <c r="A43" s="6" t="s">
        <v>32</v>
      </c>
      <c r="C43" s="58">
        <f>120%+30%</f>
        <v>1.5</v>
      </c>
      <c r="D43" s="251">
        <f>C43*D42</f>
        <v>2.16</v>
      </c>
      <c r="F43" s="52">
        <f>14%/5</f>
        <v>2.8000000000000004E-2</v>
      </c>
      <c r="G43" s="91">
        <f>(C43 / F43)</f>
        <v>53.571428571428562</v>
      </c>
      <c r="I43" s="61">
        <v>12</v>
      </c>
      <c r="J43" s="55">
        <f xml:space="preserve"> (C43/I43)</f>
        <v>0.125</v>
      </c>
      <c r="L43" s="66" t="s">
        <v>64</v>
      </c>
      <c r="M43" s="66"/>
      <c r="P43" s="92"/>
    </row>
    <row r="44" spans="1:16" x14ac:dyDescent="0.35">
      <c r="A44" s="6" t="s">
        <v>30</v>
      </c>
      <c r="B44" s="398">
        <v>44153</v>
      </c>
      <c r="C44" s="58">
        <f>156%</f>
        <v>1.56</v>
      </c>
      <c r="D44" s="251">
        <f>C44*D42</f>
        <v>2.2464</v>
      </c>
      <c r="F44" s="52">
        <f>10.5%/5</f>
        <v>2.0999999999999998E-2</v>
      </c>
      <c r="G44" s="91">
        <f t="shared" ref="G44:G45" si="8">(C44 / F44)</f>
        <v>74.285714285714292</v>
      </c>
      <c r="H44" t="s">
        <v>553</v>
      </c>
      <c r="I44" s="61">
        <v>15</v>
      </c>
      <c r="J44" s="55">
        <f t="shared" ref="J44:J45" si="9" xml:space="preserve"> (C44/I44)</f>
        <v>0.10400000000000001</v>
      </c>
      <c r="L44" s="66" t="s">
        <v>56</v>
      </c>
      <c r="M44" s="66"/>
      <c r="P44" s="92"/>
    </row>
    <row r="45" spans="1:16" x14ac:dyDescent="0.35">
      <c r="A45" s="6" t="s">
        <v>31</v>
      </c>
      <c r="C45" s="58">
        <f>135%+80%</f>
        <v>2.1500000000000004</v>
      </c>
      <c r="D45" s="251">
        <f>C45*D42</f>
        <v>3.0960000000000005</v>
      </c>
      <c r="F45" s="52">
        <f>11.2%/5</f>
        <v>2.2399999999999996E-2</v>
      </c>
      <c r="G45" s="91">
        <f t="shared" si="8"/>
        <v>95.98214285714289</v>
      </c>
      <c r="I45" s="61">
        <v>15</v>
      </c>
      <c r="J45" s="55">
        <f t="shared" si="9"/>
        <v>0.14333333333333337</v>
      </c>
      <c r="L45" s="66" t="s">
        <v>56</v>
      </c>
      <c r="M45" s="66"/>
      <c r="P45" s="92"/>
    </row>
    <row r="46" spans="1:16" x14ac:dyDescent="0.35">
      <c r="A46" s="6" t="s">
        <v>33</v>
      </c>
      <c r="C46" s="58">
        <f>240%</f>
        <v>2.4</v>
      </c>
      <c r="D46" s="251">
        <f>C46*D42</f>
        <v>3.456</v>
      </c>
      <c r="F46" s="52">
        <f>560/20000</f>
        <v>2.8000000000000001E-2</v>
      </c>
      <c r="G46" s="91">
        <f>(C46 / F46)</f>
        <v>85.714285714285708</v>
      </c>
      <c r="I46" s="61">
        <f>M9</f>
        <v>1.4166666666666667</v>
      </c>
      <c r="J46" s="54">
        <f xml:space="preserve"> (C46/I46)</f>
        <v>1.6941176470588233</v>
      </c>
      <c r="L46" s="66" t="s">
        <v>58</v>
      </c>
      <c r="M46" s="66"/>
      <c r="P46" s="92">
        <v>30</v>
      </c>
    </row>
    <row r="47" spans="1:16" x14ac:dyDescent="0.35">
      <c r="A47" s="6" t="s">
        <v>86</v>
      </c>
      <c r="C47" s="59">
        <f>6*69.3%</f>
        <v>4.1579999999999995</v>
      </c>
      <c r="D47" s="251">
        <f>C47*D42</f>
        <v>5.9875199999999991</v>
      </c>
      <c r="F47" s="52">
        <f>28%/5</f>
        <v>5.6000000000000008E-2</v>
      </c>
      <c r="G47" s="91">
        <f>(C47 / F47)</f>
        <v>74.249999999999986</v>
      </c>
      <c r="I47" s="61">
        <v>7</v>
      </c>
      <c r="J47" s="55">
        <f xml:space="preserve"> (C47/I47)</f>
        <v>0.59399999999999997</v>
      </c>
      <c r="L47" s="66"/>
      <c r="M47" s="66" t="s">
        <v>56</v>
      </c>
      <c r="P47" s="92">
        <v>10</v>
      </c>
    </row>
    <row r="48" spans="1:16" x14ac:dyDescent="0.35">
      <c r="A48" s="6" t="s">
        <v>87</v>
      </c>
      <c r="C48" s="59">
        <f>16.2%*3*(30/2)</f>
        <v>7.29</v>
      </c>
      <c r="D48" s="251">
        <f>C48*D42</f>
        <v>10.4976</v>
      </c>
      <c r="F48" s="52">
        <f>17%/5</f>
        <v>3.4000000000000002E-2</v>
      </c>
      <c r="G48" s="91">
        <f>(C48 / F48)</f>
        <v>214.41176470588235</v>
      </c>
      <c r="I48" s="61">
        <f>30</f>
        <v>30</v>
      </c>
      <c r="J48" s="55">
        <f xml:space="preserve"> (C48/I48)</f>
        <v>0.24299999999999999</v>
      </c>
      <c r="L48" s="66"/>
      <c r="M48" s="66" t="s">
        <v>56</v>
      </c>
      <c r="P48" s="92"/>
    </row>
    <row r="49" spans="1:16" x14ac:dyDescent="0.35">
      <c r="A49" s="6" t="s">
        <v>82</v>
      </c>
      <c r="C49" s="59">
        <f>20 * ((41%+8%)*5)</f>
        <v>49</v>
      </c>
      <c r="D49" s="251">
        <f>C49*D42</f>
        <v>70.56</v>
      </c>
      <c r="F49" s="52">
        <f>18.4%/5</f>
        <v>3.6799999999999999E-2</v>
      </c>
      <c r="G49" s="91">
        <f>(C49 / F49)</f>
        <v>1331.5217391304348</v>
      </c>
      <c r="I49" s="61">
        <f>8/(1+M8)</f>
        <v>7.5555555555555554</v>
      </c>
      <c r="J49" s="55">
        <f xml:space="preserve"> (C49/I49)</f>
        <v>6.4852941176470589</v>
      </c>
      <c r="L49" s="66"/>
      <c r="M49" s="66" t="s">
        <v>56</v>
      </c>
      <c r="P49" s="92">
        <f>3*60</f>
        <v>180</v>
      </c>
    </row>
    <row r="50" spans="1:16" x14ac:dyDescent="0.35">
      <c r="A50" s="6" t="s">
        <v>83</v>
      </c>
      <c r="C50" s="59">
        <f>(5*2)* ((41%+8%)*5)</f>
        <v>24.5</v>
      </c>
      <c r="D50" s="251">
        <f>C50*D42</f>
        <v>35.28</v>
      </c>
      <c r="F50" s="52">
        <f>736/20000</f>
        <v>3.6799999999999999E-2</v>
      </c>
      <c r="G50" s="91">
        <f>(C50 / F50)</f>
        <v>665.76086956521738</v>
      </c>
      <c r="I50" s="61">
        <f>8/(1+M8)</f>
        <v>7.5555555555555554</v>
      </c>
      <c r="J50" s="55">
        <f xml:space="preserve"> (C50/I50)</f>
        <v>3.2426470588235294</v>
      </c>
      <c r="L50" s="66"/>
      <c r="M50" s="66" t="s">
        <v>56</v>
      </c>
      <c r="P50" s="92">
        <f>3*60</f>
        <v>180</v>
      </c>
    </row>
    <row r="51" spans="1:16" x14ac:dyDescent="0.35">
      <c r="P51" s="93"/>
    </row>
    <row r="52" spans="1:16" x14ac:dyDescent="0.35">
      <c r="A52" s="11" t="s">
        <v>36</v>
      </c>
      <c r="C52" s="11" t="s">
        <v>4</v>
      </c>
      <c r="D52" s="11" t="s">
        <v>303</v>
      </c>
      <c r="F52" s="4" t="s">
        <v>5</v>
      </c>
      <c r="G52" s="4" t="s">
        <v>6</v>
      </c>
      <c r="I52" s="5" t="s">
        <v>7</v>
      </c>
      <c r="J52" s="5" t="s">
        <v>8</v>
      </c>
      <c r="L52" s="66" t="s">
        <v>57</v>
      </c>
      <c r="M52" s="66" t="s">
        <v>61</v>
      </c>
      <c r="P52" s="92"/>
    </row>
    <row r="53" spans="1:16" x14ac:dyDescent="0.35">
      <c r="A53" s="11" t="s">
        <v>302</v>
      </c>
      <c r="C53" s="11"/>
      <c r="D53" s="254">
        <v>1.4</v>
      </c>
      <c r="F53" s="4"/>
      <c r="G53" s="4"/>
      <c r="I53" s="5"/>
      <c r="J53" s="5"/>
      <c r="L53" s="66"/>
      <c r="M53" s="66"/>
      <c r="P53" s="92"/>
    </row>
    <row r="54" spans="1:16" x14ac:dyDescent="0.35">
      <c r="A54" s="11" t="s">
        <v>37</v>
      </c>
      <c r="C54" s="60">
        <f>150%*1.3</f>
        <v>1.9500000000000002</v>
      </c>
      <c r="D54" s="255">
        <f>C54*D53</f>
        <v>2.73</v>
      </c>
      <c r="F54" s="52">
        <v>0.02</v>
      </c>
      <c r="G54" s="91">
        <f>(C54 / F54)</f>
        <v>97.5</v>
      </c>
      <c r="I54" s="61">
        <f>9/(1+M8)</f>
        <v>8.5</v>
      </c>
      <c r="J54" s="55">
        <f xml:space="preserve"> (C54 / I54)</f>
        <v>0.22941176470588237</v>
      </c>
      <c r="L54" s="66" t="s">
        <v>58</v>
      </c>
      <c r="M54" s="66"/>
      <c r="P54" s="92">
        <f>9 / (1+M8)</f>
        <v>8.5</v>
      </c>
    </row>
    <row r="55" spans="1:16" x14ac:dyDescent="0.35">
      <c r="A55" s="11" t="s">
        <v>38</v>
      </c>
      <c r="C55" s="60">
        <f>134%</f>
        <v>1.34</v>
      </c>
      <c r="D55" s="255">
        <f>C55*D53</f>
        <v>1.8759999999999999</v>
      </c>
      <c r="F55" s="52">
        <f>22%/5</f>
        <v>4.3999999999999997E-2</v>
      </c>
      <c r="G55" s="91">
        <f t="shared" ref="G55:G57" si="10">(C55 / F55)</f>
        <v>30.454545454545457</v>
      </c>
      <c r="I55" s="61">
        <f>M9</f>
        <v>1.4166666666666667</v>
      </c>
      <c r="J55" s="55">
        <f t="shared" ref="J55:J57" si="11" xml:space="preserve"> (C55/I55)</f>
        <v>0.94588235294117651</v>
      </c>
      <c r="L55" s="66" t="s">
        <v>58</v>
      </c>
      <c r="M55" s="66"/>
      <c r="P55" s="92"/>
    </row>
    <row r="56" spans="1:16" x14ac:dyDescent="0.35">
      <c r="A56" s="11" t="s">
        <v>39</v>
      </c>
      <c r="C56" s="60">
        <f>150%</f>
        <v>1.5</v>
      </c>
      <c r="D56" s="255">
        <f>C56*D53</f>
        <v>2.0999999999999996</v>
      </c>
      <c r="F56" s="52">
        <f>13%/5</f>
        <v>2.6000000000000002E-2</v>
      </c>
      <c r="G56" s="91">
        <f t="shared" si="10"/>
        <v>57.692307692307686</v>
      </c>
      <c r="I56" s="61">
        <f>2.5/(1+M8)</f>
        <v>2.3611111111111112</v>
      </c>
      <c r="J56" s="55">
        <f t="shared" si="11"/>
        <v>0.63529411764705879</v>
      </c>
      <c r="L56" s="66" t="s">
        <v>58</v>
      </c>
      <c r="M56" s="66"/>
      <c r="P56" s="92">
        <f>12 / (1+M8)</f>
        <v>11.333333333333334</v>
      </c>
    </row>
    <row r="57" spans="1:16" x14ac:dyDescent="0.35">
      <c r="A57" s="11" t="s">
        <v>88</v>
      </c>
      <c r="C57" s="60">
        <f>5*55%</f>
        <v>2.75</v>
      </c>
      <c r="D57" s="255">
        <f>C57*D53</f>
        <v>3.8499999999999996</v>
      </c>
      <c r="F57" s="52">
        <f>560/20000</f>
        <v>2.8000000000000001E-2</v>
      </c>
      <c r="G57" s="91">
        <f t="shared" si="10"/>
        <v>98.214285714285708</v>
      </c>
      <c r="I57" s="61">
        <f>12/(1+M8)</f>
        <v>11.333333333333334</v>
      </c>
      <c r="J57" s="55">
        <f t="shared" si="11"/>
        <v>0.24264705882352941</v>
      </c>
      <c r="L57" s="66"/>
      <c r="M57" s="66" t="s">
        <v>58</v>
      </c>
      <c r="P57" s="92"/>
    </row>
    <row r="58" spans="1:16" x14ac:dyDescent="0.35">
      <c r="A58" s="11" t="s">
        <v>55</v>
      </c>
      <c r="C58" s="60">
        <f>135%</f>
        <v>1.35</v>
      </c>
      <c r="D58" s="255">
        <f>C58*D53</f>
        <v>1.89</v>
      </c>
      <c r="F58" s="52">
        <f>300/20000</f>
        <v>1.4999999999999999E-2</v>
      </c>
      <c r="G58" s="91">
        <f t="shared" ref="G58" si="12">(C58 / F58)</f>
        <v>90.000000000000014</v>
      </c>
      <c r="I58" s="61">
        <f>M9</f>
        <v>1.4166666666666667</v>
      </c>
      <c r="J58" s="55">
        <f t="shared" ref="J58" si="13" xml:space="preserve"> (C58/I58)</f>
        <v>0.95294117647058829</v>
      </c>
      <c r="L58" s="66" t="s">
        <v>58</v>
      </c>
      <c r="M58" s="66"/>
      <c r="P58" s="92"/>
    </row>
    <row r="59" spans="1:16" x14ac:dyDescent="0.35">
      <c r="P59" s="93"/>
    </row>
    <row r="60" spans="1:16" x14ac:dyDescent="0.35">
      <c r="A60" s="12" t="s">
        <v>41</v>
      </c>
      <c r="C60" s="12" t="s">
        <v>4</v>
      </c>
      <c r="D60" s="12" t="s">
        <v>303</v>
      </c>
      <c r="F60" s="4" t="s">
        <v>5</v>
      </c>
      <c r="G60" s="4" t="s">
        <v>6</v>
      </c>
      <c r="I60" s="5" t="s">
        <v>7</v>
      </c>
      <c r="J60" s="5" t="s">
        <v>8</v>
      </c>
      <c r="L60" s="66" t="s">
        <v>57</v>
      </c>
      <c r="M60" s="66" t="s">
        <v>61</v>
      </c>
      <c r="P60" s="92"/>
    </row>
    <row r="61" spans="1:16" x14ac:dyDescent="0.35">
      <c r="A61" s="12" t="s">
        <v>302</v>
      </c>
      <c r="C61" s="12"/>
      <c r="D61" s="256">
        <v>1.4</v>
      </c>
      <c r="F61" s="4"/>
      <c r="G61" s="4"/>
      <c r="I61" s="5"/>
      <c r="J61" s="5"/>
      <c r="L61" s="66"/>
      <c r="M61" s="66"/>
      <c r="P61" s="92"/>
    </row>
    <row r="62" spans="1:16" x14ac:dyDescent="0.35">
      <c r="A62" s="12" t="s">
        <v>42</v>
      </c>
      <c r="C62" s="62">
        <v>1.75</v>
      </c>
      <c r="D62" s="256">
        <f>C62*D61</f>
        <v>2.4499999999999997</v>
      </c>
      <c r="F62" s="63">
        <v>1.9E-2</v>
      </c>
      <c r="G62" s="91">
        <f>(C62 / F62)</f>
        <v>92.10526315789474</v>
      </c>
      <c r="I62" s="61">
        <f>2.5/(1+M8)</f>
        <v>2.3611111111111112</v>
      </c>
      <c r="J62" s="55">
        <f xml:space="preserve"> (C62 / I62)</f>
        <v>0.74117647058823533</v>
      </c>
      <c r="L62" s="66" t="s">
        <v>58</v>
      </c>
      <c r="M62" s="66"/>
      <c r="P62" s="92"/>
    </row>
    <row r="63" spans="1:16" x14ac:dyDescent="0.35">
      <c r="A63" s="12" t="s">
        <v>43</v>
      </c>
      <c r="C63" s="62">
        <v>1.35</v>
      </c>
      <c r="D63" s="256">
        <f>C63*D61</f>
        <v>1.89</v>
      </c>
      <c r="F63" s="63">
        <v>0.03</v>
      </c>
      <c r="G63" s="91">
        <f t="shared" ref="G63:G64" si="14">(C63 / F63)</f>
        <v>45.000000000000007</v>
      </c>
      <c r="I63" s="61">
        <f>M9</f>
        <v>1.4166666666666667</v>
      </c>
      <c r="J63" s="55">
        <f t="shared" ref="J63:J64" si="15" xml:space="preserve"> (C63/I63)</f>
        <v>0.95294117647058829</v>
      </c>
      <c r="L63" s="66" t="s">
        <v>58</v>
      </c>
      <c r="M63" s="66"/>
      <c r="P63" s="92"/>
    </row>
    <row r="64" spans="1:16" x14ac:dyDescent="0.35">
      <c r="A64" s="12" t="s">
        <v>44</v>
      </c>
      <c r="C64" s="62">
        <f>23% + 115%</f>
        <v>1.38</v>
      </c>
      <c r="D64" s="256">
        <f>C64*D61</f>
        <v>1.9319999999999997</v>
      </c>
      <c r="F64" s="63">
        <v>1.7999999999999999E-2</v>
      </c>
      <c r="G64" s="91">
        <f t="shared" si="14"/>
        <v>76.666666666666671</v>
      </c>
      <c r="I64" s="61">
        <v>15</v>
      </c>
      <c r="J64" s="55">
        <f t="shared" si="15"/>
        <v>9.1999999999999998E-2</v>
      </c>
      <c r="L64" s="66" t="s">
        <v>56</v>
      </c>
      <c r="M64" s="66"/>
      <c r="P64" s="92"/>
    </row>
    <row r="65" spans="1:16" x14ac:dyDescent="0.35">
      <c r="A65" s="12" t="s">
        <v>47</v>
      </c>
      <c r="C65" s="65">
        <f>5*43.75%</f>
        <v>2.1875</v>
      </c>
      <c r="D65" s="256">
        <f>C65*D61</f>
        <v>3.0625</v>
      </c>
      <c r="F65" s="52">
        <f>2%</f>
        <v>0.02</v>
      </c>
      <c r="G65" s="91">
        <f>(C65 / F65)</f>
        <v>109.375</v>
      </c>
      <c r="I65" s="61">
        <f>12 / (1+M8)</f>
        <v>11.333333333333334</v>
      </c>
      <c r="J65" s="55">
        <f xml:space="preserve"> (C65/I65)</f>
        <v>0.19301470588235292</v>
      </c>
      <c r="L65" s="66" t="s">
        <v>65</v>
      </c>
      <c r="M65" s="66"/>
      <c r="P65" s="94">
        <f>12 / (1+M8)</f>
        <v>11.333333333333334</v>
      </c>
    </row>
    <row r="66" spans="1:16" x14ac:dyDescent="0.35">
      <c r="A66" s="12" t="s">
        <v>286</v>
      </c>
      <c r="C66" s="64">
        <f>62.5%*5</f>
        <v>3.125</v>
      </c>
      <c r="D66" s="256">
        <f>C66*D61</f>
        <v>4.375</v>
      </c>
      <c r="F66" s="52">
        <f>4.5%</f>
        <v>4.4999999999999998E-2</v>
      </c>
      <c r="G66" s="91">
        <f>(C66 / F66)</f>
        <v>69.444444444444443</v>
      </c>
      <c r="I66" s="61">
        <f>2/(1+M8)</f>
        <v>1.8888888888888888</v>
      </c>
      <c r="J66" s="55">
        <f xml:space="preserve"> (C66/I66)</f>
        <v>1.6544117647058825</v>
      </c>
      <c r="L66" s="66"/>
      <c r="M66" s="66" t="s">
        <v>58</v>
      </c>
      <c r="P66" s="92"/>
    </row>
    <row r="67" spans="1:16" x14ac:dyDescent="0.35">
      <c r="A67" s="12" t="s">
        <v>67</v>
      </c>
      <c r="C67" s="64">
        <f>10% * 5</f>
        <v>0.5</v>
      </c>
      <c r="D67" s="256">
        <f>C67*D61</f>
        <v>0.7</v>
      </c>
      <c r="F67" s="52">
        <f>1.6%</f>
        <v>1.6E-2</v>
      </c>
      <c r="G67" s="91">
        <f>(C67 / F67)</f>
        <v>31.25</v>
      </c>
      <c r="I67" s="61">
        <f>M9</f>
        <v>1.4166666666666667</v>
      </c>
      <c r="J67" s="55">
        <f xml:space="preserve"> (C67/I67)</f>
        <v>0.3529411764705882</v>
      </c>
      <c r="L67" s="66"/>
      <c r="M67" s="66" t="s">
        <v>58</v>
      </c>
      <c r="P67" s="92"/>
    </row>
    <row r="68" spans="1:16" x14ac:dyDescent="0.35">
      <c r="A68" s="12" t="s">
        <v>45</v>
      </c>
      <c r="C68" s="64">
        <f>500%</f>
        <v>5</v>
      </c>
      <c r="D68" s="256">
        <f>C68*D61</f>
        <v>7</v>
      </c>
      <c r="F68" s="52">
        <f>4%</f>
        <v>0.04</v>
      </c>
      <c r="G68" s="91">
        <f>(C68 / F68)</f>
        <v>125</v>
      </c>
      <c r="I68" s="61">
        <v>60</v>
      </c>
      <c r="J68" s="55">
        <f xml:space="preserve"> (C68/I68)</f>
        <v>8.3333333333333329E-2</v>
      </c>
      <c r="L68" s="66"/>
      <c r="M68" s="66" t="s">
        <v>58</v>
      </c>
      <c r="P68" s="92">
        <v>60</v>
      </c>
    </row>
    <row r="69" spans="1:16" x14ac:dyDescent="0.35">
      <c r="A69" s="12" t="s">
        <v>90</v>
      </c>
      <c r="C69" s="64">
        <f>175%*6</f>
        <v>10.5</v>
      </c>
      <c r="D69" s="256">
        <f>C69*D61</f>
        <v>14.7</v>
      </c>
      <c r="F69" s="52">
        <f>5%</f>
        <v>0.05</v>
      </c>
      <c r="G69" s="91">
        <f>(C69 / F69)</f>
        <v>210</v>
      </c>
      <c r="I69" s="61">
        <v>60</v>
      </c>
      <c r="J69" s="55">
        <f xml:space="preserve"> (C69/I69)</f>
        <v>0.17499999999999999</v>
      </c>
      <c r="L69" s="66"/>
      <c r="M69" s="66" t="s">
        <v>58</v>
      </c>
      <c r="P69" s="92">
        <v>60</v>
      </c>
    </row>
    <row r="70" spans="1:16" x14ac:dyDescent="0.35">
      <c r="A70" s="12" t="s">
        <v>91</v>
      </c>
      <c r="C70" s="64">
        <f>5*43% * 20</f>
        <v>43</v>
      </c>
      <c r="D70" s="256">
        <f>C70*D61</f>
        <v>60.199999999999996</v>
      </c>
      <c r="F70" s="52">
        <f>4.4%</f>
        <v>4.4000000000000004E-2</v>
      </c>
      <c r="G70" s="91">
        <f t="shared" ref="G70" si="16">(C70 / F70)</f>
        <v>977.27272727272714</v>
      </c>
      <c r="I70" s="61">
        <f>8/(1+M8)</f>
        <v>7.5555555555555554</v>
      </c>
      <c r="J70" s="55">
        <f t="shared" ref="J70" si="17" xml:space="preserve"> (C70/I70)</f>
        <v>5.6911764705882355</v>
      </c>
      <c r="L70" s="66"/>
      <c r="M70" s="66" t="s">
        <v>56</v>
      </c>
      <c r="P70" s="92">
        <f>3*60</f>
        <v>180</v>
      </c>
    </row>
    <row r="71" spans="1:16" x14ac:dyDescent="0.35">
      <c r="A71" s="12" t="s">
        <v>92</v>
      </c>
      <c r="C71" s="64">
        <f>5*43% * (5*2)</f>
        <v>21.5</v>
      </c>
      <c r="D71" s="256">
        <f>C71*D61</f>
        <v>30.099999999999998</v>
      </c>
      <c r="F71" s="52">
        <f>4.4%</f>
        <v>4.4000000000000004E-2</v>
      </c>
      <c r="G71" s="91">
        <f t="shared" ref="G71" si="18">(C71 / F71)</f>
        <v>488.63636363636357</v>
      </c>
      <c r="I71" s="61">
        <f>8/(1+M8)</f>
        <v>7.5555555555555554</v>
      </c>
      <c r="J71" s="55">
        <f t="shared" ref="J71" si="19" xml:space="preserve"> (C71/I71)</f>
        <v>2.8455882352941178</v>
      </c>
      <c r="L71" s="66"/>
      <c r="M71" s="66" t="s">
        <v>58</v>
      </c>
      <c r="P71" s="92">
        <f>3*60</f>
        <v>180</v>
      </c>
    </row>
    <row r="72" spans="1:16" x14ac:dyDescent="0.35">
      <c r="P72" s="93"/>
    </row>
    <row r="73" spans="1:16" x14ac:dyDescent="0.35">
      <c r="A73" s="67" t="s">
        <v>66</v>
      </c>
      <c r="C73" s="67" t="s">
        <v>4</v>
      </c>
      <c r="D73" s="67" t="s">
        <v>303</v>
      </c>
      <c r="F73" s="4" t="s">
        <v>5</v>
      </c>
      <c r="G73" s="4" t="s">
        <v>6</v>
      </c>
      <c r="I73" s="5" t="s">
        <v>7</v>
      </c>
      <c r="J73" s="5" t="s">
        <v>8</v>
      </c>
      <c r="L73" s="66" t="s">
        <v>57</v>
      </c>
      <c r="M73" s="66" t="s">
        <v>61</v>
      </c>
      <c r="P73" s="92"/>
    </row>
    <row r="74" spans="1:16" x14ac:dyDescent="0.35">
      <c r="A74" s="67" t="s">
        <v>302</v>
      </c>
      <c r="C74" s="67"/>
      <c r="D74" s="252">
        <v>1.4</v>
      </c>
      <c r="F74" s="4"/>
      <c r="G74" s="4"/>
      <c r="I74" s="5"/>
      <c r="J74" s="5"/>
      <c r="L74" s="66"/>
      <c r="M74" s="66"/>
      <c r="P74" s="92"/>
    </row>
    <row r="75" spans="1:16" x14ac:dyDescent="0.35">
      <c r="A75" s="67" t="s">
        <v>68</v>
      </c>
      <c r="C75" s="68">
        <f>71%*3</f>
        <v>2.13</v>
      </c>
      <c r="D75" s="253">
        <f>C75*D74</f>
        <v>2.9819999999999998</v>
      </c>
      <c r="F75" s="52">
        <v>0.02</v>
      </c>
      <c r="G75" s="4">
        <f>(C75 / F75)</f>
        <v>106.49999999999999</v>
      </c>
      <c r="I75" s="61">
        <f>2/ (1+M8)</f>
        <v>1.8888888888888888</v>
      </c>
      <c r="J75" s="55">
        <f xml:space="preserve"> (C75 / I75)</f>
        <v>1.1276470588235294</v>
      </c>
      <c r="L75" s="66" t="s">
        <v>63</v>
      </c>
      <c r="M75" s="66"/>
      <c r="P75" s="92">
        <v>9</v>
      </c>
    </row>
    <row r="76" spans="1:16" x14ac:dyDescent="0.35">
      <c r="A76" s="67" t="s">
        <v>93</v>
      </c>
      <c r="C76" s="68">
        <f>62.5%*5</f>
        <v>3.125</v>
      </c>
      <c r="D76" s="253">
        <f>C76*D74</f>
        <v>4.375</v>
      </c>
      <c r="F76" s="52">
        <f>6.5%</f>
        <v>6.5000000000000002E-2</v>
      </c>
      <c r="G76" s="53">
        <f t="shared" ref="G76:G79" si="20">(C76 / F76)</f>
        <v>48.076923076923073</v>
      </c>
      <c r="I76" s="61">
        <f>20</f>
        <v>20</v>
      </c>
      <c r="J76" s="55">
        <f t="shared" ref="J76:J79" si="21" xml:space="preserve"> (C76/I76)</f>
        <v>0.15625</v>
      </c>
      <c r="L76" s="66"/>
      <c r="M76" s="66" t="s">
        <v>58</v>
      </c>
      <c r="P76" s="92">
        <v>15</v>
      </c>
    </row>
    <row r="77" spans="1:16" x14ac:dyDescent="0.35">
      <c r="A77" s="67" t="s">
        <v>69</v>
      </c>
      <c r="C77" s="68">
        <f>154%</f>
        <v>1.54</v>
      </c>
      <c r="D77" s="253">
        <f>C77*D74</f>
        <v>2.1559999999999997</v>
      </c>
      <c r="F77" s="52">
        <f>2.5%</f>
        <v>2.5000000000000001E-2</v>
      </c>
      <c r="G77" s="53">
        <f t="shared" si="20"/>
        <v>61.6</v>
      </c>
      <c r="I77" s="61">
        <f>2.5/(1+E33)</f>
        <v>2.5</v>
      </c>
      <c r="J77" s="55">
        <f t="shared" si="21"/>
        <v>0.61599999999999999</v>
      </c>
      <c r="L77" s="66" t="s">
        <v>59</v>
      </c>
      <c r="M77" s="66"/>
      <c r="P77" s="92">
        <f>7.5 / (1+M8)</f>
        <v>7.083333333333333</v>
      </c>
    </row>
    <row r="78" spans="1:16" x14ac:dyDescent="0.35">
      <c r="A78" s="67" t="s">
        <v>70</v>
      </c>
      <c r="C78" s="68">
        <f>180%</f>
        <v>1.8</v>
      </c>
      <c r="D78" s="253">
        <f>C78*D74</f>
        <v>2.52</v>
      </c>
      <c r="F78" s="52">
        <v>0.03</v>
      </c>
      <c r="G78" s="53">
        <f t="shared" si="20"/>
        <v>60.000000000000007</v>
      </c>
      <c r="I78" s="61">
        <f>M9</f>
        <v>1.4166666666666667</v>
      </c>
      <c r="J78" s="55">
        <f t="shared" si="21"/>
        <v>1.2705882352941176</v>
      </c>
      <c r="L78" s="66" t="s">
        <v>58</v>
      </c>
      <c r="M78" s="66"/>
      <c r="P78" s="92"/>
    </row>
    <row r="79" spans="1:16" x14ac:dyDescent="0.35">
      <c r="A79" s="67" t="s">
        <v>71</v>
      </c>
      <c r="C79" s="68">
        <f>65%</f>
        <v>0.65</v>
      </c>
      <c r="D79" s="253">
        <f>C79*D74</f>
        <v>0.90999999999999992</v>
      </c>
      <c r="F79" s="52">
        <f>0.5%</f>
        <v>5.0000000000000001E-3</v>
      </c>
      <c r="G79" s="53">
        <f t="shared" si="20"/>
        <v>130</v>
      </c>
      <c r="I79" s="61">
        <f>M9</f>
        <v>1.4166666666666667</v>
      </c>
      <c r="J79" s="55">
        <f t="shared" si="21"/>
        <v>0.45882352941176469</v>
      </c>
      <c r="L79" s="72" t="s">
        <v>72</v>
      </c>
      <c r="M79" s="73"/>
      <c r="P79" s="92"/>
    </row>
    <row r="80" spans="1:16" x14ac:dyDescent="0.35">
      <c r="A80" s="67" t="s">
        <v>94</v>
      </c>
      <c r="C80" s="68">
        <f>135%*5</f>
        <v>6.75</v>
      </c>
      <c r="D80" s="253">
        <f>C80*D74</f>
        <v>9.4499999999999993</v>
      </c>
      <c r="F80" s="52">
        <f>2.8%</f>
        <v>2.7999999999999997E-2</v>
      </c>
      <c r="G80" s="53">
        <f>(C80 / F80)</f>
        <v>241.07142857142858</v>
      </c>
      <c r="I80" s="61">
        <f>12</f>
        <v>12</v>
      </c>
      <c r="J80" s="55">
        <f xml:space="preserve"> (C80/I80)</f>
        <v>0.5625</v>
      </c>
      <c r="L80" s="66"/>
      <c r="M80" s="66" t="s">
        <v>58</v>
      </c>
      <c r="P80" s="92"/>
    </row>
    <row r="81" spans="2:17" x14ac:dyDescent="0.35">
      <c r="D81" s="248"/>
    </row>
    <row r="82" spans="2:17" x14ac:dyDescent="0.35">
      <c r="D82" s="248"/>
    </row>
    <row r="84" spans="2:17" x14ac:dyDescent="0.35">
      <c r="B84" t="s">
        <v>109</v>
      </c>
      <c r="C84" t="s">
        <v>106</v>
      </c>
    </row>
    <row r="85" spans="2:17" x14ac:dyDescent="0.35">
      <c r="B85" s="95">
        <v>0</v>
      </c>
      <c r="C85">
        <f>1</f>
        <v>1</v>
      </c>
      <c r="F85" t="s">
        <v>107</v>
      </c>
      <c r="G85" t="s">
        <v>108</v>
      </c>
    </row>
    <row r="86" spans="2:17" x14ac:dyDescent="0.35">
      <c r="B86" s="95">
        <f>(1/C86)-1</f>
        <v>5.2631578947368363E-2</v>
      </c>
      <c r="C86">
        <v>0.95</v>
      </c>
    </row>
    <row r="87" spans="2:17" x14ac:dyDescent="0.35">
      <c r="B87" s="95">
        <f>(1/C87) - 1</f>
        <v>0.11111111111111116</v>
      </c>
      <c r="C87">
        <v>0.9</v>
      </c>
      <c r="I87" s="347" t="s">
        <v>538</v>
      </c>
      <c r="J87" s="347"/>
      <c r="K87" s="347"/>
      <c r="L87" s="347"/>
      <c r="M87" s="347"/>
      <c r="N87" s="347"/>
      <c r="O87" s="347"/>
      <c r="P87" s="347"/>
    </row>
    <row r="88" spans="2:17" x14ac:dyDescent="0.35">
      <c r="B88" s="95">
        <f>(1/C88) - 1</f>
        <v>0.17647058823529416</v>
      </c>
      <c r="C88">
        <v>0.85</v>
      </c>
    </row>
    <row r="89" spans="2:17" x14ac:dyDescent="0.35">
      <c r="B89" s="95">
        <f>(1/C89) - 1</f>
        <v>0.25</v>
      </c>
      <c r="C89">
        <v>0.8</v>
      </c>
      <c r="I89" s="347" t="s">
        <v>549</v>
      </c>
      <c r="J89" s="347"/>
      <c r="K89" s="347"/>
      <c r="L89" s="347"/>
      <c r="M89" s="347"/>
      <c r="N89" s="347"/>
      <c r="O89" s="347"/>
      <c r="P89" s="347"/>
    </row>
    <row r="90" spans="2:17" x14ac:dyDescent="0.35">
      <c r="B90" s="95">
        <f>(1/C90) - 1</f>
        <v>0.33333333333333326</v>
      </c>
      <c r="C90">
        <v>0.75</v>
      </c>
      <c r="I90" s="347" t="s">
        <v>536</v>
      </c>
      <c r="J90" s="347"/>
      <c r="K90" s="347"/>
      <c r="L90" s="347"/>
      <c r="M90" s="347"/>
      <c r="N90" s="347"/>
      <c r="O90" s="347"/>
      <c r="P90" s="347"/>
    </row>
    <row r="91" spans="2:17" x14ac:dyDescent="0.35">
      <c r="B91" s="95">
        <f>(1/C91)-1</f>
        <v>0.4285714285714286</v>
      </c>
      <c r="C91">
        <v>0.7</v>
      </c>
      <c r="I91" s="347" t="s">
        <v>539</v>
      </c>
      <c r="J91" s="347"/>
      <c r="K91" s="347"/>
      <c r="L91" s="347"/>
      <c r="M91" s="347"/>
      <c r="N91" s="347"/>
      <c r="O91" s="347"/>
      <c r="P91" s="347"/>
    </row>
    <row r="92" spans="2:17" x14ac:dyDescent="0.35">
      <c r="B92" s="95">
        <f>(1/C92)-1</f>
        <v>0.53846153846153832</v>
      </c>
      <c r="C92">
        <v>0.65</v>
      </c>
    </row>
    <row r="93" spans="2:17" x14ac:dyDescent="0.35">
      <c r="B93" s="95">
        <f>(1/C93)-1</f>
        <v>0.66666666666666674</v>
      </c>
      <c r="C93">
        <v>0.6</v>
      </c>
    </row>
    <row r="94" spans="2:17" x14ac:dyDescent="0.35">
      <c r="B94" s="95">
        <f>(1/C94)-1</f>
        <v>0.81818181818181812</v>
      </c>
      <c r="C94">
        <v>0.55000000000000004</v>
      </c>
      <c r="I94" s="347" t="s">
        <v>540</v>
      </c>
      <c r="J94" s="347"/>
      <c r="K94" s="347"/>
      <c r="L94" s="347"/>
      <c r="M94" s="347"/>
      <c r="N94" s="347"/>
      <c r="O94" s="347"/>
      <c r="P94" s="347"/>
    </row>
    <row r="95" spans="2:17" x14ac:dyDescent="0.35">
      <c r="B95" s="95">
        <f>(1/C95)-1</f>
        <v>1</v>
      </c>
      <c r="C95">
        <v>0.5</v>
      </c>
    </row>
    <row r="96" spans="2:17" x14ac:dyDescent="0.35">
      <c r="I96" s="347" t="s">
        <v>541</v>
      </c>
      <c r="J96" s="347"/>
      <c r="K96" s="347"/>
      <c r="L96" s="347"/>
      <c r="M96" s="347"/>
      <c r="N96" s="347"/>
      <c r="O96" s="347"/>
      <c r="P96" s="347"/>
      <c r="Q96" s="397">
        <f>(225%/10)*(20/(2/(1+12%)))*1400</f>
        <v>3528.0000000000005</v>
      </c>
    </row>
    <row r="97" spans="9:19" x14ac:dyDescent="0.35">
      <c r="I97" s="395" t="s">
        <v>542</v>
      </c>
      <c r="J97" s="347"/>
      <c r="K97" s="347"/>
      <c r="L97" s="347"/>
      <c r="M97" s="347"/>
      <c r="N97" s="347"/>
      <c r="O97" s="347"/>
      <c r="P97" s="347"/>
    </row>
    <row r="98" spans="9:19" x14ac:dyDescent="0.35">
      <c r="I98" s="347" t="s">
        <v>543</v>
      </c>
      <c r="J98" s="347"/>
      <c r="K98" s="347"/>
      <c r="L98" s="347"/>
      <c r="M98" s="347"/>
      <c r="N98" s="347"/>
      <c r="O98" s="347"/>
      <c r="P98" s="347"/>
    </row>
    <row r="99" spans="9:19" x14ac:dyDescent="0.35">
      <c r="I99" s="396">
        <f xml:space="preserve"> 22.5% * (20 / 1.785) * 1400</f>
        <v>3529.4117647058829</v>
      </c>
      <c r="J99" s="396"/>
      <c r="K99" s="396"/>
      <c r="L99" s="396"/>
      <c r="M99" s="396"/>
      <c r="N99" s="396"/>
      <c r="O99" s="396"/>
      <c r="P99" s="396"/>
    </row>
    <row r="103" spans="9:19" x14ac:dyDescent="0.35">
      <c r="I103" s="347" t="s">
        <v>559</v>
      </c>
      <c r="J103" s="347"/>
      <c r="K103" s="347"/>
      <c r="L103" s="347"/>
      <c r="M103" s="347"/>
      <c r="N103" s="347"/>
      <c r="O103" s="347"/>
      <c r="P103" s="347"/>
    </row>
    <row r="104" spans="9:19" x14ac:dyDescent="0.35">
      <c r="I104" t="s">
        <v>544</v>
      </c>
      <c r="J104" s="404">
        <v>1.6</v>
      </c>
      <c r="L104" t="s">
        <v>237</v>
      </c>
      <c r="M104" s="402">
        <v>747</v>
      </c>
      <c r="Q104" t="s">
        <v>554</v>
      </c>
    </row>
    <row r="105" spans="9:19" ht="14.5" customHeight="1" x14ac:dyDescent="0.35">
      <c r="I105" t="s">
        <v>546</v>
      </c>
      <c r="J105" s="402">
        <v>15</v>
      </c>
      <c r="L105" t="s">
        <v>548</v>
      </c>
      <c r="M105" s="403">
        <v>0.2366</v>
      </c>
      <c r="Q105" s="367" t="s">
        <v>555</v>
      </c>
      <c r="R105" s="367" t="s">
        <v>558</v>
      </c>
      <c r="S105" s="367"/>
    </row>
    <row r="106" spans="9:19" x14ac:dyDescent="0.35">
      <c r="I106" t="s">
        <v>547</v>
      </c>
      <c r="J106" s="402">
        <v>3</v>
      </c>
      <c r="L106" t="s">
        <v>557</v>
      </c>
      <c r="M106" s="403">
        <v>4.2599999999999999E-2</v>
      </c>
      <c r="Q106" s="367"/>
      <c r="R106" s="367"/>
      <c r="S106" s="367"/>
    </row>
    <row r="107" spans="9:19" x14ac:dyDescent="0.35">
      <c r="I107" t="s">
        <v>545</v>
      </c>
      <c r="J107" s="399">
        <f>J105/J106</f>
        <v>5</v>
      </c>
      <c r="L107" t="s">
        <v>556</v>
      </c>
      <c r="M107" s="404">
        <v>0.05</v>
      </c>
      <c r="Q107" s="367"/>
      <c r="R107" s="367"/>
      <c r="S107" s="367"/>
    </row>
    <row r="108" spans="9:19" x14ac:dyDescent="0.35">
      <c r="Q108" s="367"/>
      <c r="R108" s="367"/>
      <c r="S108" s="367"/>
    </row>
    <row r="109" spans="9:19" x14ac:dyDescent="0.35">
      <c r="I109" s="347" t="s">
        <v>550</v>
      </c>
      <c r="J109" s="347"/>
      <c r="K109" s="347"/>
      <c r="L109" s="347"/>
      <c r="M109" s="347"/>
      <c r="N109" s="347"/>
      <c r="O109" s="347"/>
      <c r="P109" s="347"/>
      <c r="Q109" s="367"/>
      <c r="R109" s="367"/>
      <c r="S109" s="367"/>
    </row>
    <row r="110" spans="9:19" x14ac:dyDescent="0.35">
      <c r="I110" s="400">
        <f xml:space="preserve"> (J104/J107)  *  (J105 / (J106 / (1 + M105)))  *  M104 * (1+M106) * (1+M107)</f>
        <v>1617.9937746336002</v>
      </c>
      <c r="J110" s="400"/>
      <c r="K110" s="400"/>
      <c r="L110" s="400"/>
      <c r="M110" s="400"/>
      <c r="N110" s="400"/>
      <c r="O110" s="400"/>
      <c r="P110" s="400"/>
      <c r="Q110" s="367"/>
      <c r="R110" s="367"/>
      <c r="S110" s="367"/>
    </row>
    <row r="112" spans="9:19" x14ac:dyDescent="0.35">
      <c r="I112" s="347" t="s">
        <v>551</v>
      </c>
      <c r="J112" s="347"/>
      <c r="K112" s="347"/>
      <c r="L112" s="347"/>
      <c r="M112" s="347"/>
      <c r="N112" s="347"/>
      <c r="O112" s="347"/>
      <c r="P112" s="347"/>
    </row>
    <row r="113" spans="9:16" x14ac:dyDescent="0.35">
      <c r="I113" s="400">
        <f>(J104/J107)*(J105/(J106/(1)))*M104 * (1 +M106) * (1+M107)</f>
        <v>1308.4212960000002</v>
      </c>
      <c r="J113" s="400"/>
      <c r="K113" s="400"/>
      <c r="L113" s="400"/>
      <c r="M113" s="400"/>
      <c r="N113" s="400"/>
      <c r="O113" s="400"/>
      <c r="P113" s="400"/>
    </row>
    <row r="115" spans="9:16" x14ac:dyDescent="0.35">
      <c r="I115" s="347" t="s">
        <v>552</v>
      </c>
      <c r="J115" s="347"/>
      <c r="K115" s="347"/>
      <c r="L115" s="347"/>
      <c r="M115" s="347"/>
      <c r="N115" s="347"/>
      <c r="O115" s="347"/>
      <c r="P115" s="347"/>
    </row>
    <row r="116" spans="9:16" x14ac:dyDescent="0.35">
      <c r="I116" s="400">
        <f>I110-I113</f>
        <v>309.57247863359999</v>
      </c>
      <c r="J116" s="400"/>
      <c r="K116" s="400"/>
      <c r="L116" s="400"/>
      <c r="M116" s="400"/>
      <c r="N116" s="400"/>
      <c r="O116" s="400"/>
      <c r="P116" s="400"/>
    </row>
    <row r="117" spans="9:16" x14ac:dyDescent="0.35">
      <c r="I117" s="401">
        <f>I110/I113</f>
        <v>1.2365999999999999</v>
      </c>
      <c r="J117" s="401"/>
      <c r="K117" s="401"/>
      <c r="L117" s="401"/>
      <c r="M117" s="401"/>
      <c r="N117" s="401"/>
      <c r="O117" s="401"/>
      <c r="P117" s="401"/>
    </row>
  </sheetData>
  <mergeCells count="55">
    <mergeCell ref="I117:P117"/>
    <mergeCell ref="Q105:Q110"/>
    <mergeCell ref="R105:S110"/>
    <mergeCell ref="I112:P112"/>
    <mergeCell ref="I115:P115"/>
    <mergeCell ref="I116:P116"/>
    <mergeCell ref="I110:P110"/>
    <mergeCell ref="I113:P113"/>
    <mergeCell ref="I103:P103"/>
    <mergeCell ref="I109:P109"/>
    <mergeCell ref="I94:P94"/>
    <mergeCell ref="I96:P96"/>
    <mergeCell ref="I97:P97"/>
    <mergeCell ref="I98:P98"/>
    <mergeCell ref="I99:P99"/>
    <mergeCell ref="I89:P89"/>
    <mergeCell ref="I90:P90"/>
    <mergeCell ref="I91:P91"/>
    <mergeCell ref="I87:P87"/>
    <mergeCell ref="B6:D6"/>
    <mergeCell ref="B7:D7"/>
    <mergeCell ref="B8:D8"/>
    <mergeCell ref="B9:D9"/>
    <mergeCell ref="B10:D10"/>
    <mergeCell ref="B11:D11"/>
    <mergeCell ref="I13:J15"/>
    <mergeCell ref="I10:J10"/>
    <mergeCell ref="I11:J11"/>
    <mergeCell ref="E11:F11"/>
    <mergeCell ref="G10:H10"/>
    <mergeCell ref="A1:C1"/>
    <mergeCell ref="A2:C2"/>
    <mergeCell ref="I4:J4"/>
    <mergeCell ref="I5:J5"/>
    <mergeCell ref="G5:H5"/>
    <mergeCell ref="E5:F5"/>
    <mergeCell ref="B4:D4"/>
    <mergeCell ref="B5:D5"/>
    <mergeCell ref="E4:F4"/>
    <mergeCell ref="P8:Q8"/>
    <mergeCell ref="P9:Q9"/>
    <mergeCell ref="P10:Q10"/>
    <mergeCell ref="E6:F6"/>
    <mergeCell ref="E7:F7"/>
    <mergeCell ref="E8:F8"/>
    <mergeCell ref="E9:F9"/>
    <mergeCell ref="E10:F10"/>
    <mergeCell ref="I6:J6"/>
    <mergeCell ref="I7:J7"/>
    <mergeCell ref="I8:J8"/>
    <mergeCell ref="I9:J9"/>
    <mergeCell ref="G6:H6"/>
    <mergeCell ref="G7:H7"/>
    <mergeCell ref="G8:H8"/>
    <mergeCell ref="G9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88AE-5446-4AB8-88C7-147B759747AD}">
  <dimension ref="A1:H13"/>
  <sheetViews>
    <sheetView zoomScale="145" zoomScaleNormal="145" workbookViewId="0">
      <selection activeCell="D10" sqref="D10"/>
    </sheetView>
  </sheetViews>
  <sheetFormatPr defaultRowHeight="14.5" x14ac:dyDescent="0.35"/>
  <cols>
    <col min="1" max="1" width="13.36328125" customWidth="1"/>
    <col min="2" max="2" width="18.7265625" customWidth="1"/>
    <col min="3" max="3" width="15.36328125" customWidth="1"/>
    <col min="4" max="4" width="11.54296875" customWidth="1"/>
    <col min="5" max="5" width="9.81640625" customWidth="1"/>
    <col min="6" max="6" width="14.453125" customWidth="1"/>
    <col min="7" max="7" width="12.36328125" customWidth="1"/>
    <col min="8" max="8" width="12.26953125" customWidth="1"/>
  </cols>
  <sheetData>
    <row r="1" spans="1:8" x14ac:dyDescent="0.35">
      <c r="A1" t="s">
        <v>426</v>
      </c>
      <c r="B1" t="s">
        <v>427</v>
      </c>
    </row>
    <row r="3" spans="1:8" x14ac:dyDescent="0.35">
      <c r="B3" t="s">
        <v>430</v>
      </c>
      <c r="C3" s="95">
        <f>Master!F21</f>
        <v>3.5000000000000003E-2</v>
      </c>
    </row>
    <row r="5" spans="1:8" x14ac:dyDescent="0.35">
      <c r="A5" t="s">
        <v>272</v>
      </c>
      <c r="B5" t="s">
        <v>428</v>
      </c>
      <c r="C5" t="s">
        <v>429</v>
      </c>
      <c r="D5" t="s">
        <v>274</v>
      </c>
      <c r="F5" t="s">
        <v>136</v>
      </c>
      <c r="G5" t="s">
        <v>5</v>
      </c>
    </row>
    <row r="6" spans="1:8" x14ac:dyDescent="0.35">
      <c r="A6">
        <v>0</v>
      </c>
      <c r="B6" s="50">
        <f>Master!C19*A6</f>
        <v>0</v>
      </c>
      <c r="C6" s="100">
        <f>101%+(74%*A6)</f>
        <v>1.01</v>
      </c>
      <c r="D6" s="122">
        <f>C6/(100*3.5%)</f>
        <v>0.28857142857142853</v>
      </c>
      <c r="F6" s="50">
        <f>Master!C25</f>
        <v>8.2349999999999994</v>
      </c>
      <c r="G6" s="95">
        <f>Master!F25</f>
        <v>7.1999999999999995E-2</v>
      </c>
      <c r="H6" s="299">
        <f>F6/(G6*100)</f>
        <v>1.14375</v>
      </c>
    </row>
    <row r="7" spans="1:8" x14ac:dyDescent="0.35">
      <c r="A7">
        <v>1</v>
      </c>
      <c r="B7" s="50">
        <f>Master!C19*A7</f>
        <v>1.61</v>
      </c>
      <c r="C7" s="100">
        <f t="shared" ref="C7:C13" si="0">101%+(74%*A7)</f>
        <v>1.75</v>
      </c>
      <c r="D7" s="122">
        <f t="shared" ref="D7:D13" si="1">C7/(100*3.5%)</f>
        <v>0.49999999999999994</v>
      </c>
    </row>
    <row r="8" spans="1:8" x14ac:dyDescent="0.35">
      <c r="A8">
        <v>2</v>
      </c>
      <c r="B8" s="50">
        <f>Master!C19*A8</f>
        <v>3.22</v>
      </c>
      <c r="C8" s="100">
        <f t="shared" si="0"/>
        <v>2.4900000000000002</v>
      </c>
      <c r="D8" s="122">
        <f t="shared" si="1"/>
        <v>0.71142857142857141</v>
      </c>
    </row>
    <row r="9" spans="1:8" x14ac:dyDescent="0.35">
      <c r="A9">
        <v>3</v>
      </c>
      <c r="B9" s="50">
        <f>Master!C19*A9</f>
        <v>4.83</v>
      </c>
      <c r="C9" s="100">
        <f t="shared" si="0"/>
        <v>3.2299999999999995</v>
      </c>
      <c r="D9" s="122">
        <f t="shared" si="1"/>
        <v>0.9228571428571426</v>
      </c>
    </row>
    <row r="10" spans="1:8" x14ac:dyDescent="0.35">
      <c r="A10">
        <v>4</v>
      </c>
      <c r="B10" s="50">
        <f>Master!C19*A10</f>
        <v>6.44</v>
      </c>
      <c r="C10" s="100">
        <f t="shared" si="0"/>
        <v>3.9699999999999998</v>
      </c>
      <c r="D10" s="122">
        <f t="shared" si="1"/>
        <v>1.1342857142857141</v>
      </c>
    </row>
    <row r="11" spans="1:8" x14ac:dyDescent="0.35">
      <c r="A11">
        <v>5</v>
      </c>
      <c r="B11" s="50">
        <f>Master!C19*A11</f>
        <v>8.0500000000000007</v>
      </c>
      <c r="C11" s="100">
        <f t="shared" si="0"/>
        <v>4.71</v>
      </c>
      <c r="D11" s="122">
        <f t="shared" si="1"/>
        <v>1.3457142857142856</v>
      </c>
    </row>
    <row r="12" spans="1:8" x14ac:dyDescent="0.35">
      <c r="A12">
        <v>6</v>
      </c>
      <c r="B12" s="50">
        <f>Master!C19*A12</f>
        <v>9.66</v>
      </c>
      <c r="C12" s="100">
        <f t="shared" si="0"/>
        <v>5.4499999999999993</v>
      </c>
      <c r="D12" s="122">
        <f t="shared" si="1"/>
        <v>1.5571428571428567</v>
      </c>
    </row>
    <row r="13" spans="1:8" x14ac:dyDescent="0.35">
      <c r="A13">
        <v>7</v>
      </c>
      <c r="B13" s="50">
        <f>Master!C19*A13</f>
        <v>11.270000000000001</v>
      </c>
      <c r="C13" s="100">
        <f t="shared" si="0"/>
        <v>6.1899999999999995</v>
      </c>
      <c r="D13" s="122">
        <f t="shared" si="1"/>
        <v>1.7685714285714282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D859-A184-48EB-B872-956A5A5B952E}">
  <dimension ref="A1:R24"/>
  <sheetViews>
    <sheetView zoomScale="145" zoomScaleNormal="145" workbookViewId="0">
      <selection activeCell="M2" sqref="M2:M24"/>
    </sheetView>
  </sheetViews>
  <sheetFormatPr defaultRowHeight="14.5" x14ac:dyDescent="0.35"/>
  <cols>
    <col min="1" max="1" width="21" customWidth="1"/>
    <col min="3" max="3" width="2.36328125" customWidth="1"/>
    <col min="4" max="16" width="10.6328125" customWidth="1"/>
  </cols>
  <sheetData>
    <row r="1" spans="1:18" x14ac:dyDescent="0.35">
      <c r="A1" t="s">
        <v>110</v>
      </c>
      <c r="B1" t="s">
        <v>120</v>
      </c>
    </row>
    <row r="2" spans="1:18" x14ac:dyDescent="0.35">
      <c r="B2" t="s">
        <v>121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</row>
    <row r="3" spans="1:18" x14ac:dyDescent="0.35">
      <c r="A3" t="str">
        <f>Master!L8</f>
        <v>Haste</v>
      </c>
      <c r="B3" s="95">
        <f>Master!M8</f>
        <v>5.8823529411764712E-2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123</v>
      </c>
      <c r="N3" t="s">
        <v>124</v>
      </c>
      <c r="O3" t="s">
        <v>125</v>
      </c>
      <c r="P3" t="s">
        <v>126</v>
      </c>
    </row>
    <row r="4" spans="1:18" x14ac:dyDescent="0.35">
      <c r="A4" t="str">
        <f>Master!L9</f>
        <v>GCD</v>
      </c>
      <c r="B4">
        <f>Master!M9</f>
        <v>1.4166666666666667</v>
      </c>
      <c r="D4">
        <v>12</v>
      </c>
      <c r="E4">
        <f>D4-(B4*1)</f>
        <v>10.583333333333334</v>
      </c>
      <c r="F4">
        <f>E4-B4</f>
        <v>9.1666666666666679</v>
      </c>
      <c r="G4">
        <f>F4-B4</f>
        <v>7.7500000000000009</v>
      </c>
      <c r="H4">
        <f>G4-B4</f>
        <v>6.3333333333333339</v>
      </c>
      <c r="I4">
        <f>H4-B4</f>
        <v>4.916666666666667</v>
      </c>
      <c r="J4">
        <f>I4-B4</f>
        <v>3.5</v>
      </c>
      <c r="K4">
        <f>J4-B4</f>
        <v>2.083333333333333</v>
      </c>
      <c r="L4">
        <f>K4-B4</f>
        <v>0.6666666666666663</v>
      </c>
      <c r="M4">
        <f>L4-B4</f>
        <v>-0.75000000000000044</v>
      </c>
      <c r="N4">
        <f>M4-B4</f>
        <v>-2.166666666666667</v>
      </c>
      <c r="O4">
        <f>N4-B4</f>
        <v>-3.5833333333333339</v>
      </c>
      <c r="P4">
        <f>O4-B4</f>
        <v>-5.0000000000000009</v>
      </c>
    </row>
    <row r="5" spans="1:18" x14ac:dyDescent="0.35">
      <c r="D5" t="s">
        <v>122</v>
      </c>
      <c r="J5" s="281"/>
      <c r="K5" s="281"/>
    </row>
    <row r="6" spans="1:18" x14ac:dyDescent="0.35">
      <c r="A6" s="96" t="s">
        <v>132</v>
      </c>
      <c r="B6" s="96" t="s">
        <v>74</v>
      </c>
      <c r="C6" s="96"/>
      <c r="D6" s="96" t="s">
        <v>137</v>
      </c>
      <c r="E6" s="96" t="s">
        <v>15</v>
      </c>
      <c r="F6" s="96" t="s">
        <v>15</v>
      </c>
      <c r="G6" s="96" t="s">
        <v>44</v>
      </c>
      <c r="H6" s="96" t="s">
        <v>15</v>
      </c>
      <c r="I6" s="96" t="s">
        <v>15</v>
      </c>
      <c r="J6" s="279" t="s">
        <v>15</v>
      </c>
      <c r="K6" s="279" t="s">
        <v>15</v>
      </c>
      <c r="L6" s="96" t="s">
        <v>15</v>
      </c>
      <c r="M6" s="96" t="s">
        <v>136</v>
      </c>
      <c r="N6" s="96"/>
      <c r="O6" s="96"/>
      <c r="P6" s="96"/>
    </row>
    <row r="7" spans="1:18" x14ac:dyDescent="0.35">
      <c r="A7" t="s">
        <v>368</v>
      </c>
      <c r="B7" s="96" t="s">
        <v>133</v>
      </c>
      <c r="C7" s="96"/>
      <c r="D7" s="97">
        <f>E7+F7+G7+H7+I7+J7+K7+L7+M7+O7+P7</f>
        <v>29.215000000000007</v>
      </c>
      <c r="E7" s="97">
        <f>Master!C22</f>
        <v>2.4900000000000002</v>
      </c>
      <c r="F7" s="97">
        <f>E7</f>
        <v>2.4900000000000002</v>
      </c>
      <c r="G7" s="97">
        <f>Master!C19</f>
        <v>1.61</v>
      </c>
      <c r="H7" s="97">
        <f>E7+70%</f>
        <v>3.1900000000000004</v>
      </c>
      <c r="I7" s="97">
        <f>E7+70%</f>
        <v>3.1900000000000004</v>
      </c>
      <c r="J7" s="280">
        <f>I7</f>
        <v>3.1900000000000004</v>
      </c>
      <c r="K7" s="280">
        <f>I7</f>
        <v>3.1900000000000004</v>
      </c>
      <c r="L7" s="97">
        <f>I7</f>
        <v>3.1900000000000004</v>
      </c>
      <c r="M7" s="97">
        <f>Master!C24</f>
        <v>6.6749999999999998</v>
      </c>
      <c r="N7" s="97"/>
      <c r="O7" s="97"/>
      <c r="P7" s="97"/>
    </row>
    <row r="8" spans="1:18" x14ac:dyDescent="0.35">
      <c r="A8" t="s">
        <v>369</v>
      </c>
      <c r="B8" s="96" t="s">
        <v>134</v>
      </c>
      <c r="C8" s="96"/>
      <c r="D8" s="98">
        <f>E8+F8+H8+G8+I8+J8+K8+L8+M8</f>
        <v>0.34200000000000003</v>
      </c>
      <c r="E8" s="99">
        <f>Master!F22</f>
        <v>3.5000000000000003E-2</v>
      </c>
      <c r="F8" s="98">
        <f>E8</f>
        <v>3.5000000000000003E-2</v>
      </c>
      <c r="G8" s="98">
        <f>Master!F19</f>
        <v>2.5000000000000001E-2</v>
      </c>
      <c r="H8" s="98">
        <f>E8</f>
        <v>3.5000000000000003E-2</v>
      </c>
      <c r="I8" s="98">
        <f>E8</f>
        <v>3.5000000000000003E-2</v>
      </c>
      <c r="J8" s="297">
        <f>E8</f>
        <v>3.5000000000000003E-2</v>
      </c>
      <c r="K8" s="297">
        <f>E8</f>
        <v>3.5000000000000003E-2</v>
      </c>
      <c r="L8" s="98">
        <f>E8</f>
        <v>3.5000000000000003E-2</v>
      </c>
      <c r="M8" s="99">
        <f>Master!F24</f>
        <v>7.1999999999999995E-2</v>
      </c>
      <c r="N8" s="96"/>
      <c r="O8" s="96"/>
      <c r="P8" s="96"/>
    </row>
    <row r="9" spans="1:18" x14ac:dyDescent="0.35">
      <c r="B9" s="96" t="s">
        <v>139</v>
      </c>
      <c r="C9" s="96"/>
      <c r="D9" s="98">
        <f>D8/2</f>
        <v>0.17100000000000001</v>
      </c>
      <c r="E9" s="100"/>
      <c r="K9" s="278"/>
      <c r="L9" s="278"/>
      <c r="M9" s="278"/>
      <c r="N9" s="278"/>
      <c r="O9" s="278"/>
      <c r="P9" s="278"/>
    </row>
    <row r="11" spans="1:18" x14ac:dyDescent="0.35">
      <c r="E11" t="s">
        <v>140</v>
      </c>
      <c r="R11" t="s">
        <v>140</v>
      </c>
    </row>
    <row r="12" spans="1:18" x14ac:dyDescent="0.35">
      <c r="A12" s="101" t="s">
        <v>138</v>
      </c>
      <c r="B12" s="101" t="s">
        <v>74</v>
      </c>
      <c r="C12" s="101"/>
      <c r="D12" s="101" t="s">
        <v>137</v>
      </c>
      <c r="E12" s="101" t="s">
        <v>34</v>
      </c>
      <c r="F12" s="101" t="s">
        <v>32</v>
      </c>
      <c r="G12" s="101" t="s">
        <v>32</v>
      </c>
      <c r="H12" s="101" t="s">
        <v>32</v>
      </c>
      <c r="I12" s="101" t="s">
        <v>32</v>
      </c>
      <c r="J12" s="106" t="s">
        <v>32</v>
      </c>
      <c r="K12" s="106" t="s">
        <v>32</v>
      </c>
      <c r="L12" s="101" t="s">
        <v>33</v>
      </c>
      <c r="M12" s="101" t="s">
        <v>35</v>
      </c>
      <c r="N12" s="101"/>
      <c r="O12" s="101"/>
      <c r="P12" s="101"/>
      <c r="R12" s="101" t="s">
        <v>34</v>
      </c>
    </row>
    <row r="13" spans="1:18" x14ac:dyDescent="0.35">
      <c r="B13" s="102" t="s">
        <v>133</v>
      </c>
      <c r="C13" s="102"/>
      <c r="D13" s="103">
        <f>SUM(E13:M13)</f>
        <v>22.847999999999999</v>
      </c>
      <c r="E13" s="103">
        <f>Master!C47</f>
        <v>4.1579999999999995</v>
      </c>
      <c r="F13" s="103">
        <f>Master!C43</f>
        <v>1.5</v>
      </c>
      <c r="G13" s="103">
        <f>F13</f>
        <v>1.5</v>
      </c>
      <c r="H13" s="103">
        <f>F13</f>
        <v>1.5</v>
      </c>
      <c r="I13" s="103">
        <f>F13</f>
        <v>1.5</v>
      </c>
      <c r="J13" s="107">
        <f>F13</f>
        <v>1.5</v>
      </c>
      <c r="K13" s="107">
        <f>F13</f>
        <v>1.5</v>
      </c>
      <c r="L13" s="103">
        <f>Master!C46</f>
        <v>2.4</v>
      </c>
      <c r="M13" s="103">
        <f>Master!C48</f>
        <v>7.29</v>
      </c>
      <c r="N13" s="102"/>
      <c r="O13" s="102"/>
      <c r="P13" s="102"/>
      <c r="R13" s="103">
        <f>E13</f>
        <v>4.1579999999999995</v>
      </c>
    </row>
    <row r="14" spans="1:18" x14ac:dyDescent="0.35">
      <c r="B14" s="101" t="s">
        <v>134</v>
      </c>
      <c r="C14" s="101"/>
      <c r="D14" s="105">
        <f>SUM(E14:M14)</f>
        <v>0.28600000000000003</v>
      </c>
      <c r="E14" s="104">
        <f>Master!F47</f>
        <v>5.6000000000000008E-2</v>
      </c>
      <c r="F14" s="104">
        <f>Master!F43</f>
        <v>2.8000000000000004E-2</v>
      </c>
      <c r="G14" s="105">
        <f>F14</f>
        <v>2.8000000000000004E-2</v>
      </c>
      <c r="H14" s="105">
        <f>F14</f>
        <v>2.8000000000000004E-2</v>
      </c>
      <c r="I14" s="105">
        <f>F14</f>
        <v>2.8000000000000004E-2</v>
      </c>
      <c r="J14" s="108">
        <f>F14</f>
        <v>2.8000000000000004E-2</v>
      </c>
      <c r="K14" s="108">
        <f>F14</f>
        <v>2.8000000000000004E-2</v>
      </c>
      <c r="L14" s="104">
        <f>Master!F46</f>
        <v>2.8000000000000001E-2</v>
      </c>
      <c r="M14" s="105">
        <f>Master!F48</f>
        <v>3.4000000000000002E-2</v>
      </c>
      <c r="N14" s="101"/>
      <c r="O14" s="101"/>
      <c r="P14" s="101"/>
      <c r="R14" s="105">
        <f>E14</f>
        <v>5.6000000000000008E-2</v>
      </c>
    </row>
    <row r="15" spans="1:18" x14ac:dyDescent="0.35">
      <c r="D15" s="50"/>
      <c r="F15" s="50"/>
      <c r="G15" s="50"/>
      <c r="H15" s="50"/>
      <c r="I15" s="50"/>
      <c r="J15" s="50"/>
      <c r="K15" s="50"/>
    </row>
    <row r="16" spans="1:18" x14ac:dyDescent="0.35">
      <c r="D16" t="s">
        <v>142</v>
      </c>
      <c r="N16" t="s">
        <v>145</v>
      </c>
    </row>
    <row r="17" spans="1:16" x14ac:dyDescent="0.35">
      <c r="A17" s="110" t="s">
        <v>141</v>
      </c>
      <c r="B17" s="109" t="s">
        <v>74</v>
      </c>
      <c r="C17" s="109"/>
      <c r="D17" s="109" t="s">
        <v>137</v>
      </c>
      <c r="E17" s="109" t="s">
        <v>21</v>
      </c>
      <c r="F17" s="109" t="s">
        <v>21</v>
      </c>
      <c r="G17" s="109" t="s">
        <v>21</v>
      </c>
      <c r="H17" s="109" t="s">
        <v>21</v>
      </c>
      <c r="I17" s="109" t="s">
        <v>21</v>
      </c>
      <c r="J17" s="114" t="s">
        <v>21</v>
      </c>
      <c r="K17" s="114" t="s">
        <v>21</v>
      </c>
      <c r="L17" s="109" t="s">
        <v>21</v>
      </c>
      <c r="M17" s="109" t="s">
        <v>21</v>
      </c>
      <c r="N17" s="109" t="s">
        <v>21</v>
      </c>
      <c r="O17" s="109"/>
      <c r="P17" s="109"/>
    </row>
    <row r="18" spans="1:16" x14ac:dyDescent="0.35">
      <c r="A18" t="s">
        <v>143</v>
      </c>
      <c r="B18" s="109" t="s">
        <v>133</v>
      </c>
      <c r="C18" s="109"/>
      <c r="D18" s="111">
        <f>SUM(E18:N18) * 1.25</f>
        <v>19.662500000000001</v>
      </c>
      <c r="E18" s="111">
        <f>Master!C34</f>
        <v>1.573</v>
      </c>
      <c r="F18" s="111">
        <f>E18</f>
        <v>1.573</v>
      </c>
      <c r="G18" s="111">
        <f t="shared" ref="G18:N18" si="0">F18</f>
        <v>1.573</v>
      </c>
      <c r="H18" s="111">
        <f t="shared" si="0"/>
        <v>1.573</v>
      </c>
      <c r="I18" s="111">
        <f t="shared" si="0"/>
        <v>1.573</v>
      </c>
      <c r="J18" s="115">
        <f t="shared" si="0"/>
        <v>1.573</v>
      </c>
      <c r="K18" s="115">
        <f t="shared" si="0"/>
        <v>1.573</v>
      </c>
      <c r="L18" s="111">
        <f t="shared" si="0"/>
        <v>1.573</v>
      </c>
      <c r="M18" s="111">
        <f t="shared" si="0"/>
        <v>1.573</v>
      </c>
      <c r="N18" s="111">
        <f t="shared" si="0"/>
        <v>1.573</v>
      </c>
      <c r="O18" s="109"/>
      <c r="P18" s="109"/>
    </row>
    <row r="19" spans="1:16" x14ac:dyDescent="0.35">
      <c r="A19" t="s">
        <v>144</v>
      </c>
      <c r="B19" s="109" t="s">
        <v>134</v>
      </c>
      <c r="C19" s="109"/>
      <c r="D19" s="112">
        <f>SUM(E19:N19) + (344 / 20000)</f>
        <v>0.37820000000000004</v>
      </c>
      <c r="E19" s="112">
        <f>Master!F34</f>
        <v>3.61E-2</v>
      </c>
      <c r="F19" s="113">
        <f>E19</f>
        <v>3.61E-2</v>
      </c>
      <c r="G19" s="113">
        <f t="shared" ref="G19:N19" si="1">F19</f>
        <v>3.61E-2</v>
      </c>
      <c r="H19" s="113">
        <f t="shared" si="1"/>
        <v>3.61E-2</v>
      </c>
      <c r="I19" s="113">
        <f t="shared" si="1"/>
        <v>3.61E-2</v>
      </c>
      <c r="J19" s="116">
        <f t="shared" si="1"/>
        <v>3.61E-2</v>
      </c>
      <c r="K19" s="116">
        <f t="shared" si="1"/>
        <v>3.61E-2</v>
      </c>
      <c r="L19" s="113">
        <f t="shared" si="1"/>
        <v>3.61E-2</v>
      </c>
      <c r="M19" s="113">
        <f t="shared" si="1"/>
        <v>3.61E-2</v>
      </c>
      <c r="N19" s="113">
        <f t="shared" si="1"/>
        <v>3.61E-2</v>
      </c>
      <c r="O19" s="109"/>
      <c r="P19" s="109"/>
    </row>
    <row r="22" spans="1:16" x14ac:dyDescent="0.35">
      <c r="A22" s="5" t="s">
        <v>41</v>
      </c>
      <c r="B22" s="5" t="s">
        <v>74</v>
      </c>
      <c r="C22" s="5"/>
      <c r="D22" s="5" t="s">
        <v>137</v>
      </c>
      <c r="E22" s="373" t="s">
        <v>146</v>
      </c>
      <c r="F22" s="376"/>
      <c r="G22" s="376"/>
      <c r="H22" s="374"/>
      <c r="I22" s="373" t="s">
        <v>146</v>
      </c>
      <c r="J22" s="376"/>
      <c r="K22" s="376"/>
      <c r="L22" s="374"/>
      <c r="M22" s="5" t="s">
        <v>147</v>
      </c>
      <c r="N22" s="5"/>
      <c r="O22" s="5"/>
      <c r="P22" s="5"/>
    </row>
    <row r="23" spans="1:16" x14ac:dyDescent="0.35">
      <c r="B23" s="117" t="s">
        <v>133</v>
      </c>
      <c r="C23" s="117"/>
      <c r="D23" s="118">
        <f>H23+L23+M23</f>
        <v>29.25</v>
      </c>
      <c r="E23" s="118">
        <f>Master!C66</f>
        <v>3.125</v>
      </c>
      <c r="F23" s="117">
        <f>3</f>
        <v>3</v>
      </c>
      <c r="G23" s="117">
        <f>E23*F23</f>
        <v>9.375</v>
      </c>
      <c r="H23" s="119">
        <f>G23</f>
        <v>9.375</v>
      </c>
      <c r="I23" s="118">
        <f>Master!C66</f>
        <v>3.125</v>
      </c>
      <c r="J23" s="117">
        <f>3</f>
        <v>3</v>
      </c>
      <c r="K23" s="117">
        <f>I23*J23</f>
        <v>9.375</v>
      </c>
      <c r="L23" s="119">
        <f>K23</f>
        <v>9.375</v>
      </c>
      <c r="M23" s="118">
        <f>Master!C69</f>
        <v>10.5</v>
      </c>
      <c r="N23" s="117"/>
      <c r="O23" s="117"/>
      <c r="P23" s="117"/>
    </row>
    <row r="24" spans="1:16" x14ac:dyDescent="0.35">
      <c r="B24" s="5" t="s">
        <v>134</v>
      </c>
      <c r="C24" s="5"/>
      <c r="D24" s="121">
        <f>E24+I24+M24</f>
        <v>0.32</v>
      </c>
      <c r="E24" s="378">
        <f>Master!F66 * 3</f>
        <v>0.13500000000000001</v>
      </c>
      <c r="F24" s="379"/>
      <c r="G24" s="379"/>
      <c r="H24" s="380"/>
      <c r="I24" s="378">
        <f>Master!F66 * 3</f>
        <v>0.13500000000000001</v>
      </c>
      <c r="J24" s="379"/>
      <c r="K24" s="379"/>
      <c r="L24" s="380"/>
      <c r="M24" s="120">
        <f>Master!F69</f>
        <v>0.05</v>
      </c>
      <c r="N24" s="5"/>
      <c r="O24" s="5"/>
      <c r="P24" s="5"/>
    </row>
  </sheetData>
  <mergeCells count="4">
    <mergeCell ref="E22:H22"/>
    <mergeCell ref="I22:L22"/>
    <mergeCell ref="E24:H24"/>
    <mergeCell ref="I24:L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9E27-6789-4F91-90E3-8C9C9BE7977A}">
  <dimension ref="A3:M23"/>
  <sheetViews>
    <sheetView zoomScale="145" zoomScaleNormal="145" workbookViewId="0">
      <selection activeCell="A24" sqref="A24"/>
    </sheetView>
  </sheetViews>
  <sheetFormatPr defaultRowHeight="14.5" x14ac:dyDescent="0.35"/>
  <cols>
    <col min="1" max="1" width="12.26953125" customWidth="1"/>
    <col min="2" max="2" width="10.1796875" customWidth="1"/>
  </cols>
  <sheetData>
    <row r="3" spans="1:13" x14ac:dyDescent="0.35">
      <c r="A3" t="s">
        <v>249</v>
      </c>
    </row>
    <row r="4" spans="1:13" x14ac:dyDescent="0.35">
      <c r="A4" s="50">
        <v>1.28</v>
      </c>
      <c r="B4" t="s">
        <v>319</v>
      </c>
      <c r="D4" t="s">
        <v>384</v>
      </c>
      <c r="E4" t="s">
        <v>385</v>
      </c>
      <c r="I4" t="s">
        <v>386</v>
      </c>
      <c r="K4" t="s">
        <v>388</v>
      </c>
    </row>
    <row r="5" spans="1:13" x14ac:dyDescent="0.35">
      <c r="A5" s="100">
        <v>3.7999999999999999E-2</v>
      </c>
      <c r="B5" t="s">
        <v>373</v>
      </c>
      <c r="D5">
        <f>128*1.5</f>
        <v>192</v>
      </c>
      <c r="E5">
        <f>128*2</f>
        <v>256</v>
      </c>
      <c r="F5" t="s">
        <v>319</v>
      </c>
      <c r="I5" t="s">
        <v>387</v>
      </c>
      <c r="K5" t="s">
        <v>389</v>
      </c>
      <c r="M5" t="s">
        <v>390</v>
      </c>
    </row>
    <row r="6" spans="1:13" x14ac:dyDescent="0.35">
      <c r="A6" t="s">
        <v>374</v>
      </c>
      <c r="B6" t="s">
        <v>375</v>
      </c>
      <c r="I6">
        <f>3*3.8</f>
        <v>11.399999999999999</v>
      </c>
      <c r="J6" t="s">
        <v>373</v>
      </c>
      <c r="K6">
        <f>128+192+256</f>
        <v>576</v>
      </c>
      <c r="M6">
        <f>576/11.4</f>
        <v>50.526315789473685</v>
      </c>
    </row>
    <row r="10" spans="1:13" x14ac:dyDescent="0.35">
      <c r="A10" t="s">
        <v>15</v>
      </c>
      <c r="C10" t="s">
        <v>377</v>
      </c>
    </row>
    <row r="11" spans="1:13" x14ac:dyDescent="0.35">
      <c r="A11" s="50">
        <v>0.95</v>
      </c>
      <c r="B11" t="s">
        <v>319</v>
      </c>
      <c r="C11" t="s">
        <v>378</v>
      </c>
      <c r="F11" t="s">
        <v>381</v>
      </c>
      <c r="H11" t="s">
        <v>399</v>
      </c>
      <c r="I11">
        <f>100/3.5</f>
        <v>28.571428571428573</v>
      </c>
    </row>
    <row r="12" spans="1:13" x14ac:dyDescent="0.35">
      <c r="A12" s="100">
        <v>3.5000000000000003E-2</v>
      </c>
      <c r="B12" t="s">
        <v>373</v>
      </c>
      <c r="C12" t="s">
        <v>379</v>
      </c>
      <c r="D12" t="s">
        <v>380</v>
      </c>
      <c r="F12" t="s">
        <v>382</v>
      </c>
      <c r="I12" t="s">
        <v>383</v>
      </c>
    </row>
    <row r="13" spans="1:13" x14ac:dyDescent="0.35">
      <c r="A13" s="50">
        <v>0.7</v>
      </c>
      <c r="B13" t="s">
        <v>319</v>
      </c>
      <c r="F13" t="s">
        <v>398</v>
      </c>
      <c r="G13" s="50">
        <v>1</v>
      </c>
    </row>
    <row r="14" spans="1:13" x14ac:dyDescent="0.35">
      <c r="A14" t="s">
        <v>376</v>
      </c>
    </row>
    <row r="16" spans="1:13" x14ac:dyDescent="0.35">
      <c r="G16" t="s">
        <v>393</v>
      </c>
      <c r="I16" t="s">
        <v>397</v>
      </c>
    </row>
    <row r="17" spans="1:9" x14ac:dyDescent="0.35">
      <c r="G17" t="s">
        <v>396</v>
      </c>
      <c r="I17">
        <f>170/6.3</f>
        <v>26.984126984126984</v>
      </c>
    </row>
    <row r="18" spans="1:9" x14ac:dyDescent="0.35">
      <c r="A18" t="s">
        <v>391</v>
      </c>
      <c r="D18" t="s">
        <v>394</v>
      </c>
      <c r="G18">
        <f>2.8+3.5</f>
        <v>6.3</v>
      </c>
    </row>
    <row r="19" spans="1:9" x14ac:dyDescent="0.35">
      <c r="A19" t="s">
        <v>392</v>
      </c>
      <c r="D19">
        <f>140/2.8</f>
        <v>50</v>
      </c>
      <c r="E19" t="s">
        <v>395</v>
      </c>
    </row>
    <row r="20" spans="1:9" x14ac:dyDescent="0.35">
      <c r="A20" t="s">
        <v>393</v>
      </c>
    </row>
    <row r="23" spans="1:9" x14ac:dyDescent="0.35">
      <c r="A23" t="s">
        <v>400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5C39-CBA0-4DF5-BE3E-C8392FE88AC9}">
  <dimension ref="A1:M20"/>
  <sheetViews>
    <sheetView zoomScale="160" zoomScaleNormal="160" workbookViewId="0">
      <selection activeCell="G3" sqref="G3"/>
    </sheetView>
  </sheetViews>
  <sheetFormatPr defaultRowHeight="14.5" x14ac:dyDescent="0.35"/>
  <sheetData>
    <row r="1" spans="1:13" x14ac:dyDescent="0.35">
      <c r="A1" t="s">
        <v>401</v>
      </c>
    </row>
    <row r="2" spans="1:13" x14ac:dyDescent="0.35">
      <c r="A2" t="s">
        <v>402</v>
      </c>
      <c r="D2" t="s">
        <v>412</v>
      </c>
    </row>
    <row r="3" spans="1:13" x14ac:dyDescent="0.35">
      <c r="A3" t="s">
        <v>403</v>
      </c>
      <c r="G3">
        <f>30/4</f>
        <v>7.5</v>
      </c>
      <c r="M3">
        <f>1.5/(1+0.4)</f>
        <v>1.0714285714285714</v>
      </c>
    </row>
    <row r="4" spans="1:13" x14ac:dyDescent="0.35">
      <c r="G4" t="s">
        <v>413</v>
      </c>
      <c r="J4">
        <f>30/1.1</f>
        <v>27.27272727272727</v>
      </c>
      <c r="M4" t="s">
        <v>423</v>
      </c>
    </row>
    <row r="5" spans="1:13" x14ac:dyDescent="0.35">
      <c r="J5" t="s">
        <v>422</v>
      </c>
    </row>
    <row r="6" spans="1:13" x14ac:dyDescent="0.35">
      <c r="A6" t="s">
        <v>404</v>
      </c>
      <c r="M6">
        <f>30/M3</f>
        <v>28</v>
      </c>
    </row>
    <row r="7" spans="1:13" x14ac:dyDescent="0.35">
      <c r="A7" t="s">
        <v>405</v>
      </c>
      <c r="M7" t="s">
        <v>424</v>
      </c>
    </row>
    <row r="9" spans="1:13" x14ac:dyDescent="0.35">
      <c r="B9" t="s">
        <v>406</v>
      </c>
      <c r="C9">
        <v>0</v>
      </c>
      <c r="D9" s="50">
        <v>0.1</v>
      </c>
      <c r="E9" s="50">
        <v>0.2</v>
      </c>
      <c r="F9" s="50">
        <v>0.3</v>
      </c>
      <c r="G9" s="50">
        <v>0.4</v>
      </c>
      <c r="H9" s="50">
        <v>0.5</v>
      </c>
      <c r="M9">
        <f>M6/8</f>
        <v>3.5</v>
      </c>
    </row>
    <row r="10" spans="1:13" x14ac:dyDescent="0.35">
      <c r="B10" t="s">
        <v>407</v>
      </c>
      <c r="C10">
        <v>12</v>
      </c>
      <c r="D10">
        <f>12/(1+D9)</f>
        <v>10.909090909090908</v>
      </c>
      <c r="E10">
        <f t="shared" ref="E10:H10" si="0">12/(1+E9)</f>
        <v>10</v>
      </c>
      <c r="F10">
        <f t="shared" si="0"/>
        <v>9.2307692307692299</v>
      </c>
      <c r="G10">
        <f>12/(1+G9)</f>
        <v>8.5714285714285712</v>
      </c>
      <c r="H10">
        <f t="shared" si="0"/>
        <v>8</v>
      </c>
    </row>
    <row r="11" spans="1:13" x14ac:dyDescent="0.35">
      <c r="B11" t="s">
        <v>415</v>
      </c>
      <c r="C11">
        <f>30/C10</f>
        <v>2.5</v>
      </c>
      <c r="D11">
        <f t="shared" ref="D11:H11" si="1">30/D10</f>
        <v>2.75</v>
      </c>
      <c r="E11">
        <f t="shared" si="1"/>
        <v>3</v>
      </c>
      <c r="F11">
        <f t="shared" si="1"/>
        <v>3.2500000000000004</v>
      </c>
      <c r="G11">
        <f t="shared" si="1"/>
        <v>3.5</v>
      </c>
      <c r="H11">
        <f t="shared" si="1"/>
        <v>3.75</v>
      </c>
    </row>
    <row r="13" spans="1:13" x14ac:dyDescent="0.35">
      <c r="A13" t="s">
        <v>408</v>
      </c>
    </row>
    <row r="14" spans="1:13" x14ac:dyDescent="0.35">
      <c r="A14" t="s">
        <v>227</v>
      </c>
      <c r="C14" t="s">
        <v>410</v>
      </c>
    </row>
    <row r="15" spans="1:13" x14ac:dyDescent="0.35">
      <c r="A15" t="s">
        <v>409</v>
      </c>
      <c r="C15" t="s">
        <v>411</v>
      </c>
      <c r="G15" t="s">
        <v>414</v>
      </c>
    </row>
    <row r="18" spans="1:7" x14ac:dyDescent="0.35">
      <c r="A18" t="s">
        <v>416</v>
      </c>
    </row>
    <row r="19" spans="1:7" x14ac:dyDescent="0.35">
      <c r="A19" t="s">
        <v>417</v>
      </c>
      <c r="G19" t="s">
        <v>420</v>
      </c>
    </row>
    <row r="20" spans="1:7" x14ac:dyDescent="0.35">
      <c r="A20" t="s">
        <v>418</v>
      </c>
      <c r="B20" t="s">
        <v>419</v>
      </c>
      <c r="G20" t="s">
        <v>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8C5B-3D24-434A-B1EE-48A9BF434763}">
  <dimension ref="A1:U25"/>
  <sheetViews>
    <sheetView zoomScale="175" zoomScaleNormal="175" workbookViewId="0">
      <pane xSplit="1" topLeftCell="B1" activePane="topRight" state="frozen"/>
      <selection pane="topRight" activeCell="G9" sqref="G9"/>
    </sheetView>
  </sheetViews>
  <sheetFormatPr defaultRowHeight="14.5" x14ac:dyDescent="0.35"/>
  <cols>
    <col min="1" max="1" width="15.08984375" customWidth="1"/>
    <col min="2" max="2" width="4.6328125" customWidth="1"/>
    <col min="3" max="3" width="5.453125" customWidth="1"/>
    <col min="4" max="4" width="4.453125" customWidth="1"/>
    <col min="5" max="5" width="16.36328125" customWidth="1"/>
    <col min="6" max="6" width="10.6328125" customWidth="1"/>
    <col min="7" max="7" width="10.08984375" customWidth="1"/>
    <col min="10" max="10" width="25.7265625" customWidth="1"/>
    <col min="11" max="11" width="13.08984375" customWidth="1"/>
    <col min="12" max="14" width="12.6328125" customWidth="1"/>
    <col min="15" max="15" width="12" customWidth="1"/>
    <col min="16" max="16" width="4.90625" customWidth="1"/>
    <col min="17" max="17" width="13.26953125" customWidth="1"/>
    <col min="18" max="19" width="13" customWidth="1"/>
    <col min="20" max="20" width="13.7265625" customWidth="1"/>
    <col min="21" max="21" width="13.54296875" customWidth="1"/>
  </cols>
  <sheetData>
    <row r="1" spans="1:21" x14ac:dyDescent="0.35">
      <c r="A1" s="145" t="s">
        <v>132</v>
      </c>
    </row>
    <row r="2" spans="1:21" x14ac:dyDescent="0.35">
      <c r="A2" s="144" t="s">
        <v>148</v>
      </c>
    </row>
    <row r="3" spans="1:21" x14ac:dyDescent="0.35">
      <c r="A3" s="144"/>
      <c r="E3" s="124" t="s">
        <v>149</v>
      </c>
      <c r="F3" s="125">
        <v>0.25</v>
      </c>
      <c r="G3" s="126" t="s">
        <v>153</v>
      </c>
      <c r="L3" s="347" t="s">
        <v>176</v>
      </c>
      <c r="M3" s="347"/>
      <c r="N3" s="347"/>
      <c r="R3" s="347" t="s">
        <v>135</v>
      </c>
      <c r="S3" s="347"/>
      <c r="T3" s="347"/>
      <c r="U3" s="347"/>
    </row>
    <row r="4" spans="1:21" x14ac:dyDescent="0.35">
      <c r="A4" s="144" t="s">
        <v>174</v>
      </c>
      <c r="E4" s="127" t="s">
        <v>74</v>
      </c>
      <c r="F4" t="s">
        <v>15</v>
      </c>
      <c r="G4" s="128" t="s">
        <v>150</v>
      </c>
      <c r="L4" s="347" t="s">
        <v>177</v>
      </c>
      <c r="M4" s="347"/>
      <c r="N4" s="347"/>
      <c r="R4" s="347" t="s">
        <v>190</v>
      </c>
      <c r="S4" s="347"/>
      <c r="T4" s="347"/>
      <c r="U4" s="347"/>
    </row>
    <row r="5" spans="1:21" x14ac:dyDescent="0.35">
      <c r="A5" s="144" t="s">
        <v>175</v>
      </c>
      <c r="E5" s="127" t="s">
        <v>151</v>
      </c>
      <c r="F5" s="50">
        <f>Master!C22</f>
        <v>2.4900000000000002</v>
      </c>
      <c r="G5" s="129">
        <f>Master!C20</f>
        <v>2.3759999999999999</v>
      </c>
      <c r="L5" s="93" t="s">
        <v>179</v>
      </c>
      <c r="M5" s="93" t="s">
        <v>178</v>
      </c>
      <c r="N5" s="93" t="s">
        <v>180</v>
      </c>
      <c r="R5" t="s">
        <v>191</v>
      </c>
      <c r="S5" t="s">
        <v>194</v>
      </c>
      <c r="T5" t="s">
        <v>192</v>
      </c>
      <c r="U5" t="s">
        <v>193</v>
      </c>
    </row>
    <row r="6" spans="1:21" x14ac:dyDescent="0.35">
      <c r="A6" s="150">
        <v>8.0000000000000002E-3</v>
      </c>
      <c r="E6" s="127" t="s">
        <v>134</v>
      </c>
      <c r="F6" s="122">
        <f>Master!F22</f>
        <v>3.5000000000000003E-2</v>
      </c>
      <c r="G6" s="130">
        <f>Master!F20</f>
        <v>5.1999999999999998E-2</v>
      </c>
      <c r="K6" t="s">
        <v>181</v>
      </c>
      <c r="L6" s="93">
        <v>1</v>
      </c>
      <c r="M6" s="93">
        <v>2</v>
      </c>
      <c r="N6" s="93">
        <v>3</v>
      </c>
      <c r="R6" s="50">
        <v>0</v>
      </c>
      <c r="S6" s="50">
        <v>21.93</v>
      </c>
      <c r="T6" s="95">
        <f>6*Master!F22 + Master!F19 + Master!F25</f>
        <v>0.307</v>
      </c>
      <c r="U6" s="95">
        <f>T6/2</f>
        <v>0.1535</v>
      </c>
    </row>
    <row r="7" spans="1:21" x14ac:dyDescent="0.35">
      <c r="A7" s="144" t="s">
        <v>189</v>
      </c>
      <c r="E7" s="131" t="s">
        <v>152</v>
      </c>
      <c r="F7" s="132">
        <f>F6*(1-F3)</f>
        <v>2.6250000000000002E-2</v>
      </c>
      <c r="G7" s="133">
        <f>G6*(1-F3)</f>
        <v>3.9E-2</v>
      </c>
      <c r="K7" t="s">
        <v>182</v>
      </c>
      <c r="L7" s="148">
        <f>L6*O7</f>
        <v>6.4999999999999997E-3</v>
      </c>
      <c r="M7" s="148">
        <f>M6*O7</f>
        <v>1.2999999999999999E-2</v>
      </c>
      <c r="N7" s="148">
        <f>O7*N6</f>
        <v>1.95E-2</v>
      </c>
      <c r="O7" s="100">
        <v>6.4999999999999997E-3</v>
      </c>
      <c r="R7" s="100">
        <v>0.12529999999999999</v>
      </c>
      <c r="S7" s="50">
        <v>24.98</v>
      </c>
      <c r="T7" s="95">
        <f>7*Master!F22 + Master!F19 + Master!F25</f>
        <v>0.34200000000000003</v>
      </c>
      <c r="U7" s="95">
        <f t="shared" ref="U7:U10" si="0">T7/2</f>
        <v>0.17100000000000001</v>
      </c>
    </row>
    <row r="8" spans="1:21" x14ac:dyDescent="0.35">
      <c r="A8" s="144" t="s">
        <v>26</v>
      </c>
      <c r="K8" t="s">
        <v>183</v>
      </c>
      <c r="L8" s="93">
        <v>2</v>
      </c>
      <c r="M8" s="93">
        <v>3</v>
      </c>
      <c r="N8" s="93">
        <v>4</v>
      </c>
      <c r="R8" s="50">
        <v>0.25</v>
      </c>
      <c r="S8" s="50">
        <v>28.03</v>
      </c>
      <c r="T8" s="95">
        <f>8*Master!F22 + Master!F19 + Master!F25</f>
        <v>0.37700000000000006</v>
      </c>
      <c r="U8" s="95">
        <f t="shared" si="0"/>
        <v>0.18850000000000003</v>
      </c>
    </row>
    <row r="9" spans="1:21" x14ac:dyDescent="0.35">
      <c r="A9" s="146">
        <f>Master!M8</f>
        <v>5.8823529411764712E-2</v>
      </c>
      <c r="C9" s="124"/>
      <c r="D9" s="134"/>
      <c r="E9" s="134" t="s">
        <v>154</v>
      </c>
      <c r="F9" s="134" t="s">
        <v>165</v>
      </c>
      <c r="G9" s="134" t="s">
        <v>149</v>
      </c>
      <c r="H9" s="134" t="s">
        <v>172</v>
      </c>
      <c r="I9" s="126" t="s">
        <v>173</v>
      </c>
      <c r="K9" t="s">
        <v>184</v>
      </c>
      <c r="L9" s="93">
        <f>L8*A12</f>
        <v>2.8333333333333335</v>
      </c>
      <c r="M9" s="93">
        <f>M8*A12</f>
        <v>4.25</v>
      </c>
      <c r="N9" s="93">
        <f>N8*A12</f>
        <v>5.666666666666667</v>
      </c>
      <c r="R9" s="100">
        <v>0.375</v>
      </c>
      <c r="S9" s="50">
        <v>31.08</v>
      </c>
      <c r="T9" s="95">
        <f>9*Master!F22 + Master!F19 + Master!F25</f>
        <v>0.41200000000000009</v>
      </c>
      <c r="U9" s="95">
        <f t="shared" si="0"/>
        <v>0.20600000000000004</v>
      </c>
    </row>
    <row r="10" spans="1:21" x14ac:dyDescent="0.35">
      <c r="A10" s="144"/>
      <c r="C10" s="135">
        <f>A12</f>
        <v>1.4166666666666667</v>
      </c>
      <c r="D10">
        <v>1</v>
      </c>
      <c r="E10" t="s">
        <v>155</v>
      </c>
      <c r="F10" s="122">
        <f>D10*(F6+G6)</f>
        <v>8.6999999999999994E-2</v>
      </c>
      <c r="G10" s="123">
        <f>D10*(F7+G7)</f>
        <v>6.5250000000000002E-2</v>
      </c>
      <c r="H10" s="95">
        <f>F10-G10</f>
        <v>2.1749999999999992E-2</v>
      </c>
      <c r="I10" s="128">
        <f>C10*D10*2</f>
        <v>2.8333333333333335</v>
      </c>
      <c r="K10" t="s">
        <v>185</v>
      </c>
      <c r="L10" s="149">
        <f>L7/L9</f>
        <v>2.2941176470588232E-3</v>
      </c>
      <c r="M10" s="149">
        <f>M7/M9</f>
        <v>3.0588235294117644E-3</v>
      </c>
      <c r="N10" s="149">
        <f>N7/N9</f>
        <v>3.4411764705882353E-3</v>
      </c>
      <c r="R10" s="50">
        <v>0.5</v>
      </c>
      <c r="S10" s="50">
        <v>34.130000000000003</v>
      </c>
      <c r="T10" s="95">
        <f>10*Master!F22 + Master!F19 + Master!F25</f>
        <v>0.44700000000000006</v>
      </c>
      <c r="U10" s="95">
        <f t="shared" si="0"/>
        <v>0.22350000000000003</v>
      </c>
    </row>
    <row r="11" spans="1:21" x14ac:dyDescent="0.35">
      <c r="A11" s="144" t="s">
        <v>27</v>
      </c>
      <c r="C11" s="135">
        <f>A12</f>
        <v>1.4166666666666667</v>
      </c>
      <c r="D11">
        <v>2</v>
      </c>
      <c r="E11" t="s">
        <v>156</v>
      </c>
      <c r="F11" s="122">
        <f>D11*(F6+G6)</f>
        <v>0.17399999999999999</v>
      </c>
      <c r="G11" s="123">
        <f>D11*(F7+G7)</f>
        <v>0.1305</v>
      </c>
      <c r="H11" s="136">
        <f>F11-G11</f>
        <v>4.3499999999999983E-2</v>
      </c>
      <c r="I11" s="128">
        <f>C11*D11*2</f>
        <v>5.666666666666667</v>
      </c>
      <c r="K11" t="s">
        <v>186</v>
      </c>
      <c r="L11" s="347">
        <f>24*A12</f>
        <v>34</v>
      </c>
      <c r="M11" s="347"/>
      <c r="N11" s="347"/>
      <c r="O11" t="s">
        <v>187</v>
      </c>
    </row>
    <row r="12" spans="1:21" ht="15" thickBot="1" x14ac:dyDescent="0.4">
      <c r="A12" s="147">
        <f>Master!M9</f>
        <v>1.4166666666666667</v>
      </c>
      <c r="C12" s="135">
        <f>A12</f>
        <v>1.4166666666666667</v>
      </c>
      <c r="D12">
        <v>3</v>
      </c>
      <c r="E12" t="s">
        <v>157</v>
      </c>
      <c r="F12" s="122">
        <f>D12*(F6+G6)</f>
        <v>0.26100000000000001</v>
      </c>
      <c r="G12" s="123">
        <f>D12*(F7+G7)</f>
        <v>0.19575000000000001</v>
      </c>
      <c r="H12" s="95">
        <f t="shared" ref="H12:H24" si="1">F12-G12</f>
        <v>6.5250000000000002E-2</v>
      </c>
      <c r="I12" s="128">
        <f t="shared" ref="I12:I25" si="2">C12*D12*2</f>
        <v>8.5</v>
      </c>
      <c r="L12" s="148">
        <f>L10*L11</f>
        <v>7.7999999999999986E-2</v>
      </c>
      <c r="M12" s="148">
        <f>M10*L11</f>
        <v>0.104</v>
      </c>
      <c r="N12" s="148">
        <f>N10*L11</f>
        <v>0.11699999999999999</v>
      </c>
      <c r="O12" t="str">
        <f xml:space="preserve"> "per " &amp; L11 &amp; " sec"</f>
        <v>per 34 sec</v>
      </c>
    </row>
    <row r="13" spans="1:21" x14ac:dyDescent="0.35">
      <c r="A13" s="142"/>
      <c r="C13" s="135">
        <f>A12</f>
        <v>1.4166666666666667</v>
      </c>
      <c r="D13">
        <v>4</v>
      </c>
      <c r="E13" t="s">
        <v>158</v>
      </c>
      <c r="F13" s="122">
        <f>D13*(F6+G6)</f>
        <v>0.34799999999999998</v>
      </c>
      <c r="G13" s="123">
        <f>D13*(F7+G7)</f>
        <v>0.26100000000000001</v>
      </c>
      <c r="H13" s="136">
        <f t="shared" si="1"/>
        <v>8.6999999999999966E-2</v>
      </c>
      <c r="I13" s="128">
        <f t="shared" si="2"/>
        <v>11.333333333333334</v>
      </c>
      <c r="K13" t="s">
        <v>188</v>
      </c>
      <c r="L13" s="148">
        <f>(L11*A6) + L12</f>
        <v>0.35</v>
      </c>
      <c r="M13" s="148">
        <f>A6*L11 + M12</f>
        <v>0.376</v>
      </c>
      <c r="N13" s="148">
        <f>A6*L11 + N12</f>
        <v>0.38900000000000001</v>
      </c>
    </row>
    <row r="14" spans="1:21" x14ac:dyDescent="0.35">
      <c r="A14" s="142"/>
      <c r="C14" s="135">
        <f>A12</f>
        <v>1.4166666666666667</v>
      </c>
      <c r="D14">
        <v>5</v>
      </c>
      <c r="E14" t="s">
        <v>159</v>
      </c>
      <c r="F14" s="122">
        <f>D14*(F6+G6)</f>
        <v>0.43499999999999994</v>
      </c>
      <c r="G14" s="123">
        <f>D14*(F7+G7)</f>
        <v>0.32625000000000004</v>
      </c>
      <c r="H14" s="95">
        <f t="shared" si="1"/>
        <v>0.1087499999999999</v>
      </c>
      <c r="I14" s="128">
        <f t="shared" si="2"/>
        <v>14.166666666666668</v>
      </c>
      <c r="K14" s="122">
        <f>A6*L11</f>
        <v>0.27200000000000002</v>
      </c>
    </row>
    <row r="15" spans="1:21" x14ac:dyDescent="0.35">
      <c r="A15" s="142"/>
      <c r="C15" s="135">
        <f>A12</f>
        <v>1.4166666666666667</v>
      </c>
      <c r="D15">
        <v>6</v>
      </c>
      <c r="E15" t="s">
        <v>160</v>
      </c>
      <c r="F15" s="122">
        <f>D15*(F6+G6)</f>
        <v>0.52200000000000002</v>
      </c>
      <c r="G15" s="123">
        <f>D15*(F7+G7)</f>
        <v>0.39150000000000001</v>
      </c>
      <c r="H15" s="95">
        <f t="shared" si="1"/>
        <v>0.1305</v>
      </c>
      <c r="I15" s="128">
        <f t="shared" si="2"/>
        <v>17</v>
      </c>
    </row>
    <row r="16" spans="1:21" x14ac:dyDescent="0.35">
      <c r="A16" s="142"/>
      <c r="C16" s="135">
        <f>A12</f>
        <v>1.4166666666666667</v>
      </c>
      <c r="D16">
        <v>7</v>
      </c>
      <c r="E16" t="s">
        <v>161</v>
      </c>
      <c r="F16" s="122">
        <f>D16*(F6+G6)</f>
        <v>0.60899999999999999</v>
      </c>
      <c r="G16" s="123">
        <f>D16*(F7+G7)</f>
        <v>0.45674999999999999</v>
      </c>
      <c r="H16" s="95">
        <f t="shared" si="1"/>
        <v>0.15225</v>
      </c>
      <c r="I16" s="128">
        <f t="shared" si="2"/>
        <v>19.833333333333336</v>
      </c>
      <c r="K16" t="s">
        <v>195</v>
      </c>
      <c r="L16" s="347">
        <f>30/A12</f>
        <v>21.176470588235293</v>
      </c>
      <c r="M16" s="347"/>
      <c r="N16" s="347"/>
      <c r="O16" t="s">
        <v>183</v>
      </c>
    </row>
    <row r="17" spans="1:14" x14ac:dyDescent="0.35">
      <c r="A17" s="142"/>
      <c r="C17" s="135">
        <f>A12</f>
        <v>1.4166666666666667</v>
      </c>
      <c r="D17">
        <v>8</v>
      </c>
      <c r="E17" t="s">
        <v>162</v>
      </c>
      <c r="F17" s="122">
        <f>D17*(F6+G6)</f>
        <v>0.69599999999999995</v>
      </c>
      <c r="G17" s="123">
        <f>D17*(F7+G7)</f>
        <v>0.52200000000000002</v>
      </c>
      <c r="H17" s="95">
        <f t="shared" si="1"/>
        <v>0.17399999999999993</v>
      </c>
      <c r="I17" s="128">
        <f t="shared" si="2"/>
        <v>22.666666666666668</v>
      </c>
      <c r="K17" t="s">
        <v>196</v>
      </c>
      <c r="L17" s="123">
        <f>L16/L8*L7</f>
        <v>6.88235294117647E-2</v>
      </c>
      <c r="M17" s="123">
        <f>L16/M8*M7</f>
        <v>9.1764705882352929E-2</v>
      </c>
      <c r="N17" s="123">
        <f>L16/N8*N7</f>
        <v>0.10323529411764705</v>
      </c>
    </row>
    <row r="18" spans="1:14" x14ac:dyDescent="0.35">
      <c r="A18" s="142"/>
      <c r="C18" s="135">
        <f>A12</f>
        <v>1.4166666666666667</v>
      </c>
      <c r="D18">
        <v>9</v>
      </c>
      <c r="E18" t="s">
        <v>163</v>
      </c>
      <c r="F18" s="122">
        <f>D18*(F6+G6)</f>
        <v>0.78299999999999992</v>
      </c>
      <c r="G18" s="123">
        <f>D18*(F7+G7)</f>
        <v>0.58725000000000005</v>
      </c>
      <c r="H18" s="95">
        <f t="shared" si="1"/>
        <v>0.19574999999999987</v>
      </c>
      <c r="I18" s="128">
        <f t="shared" si="2"/>
        <v>25.5</v>
      </c>
    </row>
    <row r="19" spans="1:14" x14ac:dyDescent="0.35">
      <c r="A19" s="142"/>
      <c r="C19" s="135">
        <f>A12</f>
        <v>1.4166666666666667</v>
      </c>
      <c r="D19">
        <v>10</v>
      </c>
      <c r="E19" t="s">
        <v>164</v>
      </c>
      <c r="F19" s="122">
        <f>D19*(F6+G6)</f>
        <v>0.86999999999999988</v>
      </c>
      <c r="G19" s="123">
        <f>D19*(F7+G7)</f>
        <v>0.65250000000000008</v>
      </c>
      <c r="H19" s="95">
        <f t="shared" si="1"/>
        <v>0.2174999999999998</v>
      </c>
      <c r="I19" s="128">
        <f t="shared" si="2"/>
        <v>28.333333333333336</v>
      </c>
      <c r="J19" s="381" t="s">
        <v>196</v>
      </c>
    </row>
    <row r="20" spans="1:14" x14ac:dyDescent="0.35">
      <c r="A20" s="142"/>
      <c r="C20" s="135">
        <f>A12</f>
        <v>1.4166666666666667</v>
      </c>
      <c r="D20">
        <v>11</v>
      </c>
      <c r="E20" t="s">
        <v>166</v>
      </c>
      <c r="F20" s="122">
        <f>D20*(F6+G6)</f>
        <v>0.95699999999999996</v>
      </c>
      <c r="G20" s="123">
        <f>D20*(F7+G7)</f>
        <v>0.71775</v>
      </c>
      <c r="H20" s="95">
        <f t="shared" si="1"/>
        <v>0.23924999999999996</v>
      </c>
      <c r="I20" s="128">
        <f t="shared" si="2"/>
        <v>31.166666666666668</v>
      </c>
      <c r="J20" s="381"/>
    </row>
    <row r="21" spans="1:14" x14ac:dyDescent="0.35">
      <c r="A21" s="142"/>
      <c r="C21" s="135">
        <f>A12</f>
        <v>1.4166666666666667</v>
      </c>
      <c r="D21">
        <v>12</v>
      </c>
      <c r="E21" t="s">
        <v>167</v>
      </c>
      <c r="F21" s="122">
        <f>D21*(F6+G6)</f>
        <v>1.044</v>
      </c>
      <c r="G21" s="123">
        <f>D21*(F7+G7)</f>
        <v>0.78300000000000003</v>
      </c>
      <c r="H21" s="95">
        <f t="shared" si="1"/>
        <v>0.26100000000000001</v>
      </c>
      <c r="I21" s="151">
        <f t="shared" si="2"/>
        <v>34</v>
      </c>
      <c r="J21" s="381"/>
    </row>
    <row r="22" spans="1:14" x14ac:dyDescent="0.35">
      <c r="A22" s="143"/>
      <c r="C22" s="135">
        <f>A12</f>
        <v>1.4166666666666667</v>
      </c>
      <c r="D22">
        <v>13</v>
      </c>
      <c r="E22" t="s">
        <v>168</v>
      </c>
      <c r="F22" s="122">
        <f>D22*(F6+G6)</f>
        <v>1.131</v>
      </c>
      <c r="G22" s="123">
        <f>D22*(F7+G7)</f>
        <v>0.84825000000000006</v>
      </c>
      <c r="H22" s="95">
        <f t="shared" si="1"/>
        <v>0.28274999999999995</v>
      </c>
      <c r="I22" s="128">
        <f t="shared" si="2"/>
        <v>36.833333333333336</v>
      </c>
      <c r="J22" s="381"/>
    </row>
    <row r="23" spans="1:14" x14ac:dyDescent="0.35">
      <c r="C23" s="135">
        <f>A12</f>
        <v>1.4166666666666667</v>
      </c>
      <c r="D23">
        <v>14</v>
      </c>
      <c r="E23" t="s">
        <v>169</v>
      </c>
      <c r="F23" s="122">
        <f>D23*(F6+G6)</f>
        <v>1.218</v>
      </c>
      <c r="G23" s="123">
        <f>D23*(F7+G7)</f>
        <v>0.91349999999999998</v>
      </c>
      <c r="H23" s="95">
        <f t="shared" si="1"/>
        <v>0.30449999999999999</v>
      </c>
      <c r="I23" s="128">
        <f t="shared" si="2"/>
        <v>39.666666666666671</v>
      </c>
    </row>
    <row r="24" spans="1:14" x14ac:dyDescent="0.35">
      <c r="C24" s="135">
        <f>A12</f>
        <v>1.4166666666666667</v>
      </c>
      <c r="D24">
        <v>15</v>
      </c>
      <c r="E24" t="s">
        <v>170</v>
      </c>
      <c r="F24" s="122">
        <f>D24*(F6+G6)</f>
        <v>1.3049999999999999</v>
      </c>
      <c r="G24" s="123">
        <f>D24*(F7+G7)</f>
        <v>0.97875000000000001</v>
      </c>
      <c r="H24" s="95">
        <f t="shared" si="1"/>
        <v>0.32624999999999993</v>
      </c>
      <c r="I24" s="128">
        <f t="shared" si="2"/>
        <v>42.5</v>
      </c>
    </row>
    <row r="25" spans="1:14" x14ac:dyDescent="0.35">
      <c r="C25" s="137">
        <f>A12</f>
        <v>1.4166666666666667</v>
      </c>
      <c r="D25" s="138">
        <v>16</v>
      </c>
      <c r="E25" s="138" t="s">
        <v>171</v>
      </c>
      <c r="F25" s="139">
        <f>D25*(F6+G6)</f>
        <v>1.3919999999999999</v>
      </c>
      <c r="G25" s="132">
        <f>D25*(F7+G7)</f>
        <v>1.044</v>
      </c>
      <c r="H25" s="140">
        <f>F25-G25</f>
        <v>0.34799999999999986</v>
      </c>
      <c r="I25" s="141">
        <f t="shared" si="2"/>
        <v>45.333333333333336</v>
      </c>
    </row>
  </sheetData>
  <mergeCells count="7">
    <mergeCell ref="R3:U3"/>
    <mergeCell ref="R4:U4"/>
    <mergeCell ref="L16:N16"/>
    <mergeCell ref="J19:J22"/>
    <mergeCell ref="L3:N3"/>
    <mergeCell ref="L4:N4"/>
    <mergeCell ref="L11:N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BA0A-19C3-4C79-B0E3-BCE1E5D0463E}">
  <dimension ref="A1:K37"/>
  <sheetViews>
    <sheetView zoomScale="145" zoomScaleNormal="145" workbookViewId="0">
      <selection activeCell="F38" sqref="F38"/>
    </sheetView>
  </sheetViews>
  <sheetFormatPr defaultRowHeight="14.5" x14ac:dyDescent="0.35"/>
  <cols>
    <col min="1" max="1" width="15" customWidth="1"/>
    <col min="2" max="2" width="5" customWidth="1"/>
    <col min="3" max="3" width="14.36328125" customWidth="1"/>
    <col min="4" max="4" width="13.6328125" customWidth="1"/>
    <col min="5" max="5" width="3.54296875" customWidth="1"/>
    <col min="6" max="6" width="24" customWidth="1"/>
    <col min="7" max="7" width="3.08984375" customWidth="1"/>
    <col min="8" max="8" width="4" customWidth="1"/>
    <col min="9" max="9" width="14.08984375" customWidth="1"/>
  </cols>
  <sheetData>
    <row r="1" spans="1:11" x14ac:dyDescent="0.35">
      <c r="A1" t="s">
        <v>132</v>
      </c>
    </row>
    <row r="2" spans="1:11" x14ac:dyDescent="0.35">
      <c r="A2" t="s">
        <v>198</v>
      </c>
      <c r="C2" s="93" t="s">
        <v>199</v>
      </c>
      <c r="D2" s="93" t="s">
        <v>150</v>
      </c>
      <c r="F2" t="s">
        <v>204</v>
      </c>
      <c r="I2" t="s">
        <v>219</v>
      </c>
      <c r="J2" t="s">
        <v>226</v>
      </c>
    </row>
    <row r="3" spans="1:11" x14ac:dyDescent="0.35">
      <c r="C3" s="93" t="s">
        <v>200</v>
      </c>
      <c r="D3" s="152">
        <f>Master!C20</f>
        <v>2.3759999999999999</v>
      </c>
      <c r="F3" t="s">
        <v>205</v>
      </c>
      <c r="I3" t="s">
        <v>220</v>
      </c>
      <c r="J3" s="95">
        <f>14.2015%*3</f>
        <v>0.42604500000000001</v>
      </c>
      <c r="K3" t="s">
        <v>224</v>
      </c>
    </row>
    <row r="4" spans="1:11" x14ac:dyDescent="0.35">
      <c r="A4" t="s">
        <v>26</v>
      </c>
      <c r="C4" s="93" t="s">
        <v>201</v>
      </c>
      <c r="D4" s="93" t="s">
        <v>202</v>
      </c>
      <c r="F4" t="s">
        <v>206</v>
      </c>
      <c r="I4" t="s">
        <v>221</v>
      </c>
      <c r="J4" s="95">
        <f>30%*4</f>
        <v>1.2</v>
      </c>
      <c r="K4" t="s">
        <v>223</v>
      </c>
    </row>
    <row r="5" spans="1:11" x14ac:dyDescent="0.35">
      <c r="A5" s="148">
        <v>0.1</v>
      </c>
      <c r="F5" t="s">
        <v>207</v>
      </c>
      <c r="I5" t="s">
        <v>222</v>
      </c>
    </row>
    <row r="6" spans="1:11" x14ac:dyDescent="0.35">
      <c r="A6" s="148">
        <f>Master!M8</f>
        <v>5.8823529411764712E-2</v>
      </c>
      <c r="C6" s="148">
        <f>D3/6</f>
        <v>0.39599999999999996</v>
      </c>
      <c r="J6" s="95">
        <f>14.2015%*4</f>
        <v>0.56806000000000001</v>
      </c>
      <c r="K6" t="s">
        <v>223</v>
      </c>
    </row>
    <row r="7" spans="1:11" x14ac:dyDescent="0.35">
      <c r="A7" t="s">
        <v>211</v>
      </c>
      <c r="C7" s="93" t="s">
        <v>203</v>
      </c>
      <c r="F7" t="s">
        <v>208</v>
      </c>
      <c r="J7" s="95">
        <f>30%*3</f>
        <v>0.89999999999999991</v>
      </c>
      <c r="K7" t="s">
        <v>224</v>
      </c>
    </row>
    <row r="8" spans="1:11" x14ac:dyDescent="0.35">
      <c r="F8" t="s">
        <v>209</v>
      </c>
    </row>
    <row r="9" spans="1:11" x14ac:dyDescent="0.35">
      <c r="C9" s="347" t="s">
        <v>210</v>
      </c>
      <c r="D9" s="347"/>
    </row>
    <row r="11" spans="1:11" x14ac:dyDescent="0.35">
      <c r="D11" s="152">
        <f>(D3/6) * (6 / (1/(1+A5)))</f>
        <v>2.6135999999999999</v>
      </c>
    </row>
    <row r="12" spans="1:11" x14ac:dyDescent="0.35">
      <c r="D12" s="93" t="s">
        <v>202</v>
      </c>
    </row>
    <row r="13" spans="1:11" x14ac:dyDescent="0.35">
      <c r="C13" s="148">
        <f>D11/6</f>
        <v>0.43559999999999999</v>
      </c>
      <c r="I13" t="s">
        <v>225</v>
      </c>
      <c r="J13" t="s">
        <v>227</v>
      </c>
    </row>
    <row r="14" spans="1:11" x14ac:dyDescent="0.35">
      <c r="C14" s="93" t="s">
        <v>203</v>
      </c>
      <c r="I14" t="s">
        <v>229</v>
      </c>
    </row>
    <row r="15" spans="1:11" x14ac:dyDescent="0.35">
      <c r="I15" t="s">
        <v>228</v>
      </c>
    </row>
    <row r="19" spans="2:6" x14ac:dyDescent="0.35">
      <c r="C19" s="93" t="s">
        <v>212</v>
      </c>
      <c r="D19" s="93" t="s">
        <v>213</v>
      </c>
    </row>
    <row r="20" spans="2:6" x14ac:dyDescent="0.35">
      <c r="C20" s="153">
        <f>Master!J18 * 7</f>
        <v>2.9647058823529413</v>
      </c>
      <c r="D20" s="153">
        <f>Master!J18 * 6</f>
        <v>2.5411764705882356</v>
      </c>
    </row>
    <row r="21" spans="2:6" x14ac:dyDescent="0.35">
      <c r="B21" s="157" t="s">
        <v>218</v>
      </c>
      <c r="C21" s="154">
        <f>C20*1.4</f>
        <v>4.1505882352941175</v>
      </c>
      <c r="D21" s="154">
        <f>D20*1.3</f>
        <v>3.3035294117647065</v>
      </c>
    </row>
    <row r="22" spans="2:6" x14ac:dyDescent="0.35">
      <c r="B22" s="157"/>
      <c r="C22" s="155">
        <f>C21-D21</f>
        <v>0.84705882352941098</v>
      </c>
      <c r="D22" s="156" t="s">
        <v>263</v>
      </c>
    </row>
    <row r="23" spans="2:6" x14ac:dyDescent="0.35">
      <c r="B23" s="157"/>
    </row>
    <row r="24" spans="2:6" x14ac:dyDescent="0.35">
      <c r="B24" s="157"/>
    </row>
    <row r="25" spans="2:6" x14ac:dyDescent="0.35">
      <c r="B25" s="157"/>
      <c r="C25" s="93" t="s">
        <v>214</v>
      </c>
      <c r="D25" s="93" t="s">
        <v>215</v>
      </c>
    </row>
    <row r="26" spans="2:6" x14ac:dyDescent="0.35">
      <c r="B26" s="157"/>
      <c r="C26" s="154">
        <f>16%*7</f>
        <v>1.1200000000000001</v>
      </c>
      <c r="D26" s="154">
        <f>16%*6</f>
        <v>0.96</v>
      </c>
    </row>
    <row r="27" spans="2:6" x14ac:dyDescent="0.35">
      <c r="B27" s="157" t="s">
        <v>218</v>
      </c>
      <c r="C27" s="154">
        <f>C26*1.4</f>
        <v>1.5680000000000001</v>
      </c>
      <c r="D27" s="154">
        <f>D26*1.3</f>
        <v>1.248</v>
      </c>
    </row>
    <row r="28" spans="2:6" x14ac:dyDescent="0.35">
      <c r="B28" s="157"/>
      <c r="C28" s="50">
        <f>C27-D27</f>
        <v>0.32000000000000006</v>
      </c>
      <c r="D28" t="s">
        <v>263</v>
      </c>
      <c r="F28" t="s">
        <v>264</v>
      </c>
    </row>
    <row r="29" spans="2:6" x14ac:dyDescent="0.35">
      <c r="B29" s="157"/>
    </row>
    <row r="30" spans="2:6" x14ac:dyDescent="0.35">
      <c r="B30" s="157"/>
      <c r="C30" s="93" t="s">
        <v>216</v>
      </c>
      <c r="D30" s="93" t="s">
        <v>217</v>
      </c>
    </row>
    <row r="31" spans="2:6" x14ac:dyDescent="0.35">
      <c r="B31" s="157"/>
      <c r="C31" s="152">
        <f>Master!J19 * 7</f>
        <v>0.5635</v>
      </c>
      <c r="D31" s="152">
        <f>Master!J19 * 6</f>
        <v>0.48299999999999998</v>
      </c>
    </row>
    <row r="32" spans="2:6" x14ac:dyDescent="0.35">
      <c r="B32" s="157" t="s">
        <v>218</v>
      </c>
      <c r="C32" s="152">
        <f>C31*1.4</f>
        <v>0.78889999999999993</v>
      </c>
      <c r="D32" s="152">
        <f>D31*1.3</f>
        <v>0.62790000000000001</v>
      </c>
    </row>
    <row r="33" spans="3:6" x14ac:dyDescent="0.35">
      <c r="C33" s="136">
        <f>C32-D32</f>
        <v>0.16099999999999992</v>
      </c>
      <c r="D33" t="s">
        <v>263</v>
      </c>
      <c r="F33" t="s">
        <v>265</v>
      </c>
    </row>
    <row r="35" spans="3:6" x14ac:dyDescent="0.35">
      <c r="F35" t="s">
        <v>266</v>
      </c>
    </row>
    <row r="36" spans="3:6" x14ac:dyDescent="0.35">
      <c r="F36" t="s">
        <v>267</v>
      </c>
    </row>
    <row r="37" spans="3:6" x14ac:dyDescent="0.35">
      <c r="F37" t="s">
        <v>268</v>
      </c>
    </row>
  </sheetData>
  <mergeCells count="1">
    <mergeCell ref="C9:D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25F2-3A46-4754-A364-7F5FDE9565EA}">
  <dimension ref="A1:Q40"/>
  <sheetViews>
    <sheetView zoomScaleNormal="100" workbookViewId="0">
      <selection activeCell="K33" sqref="K33:Q33"/>
    </sheetView>
  </sheetViews>
  <sheetFormatPr defaultRowHeight="14.5" x14ac:dyDescent="0.35"/>
  <cols>
    <col min="2" max="2" width="27.54296875" customWidth="1"/>
    <col min="3" max="3" width="5.6328125" customWidth="1"/>
    <col min="4" max="4" width="14.81640625" customWidth="1"/>
    <col min="5" max="5" width="6.08984375" customWidth="1"/>
    <col min="6" max="6" width="18.6328125" customWidth="1"/>
    <col min="9" max="9" width="6.453125" customWidth="1"/>
    <col min="10" max="10" width="15.36328125" customWidth="1"/>
    <col min="11" max="11" width="20.54296875" customWidth="1"/>
    <col min="12" max="12" width="5.26953125" customWidth="1"/>
    <col min="13" max="13" width="16.1796875" customWidth="1"/>
    <col min="14" max="14" width="3.81640625" customWidth="1"/>
    <col min="15" max="15" width="17.6328125" customWidth="1"/>
  </cols>
  <sheetData>
    <row r="1" spans="1:17" x14ac:dyDescent="0.35">
      <c r="B1" t="s">
        <v>74</v>
      </c>
      <c r="D1" t="s">
        <v>431</v>
      </c>
      <c r="F1" t="s">
        <v>432</v>
      </c>
      <c r="J1" t="s">
        <v>461</v>
      </c>
      <c r="K1" t="s">
        <v>74</v>
      </c>
      <c r="M1" t="s">
        <v>431</v>
      </c>
      <c r="O1" t="s">
        <v>432</v>
      </c>
    </row>
    <row r="2" spans="1:17" x14ac:dyDescent="0.35">
      <c r="A2" t="s">
        <v>434</v>
      </c>
      <c r="B2" t="s">
        <v>442</v>
      </c>
      <c r="D2" s="13" t="s">
        <v>441</v>
      </c>
      <c r="F2" s="304" t="s">
        <v>444</v>
      </c>
      <c r="G2" s="308" t="s">
        <v>471</v>
      </c>
      <c r="H2" s="308" t="s">
        <v>472</v>
      </c>
    </row>
    <row r="3" spans="1:17" x14ac:dyDescent="0.35">
      <c r="B3" t="s">
        <v>445</v>
      </c>
      <c r="D3" s="304" t="s">
        <v>446</v>
      </c>
      <c r="F3" s="13" t="s">
        <v>291</v>
      </c>
      <c r="G3" s="308" t="s">
        <v>471</v>
      </c>
      <c r="H3" s="306" t="s">
        <v>478</v>
      </c>
      <c r="J3" s="305" t="s">
        <v>467</v>
      </c>
    </row>
    <row r="4" spans="1:17" x14ac:dyDescent="0.35">
      <c r="B4" t="s">
        <v>447</v>
      </c>
      <c r="D4" s="304" t="s">
        <v>446</v>
      </c>
      <c r="F4" s="307" t="s">
        <v>291</v>
      </c>
      <c r="J4" t="s">
        <v>433</v>
      </c>
      <c r="K4" t="s">
        <v>442</v>
      </c>
      <c r="M4" s="13" t="s">
        <v>441</v>
      </c>
      <c r="O4" s="304" t="s">
        <v>444</v>
      </c>
      <c r="P4" s="308" t="s">
        <v>471</v>
      </c>
      <c r="Q4" s="308" t="s">
        <v>472</v>
      </c>
    </row>
    <row r="5" spans="1:17" x14ac:dyDescent="0.35">
      <c r="B5" t="s">
        <v>448</v>
      </c>
      <c r="D5" s="13" t="s">
        <v>441</v>
      </c>
      <c r="F5" s="304" t="s">
        <v>444</v>
      </c>
      <c r="J5" t="s">
        <v>462</v>
      </c>
      <c r="K5" t="s">
        <v>450</v>
      </c>
      <c r="M5" s="306" t="s">
        <v>443</v>
      </c>
      <c r="O5" s="306" t="s">
        <v>294</v>
      </c>
      <c r="P5" s="307" t="s">
        <v>459</v>
      </c>
      <c r="Q5" s="306" t="s">
        <v>470</v>
      </c>
    </row>
    <row r="6" spans="1:17" x14ac:dyDescent="0.35">
      <c r="B6" t="s">
        <v>449</v>
      </c>
      <c r="D6" s="13" t="s">
        <v>441</v>
      </c>
      <c r="F6" s="304" t="s">
        <v>444</v>
      </c>
      <c r="J6" t="s">
        <v>463</v>
      </c>
      <c r="K6" t="s">
        <v>455</v>
      </c>
      <c r="M6" s="13" t="s">
        <v>441</v>
      </c>
      <c r="O6" s="303" t="s">
        <v>454</v>
      </c>
      <c r="P6" s="307" t="s">
        <v>459</v>
      </c>
      <c r="Q6" s="326" t="s">
        <v>473</v>
      </c>
    </row>
    <row r="7" spans="1:17" x14ac:dyDescent="0.35">
      <c r="B7" s="309" t="s">
        <v>451</v>
      </c>
      <c r="D7" s="304" t="s">
        <v>446</v>
      </c>
      <c r="F7" s="13" t="s">
        <v>441</v>
      </c>
      <c r="G7" t="s">
        <v>514</v>
      </c>
      <c r="H7" t="s">
        <v>477</v>
      </c>
    </row>
    <row r="8" spans="1:17" x14ac:dyDescent="0.35">
      <c r="B8" s="313" t="s">
        <v>437</v>
      </c>
      <c r="C8" s="134"/>
      <c r="D8" s="314" t="s">
        <v>454</v>
      </c>
      <c r="E8" s="134"/>
      <c r="F8" s="311" t="s">
        <v>291</v>
      </c>
      <c r="G8" s="328" t="s">
        <v>468</v>
      </c>
      <c r="H8" s="329" t="s">
        <v>469</v>
      </c>
      <c r="J8" s="305" t="s">
        <v>466</v>
      </c>
    </row>
    <row r="9" spans="1:17" x14ac:dyDescent="0.35">
      <c r="B9" s="127" t="s">
        <v>445</v>
      </c>
      <c r="C9" s="248"/>
      <c r="D9" s="315" t="s">
        <v>454</v>
      </c>
      <c r="E9" s="248"/>
      <c r="F9" s="316" t="s">
        <v>441</v>
      </c>
      <c r="G9" s="317" t="s">
        <v>471</v>
      </c>
      <c r="H9" s="318" t="s">
        <v>478</v>
      </c>
      <c r="J9" t="s">
        <v>433</v>
      </c>
      <c r="K9" s="309" t="s">
        <v>437</v>
      </c>
      <c r="M9" s="302" t="s">
        <v>438</v>
      </c>
      <c r="O9" s="13" t="s">
        <v>291</v>
      </c>
      <c r="P9" t="s">
        <v>468</v>
      </c>
      <c r="Q9" t="s">
        <v>469</v>
      </c>
    </row>
    <row r="10" spans="1:17" x14ac:dyDescent="0.35">
      <c r="B10" s="319" t="s">
        <v>457</v>
      </c>
      <c r="C10" s="248"/>
      <c r="D10" s="316" t="s">
        <v>441</v>
      </c>
      <c r="E10" s="248"/>
      <c r="F10" s="315" t="s">
        <v>454</v>
      </c>
      <c r="G10" s="320" t="s">
        <v>459</v>
      </c>
      <c r="H10" s="321" t="s">
        <v>472</v>
      </c>
      <c r="J10" t="s">
        <v>462</v>
      </c>
      <c r="K10" t="s">
        <v>464</v>
      </c>
      <c r="M10" s="304" t="s">
        <v>440</v>
      </c>
      <c r="O10" s="13" t="s">
        <v>441</v>
      </c>
      <c r="P10" t="s">
        <v>468</v>
      </c>
      <c r="Q10" s="306" t="s">
        <v>470</v>
      </c>
    </row>
    <row r="11" spans="1:17" x14ac:dyDescent="0.35">
      <c r="B11" s="322" t="s">
        <v>437</v>
      </c>
      <c r="C11" s="138"/>
      <c r="D11" s="323" t="s">
        <v>438</v>
      </c>
      <c r="E11" s="138"/>
      <c r="F11" s="310" t="s">
        <v>291</v>
      </c>
      <c r="G11" s="138" t="s">
        <v>468</v>
      </c>
      <c r="H11" s="141" t="s">
        <v>469</v>
      </c>
      <c r="J11" t="s">
        <v>463</v>
      </c>
      <c r="K11" t="s">
        <v>465</v>
      </c>
      <c r="M11" s="303" t="s">
        <v>454</v>
      </c>
      <c r="O11" s="13" t="s">
        <v>291</v>
      </c>
      <c r="P11" s="308" t="s">
        <v>471</v>
      </c>
      <c r="Q11" s="306" t="s">
        <v>470</v>
      </c>
    </row>
    <row r="13" spans="1:17" x14ac:dyDescent="0.35">
      <c r="A13" t="s">
        <v>436</v>
      </c>
      <c r="B13" t="s">
        <v>464</v>
      </c>
      <c r="D13" s="304" t="s">
        <v>440</v>
      </c>
      <c r="F13" s="13" t="s">
        <v>441</v>
      </c>
      <c r="G13" t="s">
        <v>468</v>
      </c>
      <c r="H13" s="306" t="s">
        <v>470</v>
      </c>
      <c r="J13" s="305" t="s">
        <v>474</v>
      </c>
      <c r="K13" t="s">
        <v>476</v>
      </c>
    </row>
    <row r="14" spans="1:17" x14ac:dyDescent="0.35">
      <c r="A14" t="s">
        <v>479</v>
      </c>
      <c r="B14" s="131" t="s">
        <v>450</v>
      </c>
      <c r="C14" s="138"/>
      <c r="D14" s="310" t="s">
        <v>441</v>
      </c>
      <c r="E14" s="138"/>
      <c r="F14" s="312" t="s">
        <v>446</v>
      </c>
      <c r="G14" s="307" t="s">
        <v>459</v>
      </c>
      <c r="H14" s="306" t="s">
        <v>470</v>
      </c>
      <c r="J14" t="s">
        <v>433</v>
      </c>
      <c r="K14" t="s">
        <v>442</v>
      </c>
      <c r="M14" s="13" t="s">
        <v>441</v>
      </c>
      <c r="O14" s="304" t="s">
        <v>444</v>
      </c>
      <c r="P14" s="308" t="s">
        <v>471</v>
      </c>
      <c r="Q14" s="308" t="s">
        <v>472</v>
      </c>
    </row>
    <row r="15" spans="1:17" x14ac:dyDescent="0.35">
      <c r="B15" t="s">
        <v>460</v>
      </c>
      <c r="D15" s="13" t="s">
        <v>441</v>
      </c>
      <c r="F15" s="302" t="s">
        <v>443</v>
      </c>
      <c r="G15" t="s">
        <v>475</v>
      </c>
      <c r="H15" s="308" t="s">
        <v>472</v>
      </c>
      <c r="J15" t="s">
        <v>462</v>
      </c>
      <c r="K15" t="s">
        <v>460</v>
      </c>
      <c r="M15" s="13" t="s">
        <v>441</v>
      </c>
      <c r="O15" s="302" t="s">
        <v>443</v>
      </c>
      <c r="P15" t="s">
        <v>475</v>
      </c>
      <c r="Q15" s="308" t="s">
        <v>472</v>
      </c>
    </row>
    <row r="16" spans="1:17" x14ac:dyDescent="0.35">
      <c r="J16" t="s">
        <v>463</v>
      </c>
      <c r="K16" t="s">
        <v>455</v>
      </c>
      <c r="M16" s="13" t="s">
        <v>441</v>
      </c>
      <c r="O16" s="303" t="s">
        <v>454</v>
      </c>
      <c r="P16" s="307" t="s">
        <v>459</v>
      </c>
      <c r="Q16" s="326" t="s">
        <v>473</v>
      </c>
    </row>
    <row r="18" spans="1:17" x14ac:dyDescent="0.35">
      <c r="A18" t="s">
        <v>435</v>
      </c>
      <c r="B18" t="s">
        <v>452</v>
      </c>
      <c r="D18" s="13" t="s">
        <v>441</v>
      </c>
      <c r="F18" s="304" t="s">
        <v>446</v>
      </c>
      <c r="G18" s="307" t="s">
        <v>453</v>
      </c>
      <c r="J18" s="305" t="s">
        <v>481</v>
      </c>
    </row>
    <row r="19" spans="1:17" x14ac:dyDescent="0.35">
      <c r="B19" s="124" t="s">
        <v>455</v>
      </c>
      <c r="C19" s="134"/>
      <c r="D19" s="311" t="s">
        <v>441</v>
      </c>
      <c r="E19" s="134"/>
      <c r="F19" s="314" t="s">
        <v>454</v>
      </c>
      <c r="G19" s="327" t="s">
        <v>456</v>
      </c>
      <c r="H19" s="126"/>
      <c r="J19" t="s">
        <v>433</v>
      </c>
      <c r="K19" s="309" t="s">
        <v>437</v>
      </c>
      <c r="M19" s="302" t="s">
        <v>438</v>
      </c>
      <c r="O19" s="13" t="s">
        <v>291</v>
      </c>
      <c r="P19" t="s">
        <v>468</v>
      </c>
      <c r="Q19" t="s">
        <v>469</v>
      </c>
    </row>
    <row r="20" spans="1:17" x14ac:dyDescent="0.35">
      <c r="B20" t="s">
        <v>465</v>
      </c>
      <c r="D20" s="303" t="s">
        <v>454</v>
      </c>
      <c r="F20" s="13" t="s">
        <v>291</v>
      </c>
      <c r="G20" s="308" t="s">
        <v>471</v>
      </c>
      <c r="H20" s="306" t="s">
        <v>470</v>
      </c>
      <c r="J20" t="s">
        <v>462</v>
      </c>
      <c r="K20" t="s">
        <v>450</v>
      </c>
      <c r="M20" s="13" t="s">
        <v>441</v>
      </c>
      <c r="O20" s="304" t="s">
        <v>446</v>
      </c>
      <c r="P20" s="307" t="s">
        <v>459</v>
      </c>
      <c r="Q20" s="306" t="s">
        <v>470</v>
      </c>
    </row>
    <row r="21" spans="1:17" x14ac:dyDescent="0.35">
      <c r="B21" s="319" t="s">
        <v>458</v>
      </c>
      <c r="C21" s="248"/>
      <c r="D21" s="316" t="s">
        <v>441</v>
      </c>
      <c r="E21" s="248"/>
      <c r="F21" s="315" t="s">
        <v>454</v>
      </c>
      <c r="G21" s="320" t="s">
        <v>459</v>
      </c>
      <c r="H21" s="128"/>
      <c r="J21" t="s">
        <v>463</v>
      </c>
      <c r="K21" t="s">
        <v>455</v>
      </c>
      <c r="M21" s="13" t="s">
        <v>441</v>
      </c>
      <c r="O21" s="303" t="s">
        <v>454</v>
      </c>
      <c r="P21" s="326" t="s">
        <v>456</v>
      </c>
    </row>
    <row r="22" spans="1:17" x14ac:dyDescent="0.35">
      <c r="B22" s="131" t="s">
        <v>439</v>
      </c>
      <c r="C22" s="138"/>
      <c r="D22" s="323" t="s">
        <v>438</v>
      </c>
      <c r="E22" s="138"/>
      <c r="F22" s="310" t="s">
        <v>291</v>
      </c>
      <c r="G22" s="324" t="s">
        <v>471</v>
      </c>
      <c r="H22" s="325" t="s">
        <v>477</v>
      </c>
    </row>
    <row r="23" spans="1:17" x14ac:dyDescent="0.35">
      <c r="J23" s="305" t="s">
        <v>480</v>
      </c>
    </row>
    <row r="24" spans="1:17" x14ac:dyDescent="0.35">
      <c r="J24" t="s">
        <v>433</v>
      </c>
      <c r="K24" s="330" t="s">
        <v>457</v>
      </c>
      <c r="L24" s="248"/>
      <c r="M24" s="316" t="s">
        <v>441</v>
      </c>
      <c r="N24" s="248"/>
      <c r="O24" s="315" t="s">
        <v>454</v>
      </c>
      <c r="P24" s="320" t="s">
        <v>459</v>
      </c>
      <c r="Q24" s="317" t="s">
        <v>472</v>
      </c>
    </row>
    <row r="25" spans="1:17" x14ac:dyDescent="0.35">
      <c r="J25" t="s">
        <v>462</v>
      </c>
      <c r="K25" t="s">
        <v>450</v>
      </c>
      <c r="M25" s="13" t="s">
        <v>441</v>
      </c>
      <c r="O25" s="304" t="s">
        <v>446</v>
      </c>
      <c r="P25" s="307" t="s">
        <v>459</v>
      </c>
      <c r="Q25" s="306" t="s">
        <v>470</v>
      </c>
    </row>
    <row r="26" spans="1:17" x14ac:dyDescent="0.35">
      <c r="J26" t="s">
        <v>463</v>
      </c>
      <c r="K26" t="s">
        <v>439</v>
      </c>
      <c r="M26" s="302" t="s">
        <v>438</v>
      </c>
      <c r="O26" s="13" t="s">
        <v>291</v>
      </c>
      <c r="P26" s="308" t="s">
        <v>471</v>
      </c>
      <c r="Q26" s="306" t="s">
        <v>477</v>
      </c>
    </row>
    <row r="28" spans="1:17" x14ac:dyDescent="0.35">
      <c r="J28" s="305" t="s">
        <v>482</v>
      </c>
    </row>
    <row r="29" spans="1:17" x14ac:dyDescent="0.35">
      <c r="J29" t="s">
        <v>433</v>
      </c>
      <c r="K29" s="309" t="s">
        <v>437</v>
      </c>
      <c r="M29" s="302" t="s">
        <v>438</v>
      </c>
      <c r="O29" s="13" t="s">
        <v>291</v>
      </c>
      <c r="P29" t="s">
        <v>468</v>
      </c>
      <c r="Q29" t="s">
        <v>469</v>
      </c>
    </row>
    <row r="30" spans="1:17" x14ac:dyDescent="0.35">
      <c r="J30" t="s">
        <v>462</v>
      </c>
      <c r="K30" t="s">
        <v>464</v>
      </c>
      <c r="M30" s="304" t="s">
        <v>440</v>
      </c>
      <c r="O30" s="13" t="s">
        <v>441</v>
      </c>
      <c r="P30" t="s">
        <v>468</v>
      </c>
      <c r="Q30" s="306" t="s">
        <v>470</v>
      </c>
    </row>
    <row r="31" spans="1:17" x14ac:dyDescent="0.35">
      <c r="J31" t="s">
        <v>463</v>
      </c>
      <c r="K31" t="s">
        <v>455</v>
      </c>
      <c r="M31" s="13" t="s">
        <v>441</v>
      </c>
      <c r="O31" s="303" t="s">
        <v>454</v>
      </c>
      <c r="P31" s="307" t="s">
        <v>459</v>
      </c>
      <c r="Q31" s="326" t="s">
        <v>473</v>
      </c>
    </row>
    <row r="33" spans="10:17" x14ac:dyDescent="0.35">
      <c r="J33" t="s">
        <v>433</v>
      </c>
    </row>
    <row r="34" spans="10:17" x14ac:dyDescent="0.35">
      <c r="J34" t="s">
        <v>462</v>
      </c>
      <c r="K34" t="s">
        <v>460</v>
      </c>
      <c r="M34" s="13" t="s">
        <v>441</v>
      </c>
      <c r="O34" s="302" t="s">
        <v>443</v>
      </c>
      <c r="P34" t="s">
        <v>475</v>
      </c>
      <c r="Q34" s="308" t="s">
        <v>472</v>
      </c>
    </row>
    <row r="35" spans="10:17" x14ac:dyDescent="0.35">
      <c r="J35" t="s">
        <v>463</v>
      </c>
      <c r="K35" t="s">
        <v>465</v>
      </c>
      <c r="M35" s="303" t="s">
        <v>454</v>
      </c>
      <c r="O35" s="13" t="s">
        <v>291</v>
      </c>
      <c r="P35" s="308" t="s">
        <v>471</v>
      </c>
      <c r="Q35" s="306" t="s">
        <v>470</v>
      </c>
    </row>
    <row r="38" spans="10:17" x14ac:dyDescent="0.35">
      <c r="J38" t="s">
        <v>433</v>
      </c>
      <c r="K38" s="319" t="s">
        <v>457</v>
      </c>
      <c r="L38" s="248"/>
      <c r="M38" s="316" t="s">
        <v>441</v>
      </c>
      <c r="N38" s="248"/>
      <c r="O38" s="315" t="s">
        <v>454</v>
      </c>
      <c r="P38" s="320" t="s">
        <v>459</v>
      </c>
      <c r="Q38" s="321" t="s">
        <v>472</v>
      </c>
    </row>
    <row r="39" spans="10:17" x14ac:dyDescent="0.35">
      <c r="J39" t="s">
        <v>462</v>
      </c>
      <c r="K39" t="s">
        <v>460</v>
      </c>
      <c r="M39" s="13" t="s">
        <v>441</v>
      </c>
      <c r="O39" s="302" t="s">
        <v>443</v>
      </c>
      <c r="P39" t="s">
        <v>475</v>
      </c>
      <c r="Q39" s="308" t="s">
        <v>472</v>
      </c>
    </row>
    <row r="40" spans="10:17" x14ac:dyDescent="0.35">
      <c r="J40" t="s">
        <v>463</v>
      </c>
      <c r="K40" t="s">
        <v>452</v>
      </c>
      <c r="M40" s="13" t="s">
        <v>441</v>
      </c>
      <c r="O40" s="304" t="s">
        <v>446</v>
      </c>
      <c r="P40" s="307" t="s">
        <v>453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F6D6-D33A-4A6B-87F7-9C60D6126D0D}">
  <dimension ref="A1:U13"/>
  <sheetViews>
    <sheetView zoomScale="130" zoomScaleNormal="130" workbookViewId="0">
      <selection activeCell="K13" sqref="K13"/>
    </sheetView>
  </sheetViews>
  <sheetFormatPr defaultRowHeight="14.5" x14ac:dyDescent="0.35"/>
  <cols>
    <col min="1" max="1" width="11.453125" bestFit="1" customWidth="1"/>
    <col min="4" max="4" width="9.6328125" bestFit="1" customWidth="1"/>
    <col min="5" max="5" width="2" customWidth="1"/>
    <col min="6" max="6" width="9.6328125" customWidth="1"/>
    <col min="7" max="7" width="12.1796875" customWidth="1"/>
    <col min="10" max="10" width="10.453125" customWidth="1"/>
    <col min="11" max="11" width="9.6328125" bestFit="1" customWidth="1"/>
  </cols>
  <sheetData>
    <row r="1" spans="1:21" x14ac:dyDescent="0.35">
      <c r="A1" s="377" t="s">
        <v>269</v>
      </c>
      <c r="B1" s="377"/>
      <c r="C1" s="377"/>
    </row>
    <row r="2" spans="1:21" x14ac:dyDescent="0.35">
      <c r="A2" s="377" t="s">
        <v>301</v>
      </c>
      <c r="B2" s="377"/>
      <c r="C2" s="377"/>
    </row>
    <row r="4" spans="1:21" x14ac:dyDescent="0.35">
      <c r="A4" s="377" t="s">
        <v>270</v>
      </c>
      <c r="B4" s="377"/>
      <c r="C4" s="377"/>
      <c r="D4" t="s">
        <v>306</v>
      </c>
      <c r="F4" s="198">
        <f>Master!B6</f>
        <v>1400</v>
      </c>
      <c r="I4" s="383" t="s">
        <v>291</v>
      </c>
      <c r="J4" s="383"/>
      <c r="K4" s="383"/>
      <c r="R4" s="382" t="s">
        <v>271</v>
      </c>
      <c r="S4" s="382"/>
      <c r="T4" s="382"/>
      <c r="U4" s="93" t="s">
        <v>274</v>
      </c>
    </row>
    <row r="5" spans="1:21" x14ac:dyDescent="0.35">
      <c r="A5" s="93" t="s">
        <v>15</v>
      </c>
      <c r="B5" s="152">
        <f>Master!F21</f>
        <v>3.5000000000000003E-2</v>
      </c>
      <c r="C5" s="93" t="s">
        <v>134</v>
      </c>
      <c r="D5" s="93" t="s">
        <v>274</v>
      </c>
      <c r="E5" s="245"/>
      <c r="F5" s="245" t="s">
        <v>305</v>
      </c>
      <c r="G5" s="245" t="s">
        <v>307</v>
      </c>
      <c r="I5" s="347" t="s">
        <v>292</v>
      </c>
      <c r="J5" s="347"/>
      <c r="K5" s="347"/>
      <c r="R5" s="93" t="s">
        <v>150</v>
      </c>
      <c r="S5" s="152">
        <f>Master!F20</f>
        <v>5.1999999999999998E-2</v>
      </c>
      <c r="T5" s="93" t="s">
        <v>134</v>
      </c>
      <c r="U5" s="93"/>
    </row>
    <row r="6" spans="1:21" x14ac:dyDescent="0.35">
      <c r="A6" s="263">
        <f>954*1.4</f>
        <v>1335.6</v>
      </c>
      <c r="B6" s="93"/>
      <c r="C6" s="93"/>
      <c r="D6" s="93"/>
      <c r="E6" s="245"/>
      <c r="F6" s="245"/>
      <c r="I6" s="347" t="s">
        <v>293</v>
      </c>
      <c r="J6" s="347"/>
      <c r="K6" s="347"/>
      <c r="R6" s="93" t="s">
        <v>275</v>
      </c>
      <c r="S6" s="93" t="s">
        <v>276</v>
      </c>
      <c r="T6" s="93"/>
      <c r="U6" s="93"/>
    </row>
    <row r="7" spans="1:21" x14ac:dyDescent="0.35">
      <c r="A7" s="241">
        <f>A6+ (A6*B7)</f>
        <v>1335.6</v>
      </c>
      <c r="B7" s="93">
        <v>0</v>
      </c>
      <c r="C7" s="93" t="s">
        <v>272</v>
      </c>
      <c r="D7" s="240">
        <f>A7/(B5*100)</f>
        <v>381.59999999999991</v>
      </c>
      <c r="E7" s="240"/>
      <c r="F7" s="261">
        <f>95%*1.4*F4</f>
        <v>1861.9999999999998</v>
      </c>
      <c r="G7" s="95">
        <f>A7/F7</f>
        <v>0.71729323308270676</v>
      </c>
      <c r="J7" t="s">
        <v>297</v>
      </c>
      <c r="K7">
        <v>672</v>
      </c>
      <c r="R7" s="93">
        <f>766*1.4</f>
        <v>1072.3999999999999</v>
      </c>
      <c r="S7" s="93">
        <v>1</v>
      </c>
      <c r="T7" s="93" t="s">
        <v>273</v>
      </c>
      <c r="U7" s="93">
        <f>R7/(S5*100)</f>
        <v>206.2307692307692</v>
      </c>
    </row>
    <row r="8" spans="1:21" x14ac:dyDescent="0.35">
      <c r="A8" s="242">
        <f>A6+ (A6*B8)</f>
        <v>2671.2</v>
      </c>
      <c r="B8" s="243">
        <v>1</v>
      </c>
      <c r="C8" s="243" t="s">
        <v>272</v>
      </c>
      <c r="D8" s="244">
        <f>A8/(B5*100)</f>
        <v>763.19999999999982</v>
      </c>
      <c r="E8" s="244"/>
      <c r="F8" s="262">
        <f>Master!C21 * 1.4 * F4</f>
        <v>3429.9999999999995</v>
      </c>
      <c r="G8" s="95">
        <f t="shared" ref="G8:G11" si="0">A8/F8</f>
        <v>0.77877551020408164</v>
      </c>
      <c r="I8" t="s">
        <v>294</v>
      </c>
      <c r="J8">
        <f>Master!E9</f>
        <v>35</v>
      </c>
      <c r="K8" s="232">
        <f>K7/J8</f>
        <v>19.2</v>
      </c>
      <c r="R8" s="93">
        <f>R7*S8</f>
        <v>2144.7999999999997</v>
      </c>
      <c r="S8" s="93">
        <v>2</v>
      </c>
      <c r="T8" s="93" t="s">
        <v>273</v>
      </c>
      <c r="U8" s="93">
        <f>R8/(S5*100)</f>
        <v>412.4615384615384</v>
      </c>
    </row>
    <row r="9" spans="1:21" x14ac:dyDescent="0.35">
      <c r="A9" s="241">
        <f>A6+ (A6*B9)</f>
        <v>4006.7999999999997</v>
      </c>
      <c r="B9" s="243">
        <v>2</v>
      </c>
      <c r="C9" s="243" t="s">
        <v>272</v>
      </c>
      <c r="D9" s="244">
        <f>A9/(B5*100)</f>
        <v>1144.7999999999997</v>
      </c>
      <c r="E9" s="244"/>
      <c r="F9" s="262">
        <f>Master!C22 * 1.4 * F4</f>
        <v>4880.4000000000005</v>
      </c>
      <c r="G9" s="95">
        <f t="shared" si="0"/>
        <v>0.82099827882960397</v>
      </c>
      <c r="I9" t="s">
        <v>295</v>
      </c>
      <c r="J9">
        <f>Master!E8</f>
        <v>40</v>
      </c>
      <c r="K9" s="232">
        <f>K7/J9</f>
        <v>16.8</v>
      </c>
      <c r="R9" s="93">
        <f>R7*S9</f>
        <v>3217.2</v>
      </c>
      <c r="S9" s="93">
        <v>3</v>
      </c>
      <c r="T9" s="93" t="s">
        <v>273</v>
      </c>
      <c r="U9" s="93">
        <f>R9/(S5*100)</f>
        <v>618.69230769230762</v>
      </c>
    </row>
    <row r="10" spans="1:21" x14ac:dyDescent="0.35">
      <c r="A10" s="242">
        <f>A6+ (A6*B10)</f>
        <v>5342.4</v>
      </c>
      <c r="B10" s="93">
        <v>3</v>
      </c>
      <c r="C10" s="93" t="s">
        <v>272</v>
      </c>
      <c r="D10" s="240">
        <f>A10/(B5*100)</f>
        <v>1526.3999999999996</v>
      </c>
      <c r="E10" s="240"/>
      <c r="F10" s="260">
        <f>Master!C23*1.4*F4</f>
        <v>6330.7999999999993</v>
      </c>
      <c r="G10" s="95">
        <f t="shared" si="0"/>
        <v>0.84387439186200797</v>
      </c>
      <c r="I10" t="s">
        <v>26</v>
      </c>
      <c r="J10">
        <f>Master!E7</f>
        <v>33</v>
      </c>
      <c r="K10" s="232">
        <f>K7/J10</f>
        <v>20.363636363636363</v>
      </c>
      <c r="R10" s="93">
        <f>R7*S10</f>
        <v>4289.5999999999995</v>
      </c>
      <c r="S10" s="93">
        <v>4</v>
      </c>
      <c r="T10" s="93" t="s">
        <v>273</v>
      </c>
      <c r="U10" s="93">
        <f>R10/(S5*100)</f>
        <v>824.92307692307679</v>
      </c>
    </row>
    <row r="11" spans="1:21" x14ac:dyDescent="0.35">
      <c r="A11" s="241">
        <f>A6+ (A6*B11)</f>
        <v>6678</v>
      </c>
      <c r="B11" s="239">
        <v>4</v>
      </c>
      <c r="C11" s="239" t="s">
        <v>272</v>
      </c>
      <c r="D11" s="240">
        <f xml:space="preserve"> A11/(B5*100)</f>
        <v>1907.9999999999998</v>
      </c>
      <c r="E11" s="240"/>
      <c r="F11" s="260">
        <f>F7+(B11*0.7)*1.4 * F4</f>
        <v>7349.9999999999991</v>
      </c>
      <c r="G11" s="95">
        <f t="shared" si="0"/>
        <v>0.9085714285714287</v>
      </c>
      <c r="I11" t="s">
        <v>296</v>
      </c>
      <c r="J11">
        <f>Mistweaver!C12</f>
        <v>8.3330000000000002</v>
      </c>
      <c r="K11">
        <f>K7/J11</f>
        <v>80.643225729029155</v>
      </c>
      <c r="L11">
        <f>K12*K11/100*1.4</f>
        <v>1580.6072242889713</v>
      </c>
      <c r="M11" t="s">
        <v>300</v>
      </c>
      <c r="R11" s="93">
        <f>R7*S11</f>
        <v>5361.9999999999991</v>
      </c>
      <c r="S11" s="93">
        <v>5</v>
      </c>
      <c r="T11" s="93" t="s">
        <v>273</v>
      </c>
      <c r="U11" s="93">
        <f>R11/(S5*100)</f>
        <v>1031.153846153846</v>
      </c>
    </row>
    <row r="12" spans="1:21" x14ac:dyDescent="0.35">
      <c r="J12" t="s">
        <v>298</v>
      </c>
      <c r="K12" s="198">
        <f>F4</f>
        <v>1400</v>
      </c>
      <c r="R12" s="93">
        <f>R7*S12</f>
        <v>6434.4</v>
      </c>
      <c r="S12" s="93">
        <v>6</v>
      </c>
      <c r="T12" s="93" t="s">
        <v>273</v>
      </c>
      <c r="U12" s="93">
        <f>R12/(S5*100)</f>
        <v>1237.3846153846152</v>
      </c>
    </row>
    <row r="13" spans="1:21" x14ac:dyDescent="0.35">
      <c r="K13" t="s">
        <v>299</v>
      </c>
      <c r="R13" s="93">
        <f>R7*S13</f>
        <v>7506.7999999999993</v>
      </c>
      <c r="S13" s="93">
        <v>7</v>
      </c>
      <c r="T13" s="93" t="s">
        <v>273</v>
      </c>
      <c r="U13" s="93">
        <f>R13/(S5*100)</f>
        <v>1443.6153846153845</v>
      </c>
    </row>
  </sheetData>
  <mergeCells count="7">
    <mergeCell ref="R4:T4"/>
    <mergeCell ref="I4:K4"/>
    <mergeCell ref="I5:K5"/>
    <mergeCell ref="I6:K6"/>
    <mergeCell ref="A1:C1"/>
    <mergeCell ref="A2:C2"/>
    <mergeCell ref="A4:C4"/>
  </mergeCells>
  <pageMargins left="0.7" right="0.7" top="0.75" bottom="0.75" header="0.3" footer="0.3"/>
  <ignoredErrors>
    <ignoredError sqref="J9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08F4-42F8-4CCA-9F1F-9524484DDDD9}">
  <dimension ref="A1:S50"/>
  <sheetViews>
    <sheetView zoomScale="130" zoomScaleNormal="130" workbookViewId="0">
      <selection activeCell="A43" sqref="A43:A44"/>
    </sheetView>
  </sheetViews>
  <sheetFormatPr defaultRowHeight="14.5" x14ac:dyDescent="0.35"/>
  <cols>
    <col min="1" max="1" width="21" customWidth="1"/>
    <col min="3" max="3" width="5.453125" customWidth="1"/>
    <col min="4" max="4" width="14.81640625" customWidth="1"/>
    <col min="5" max="5" width="9.26953125" customWidth="1"/>
    <col min="6" max="6" width="12.1796875" customWidth="1"/>
    <col min="7" max="7" width="10.08984375" customWidth="1"/>
    <col min="8" max="8" width="9.36328125" customWidth="1"/>
    <col min="9" max="9" width="12.81640625" customWidth="1"/>
    <col min="10" max="10" width="9.54296875" customWidth="1"/>
    <col min="11" max="11" width="9.36328125" customWidth="1"/>
    <col min="12" max="12" width="12.54296875" customWidth="1"/>
    <col min="13" max="13" width="9.08984375" customWidth="1"/>
    <col min="14" max="14" width="9.54296875" customWidth="1"/>
    <col min="15" max="15" width="12.08984375" customWidth="1"/>
    <col min="16" max="16" width="10.6328125" customWidth="1"/>
    <col min="17" max="17" width="10.26953125" customWidth="1"/>
    <col min="18" max="18" width="10.6328125" customWidth="1"/>
    <col min="19" max="19" width="10.08984375" customWidth="1"/>
  </cols>
  <sheetData>
    <row r="1" spans="1:19" x14ac:dyDescent="0.35">
      <c r="A1" s="7" t="s">
        <v>308</v>
      </c>
      <c r="B1" s="7" t="s">
        <v>309</v>
      </c>
      <c r="E1" s="387" t="s">
        <v>314</v>
      </c>
      <c r="F1" s="387"/>
      <c r="H1" s="388" t="s">
        <v>315</v>
      </c>
      <c r="I1" s="388"/>
      <c r="K1" s="389" t="s">
        <v>316</v>
      </c>
      <c r="L1" s="389"/>
      <c r="N1" s="384" t="s">
        <v>317</v>
      </c>
      <c r="O1" s="384"/>
    </row>
    <row r="2" spans="1:19" x14ac:dyDescent="0.35">
      <c r="A2" s="153">
        <v>1.25</v>
      </c>
      <c r="C2" s="275">
        <v>1</v>
      </c>
      <c r="D2" s="275" t="s">
        <v>319</v>
      </c>
      <c r="E2" s="58">
        <v>1.9550000000000001</v>
      </c>
      <c r="F2" s="6" t="s">
        <v>318</v>
      </c>
      <c r="H2" s="269">
        <v>0.77</v>
      </c>
      <c r="I2" s="270" t="s">
        <v>318</v>
      </c>
      <c r="K2" s="51">
        <v>0.27</v>
      </c>
      <c r="L2" s="3" t="s">
        <v>318</v>
      </c>
      <c r="N2" s="273">
        <f>16%*4</f>
        <v>0.64</v>
      </c>
      <c r="O2" s="1" t="s">
        <v>318</v>
      </c>
    </row>
    <row r="3" spans="1:19" x14ac:dyDescent="0.35">
      <c r="A3" s="246" t="s">
        <v>340</v>
      </c>
      <c r="C3" s="275">
        <v>1.04</v>
      </c>
      <c r="D3" s="275" t="s">
        <v>320</v>
      </c>
      <c r="E3" s="59">
        <f>E2*C3</f>
        <v>2.0332000000000003</v>
      </c>
      <c r="F3" s="6" t="s">
        <v>321</v>
      </c>
      <c r="H3" s="271">
        <f>H2*C3</f>
        <v>0.80080000000000007</v>
      </c>
      <c r="I3" s="270" t="s">
        <v>321</v>
      </c>
      <c r="K3" s="57">
        <f>K2*C3</f>
        <v>0.28080000000000005</v>
      </c>
      <c r="L3" s="3" t="s">
        <v>321</v>
      </c>
      <c r="N3" s="273">
        <f>N2*C3</f>
        <v>0.66560000000000008</v>
      </c>
      <c r="O3" s="1" t="s">
        <v>321</v>
      </c>
    </row>
    <row r="4" spans="1:19" x14ac:dyDescent="0.35">
      <c r="A4" s="246">
        <v>3</v>
      </c>
      <c r="C4" s="276">
        <v>0.7</v>
      </c>
      <c r="D4" s="275" t="s">
        <v>322</v>
      </c>
      <c r="E4" s="268">
        <f>E3*C4</f>
        <v>1.4232400000000001</v>
      </c>
      <c r="F4" s="6" t="s">
        <v>323</v>
      </c>
      <c r="H4" s="272">
        <f>H3*C4</f>
        <v>0.56056000000000006</v>
      </c>
      <c r="I4" s="270" t="s">
        <v>323</v>
      </c>
      <c r="K4" s="56">
        <f>K3*C4</f>
        <v>0.19656000000000001</v>
      </c>
      <c r="L4" s="3" t="s">
        <v>323</v>
      </c>
      <c r="N4" s="274">
        <f>N3*C4</f>
        <v>0.46592</v>
      </c>
      <c r="O4" s="1" t="s">
        <v>323</v>
      </c>
    </row>
    <row r="5" spans="1:19" x14ac:dyDescent="0.35">
      <c r="A5" s="246" t="s">
        <v>341</v>
      </c>
      <c r="C5" s="276">
        <v>1.05</v>
      </c>
      <c r="D5" s="275" t="s">
        <v>324</v>
      </c>
      <c r="E5" s="268">
        <f>E4*C5</f>
        <v>1.4944020000000002</v>
      </c>
      <c r="F5" s="6" t="s">
        <v>325</v>
      </c>
      <c r="H5" s="272">
        <f>H4*C5</f>
        <v>0.58858800000000011</v>
      </c>
      <c r="I5" s="270" t="s">
        <v>325</v>
      </c>
      <c r="K5" s="56">
        <f>K4*C5</f>
        <v>0.20638800000000002</v>
      </c>
      <c r="L5" s="3" t="s">
        <v>325</v>
      </c>
      <c r="N5" s="274">
        <f>N4*C5</f>
        <v>0.48921600000000004</v>
      </c>
      <c r="O5" s="1" t="s">
        <v>325</v>
      </c>
    </row>
    <row r="6" spans="1:19" x14ac:dyDescent="0.35">
      <c r="A6" s="153">
        <v>1.5</v>
      </c>
      <c r="C6" s="50"/>
      <c r="D6" s="277" t="s">
        <v>343</v>
      </c>
      <c r="E6" s="264">
        <f>E5</f>
        <v>1.4944020000000002</v>
      </c>
      <c r="H6" s="265">
        <f>H5</f>
        <v>0.58858800000000011</v>
      </c>
      <c r="K6" s="266">
        <f>K5</f>
        <v>0.20638800000000002</v>
      </c>
      <c r="N6" s="267">
        <f>N5</f>
        <v>0.48921600000000004</v>
      </c>
    </row>
    <row r="7" spans="1:19" x14ac:dyDescent="0.35">
      <c r="A7" s="153"/>
      <c r="C7" s="50"/>
      <c r="D7" s="287"/>
      <c r="E7" s="264"/>
      <c r="F7" s="292" t="s">
        <v>355</v>
      </c>
      <c r="H7" s="265"/>
      <c r="K7" s="266"/>
      <c r="N7" s="267"/>
    </row>
    <row r="8" spans="1:19" x14ac:dyDescent="0.35">
      <c r="A8" s="246" t="s">
        <v>342</v>
      </c>
      <c r="C8" s="50"/>
      <c r="E8" s="136"/>
      <c r="F8">
        <f>12/(1+B10)</f>
        <v>11.333333333333334</v>
      </c>
      <c r="H8" s="136"/>
      <c r="K8" s="136"/>
      <c r="N8" s="136"/>
    </row>
    <row r="9" spans="1:19" x14ac:dyDescent="0.35">
      <c r="B9" t="s">
        <v>121</v>
      </c>
      <c r="N9" t="s">
        <v>359</v>
      </c>
      <c r="O9" t="s">
        <v>347</v>
      </c>
      <c r="P9" t="s">
        <v>346</v>
      </c>
      <c r="Q9" t="s">
        <v>345</v>
      </c>
      <c r="R9" t="s">
        <v>344</v>
      </c>
      <c r="S9" t="s">
        <v>131</v>
      </c>
    </row>
    <row r="10" spans="1:19" x14ac:dyDescent="0.35">
      <c r="A10" t="str">
        <f>Master!L8</f>
        <v>Haste</v>
      </c>
      <c r="B10" s="95">
        <f>Master!M8</f>
        <v>5.8823529411764712E-2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118</v>
      </c>
      <c r="L10" t="s">
        <v>330</v>
      </c>
      <c r="M10" t="s">
        <v>331</v>
      </c>
      <c r="N10" t="s">
        <v>332</v>
      </c>
      <c r="O10" t="s">
        <v>333</v>
      </c>
      <c r="P10" t="s">
        <v>334</v>
      </c>
      <c r="Q10" t="s">
        <v>335</v>
      </c>
      <c r="R10" t="s">
        <v>336</v>
      </c>
      <c r="S10" t="s">
        <v>337</v>
      </c>
    </row>
    <row r="11" spans="1:19" x14ac:dyDescent="0.35">
      <c r="A11" t="str">
        <f>Master!L9</f>
        <v>GCD</v>
      </c>
      <c r="B11">
        <f>Master!M9</f>
        <v>1.4166666666666667</v>
      </c>
      <c r="D11">
        <v>15</v>
      </c>
      <c r="E11" s="285">
        <f>D11-(B11*1)</f>
        <v>13.583333333333334</v>
      </c>
      <c r="F11" s="285">
        <f>E11-B11</f>
        <v>12.166666666666668</v>
      </c>
      <c r="G11" s="285">
        <f>F11-B11</f>
        <v>10.750000000000002</v>
      </c>
      <c r="H11" s="285">
        <f>G11-B11</f>
        <v>9.3333333333333357</v>
      </c>
      <c r="I11" s="285">
        <f>H11-B11</f>
        <v>7.9166666666666687</v>
      </c>
      <c r="J11" s="285">
        <f>I11-B11</f>
        <v>6.5000000000000018</v>
      </c>
      <c r="K11" s="285">
        <f>J11-B11</f>
        <v>5.0833333333333348</v>
      </c>
      <c r="L11" s="285">
        <f>K11-B11</f>
        <v>3.6666666666666679</v>
      </c>
      <c r="M11" s="285">
        <f>L11-B11</f>
        <v>2.2500000000000009</v>
      </c>
      <c r="N11" s="285">
        <f>M11-B11</f>
        <v>0.83333333333333415</v>
      </c>
      <c r="O11" s="285">
        <f>N11-B11</f>
        <v>-0.58333333333333259</v>
      </c>
      <c r="P11" s="285">
        <f>O11-B11</f>
        <v>-1.9999999999999993</v>
      </c>
      <c r="Q11" s="285">
        <f>P11-B11</f>
        <v>-3.4166666666666661</v>
      </c>
      <c r="R11" s="285">
        <f>Q11-B11</f>
        <v>-4.833333333333333</v>
      </c>
      <c r="S11" s="285">
        <f>R11-B11</f>
        <v>-6.25</v>
      </c>
    </row>
    <row r="12" spans="1:19" x14ac:dyDescent="0.35">
      <c r="A12" t="s">
        <v>312</v>
      </c>
      <c r="D12" t="s">
        <v>122</v>
      </c>
      <c r="J12" s="281" t="s">
        <v>350</v>
      </c>
      <c r="K12" s="282" t="s">
        <v>329</v>
      </c>
      <c r="M12" s="291" t="s">
        <v>351</v>
      </c>
      <c r="N12" s="282" t="s">
        <v>329</v>
      </c>
      <c r="P12" s="291" t="s">
        <v>351</v>
      </c>
      <c r="Q12" s="282" t="s">
        <v>329</v>
      </c>
      <c r="R12" s="291" t="s">
        <v>352</v>
      </c>
      <c r="S12" s="282" t="s">
        <v>329</v>
      </c>
    </row>
    <row r="13" spans="1:19" x14ac:dyDescent="0.35">
      <c r="A13" s="96" t="s">
        <v>132</v>
      </c>
      <c r="B13" s="96" t="s">
        <v>74</v>
      </c>
      <c r="C13" s="385" t="s">
        <v>326</v>
      </c>
      <c r="D13" s="386"/>
      <c r="E13" s="96" t="s">
        <v>310</v>
      </c>
      <c r="F13" s="96" t="s">
        <v>311</v>
      </c>
      <c r="G13" s="96" t="s">
        <v>310</v>
      </c>
      <c r="H13" s="96" t="s">
        <v>311</v>
      </c>
      <c r="I13" s="96" t="s">
        <v>310</v>
      </c>
      <c r="J13" s="279" t="s">
        <v>328</v>
      </c>
      <c r="K13" s="283" t="s">
        <v>310</v>
      </c>
      <c r="L13" s="96" t="s">
        <v>311</v>
      </c>
      <c r="M13" s="96" t="s">
        <v>327</v>
      </c>
      <c r="N13" s="283" t="s">
        <v>310</v>
      </c>
      <c r="O13" s="96" t="s">
        <v>311</v>
      </c>
      <c r="P13" s="96" t="s">
        <v>327</v>
      </c>
      <c r="Q13" s="283" t="s">
        <v>310</v>
      </c>
      <c r="R13" s="96" t="s">
        <v>338</v>
      </c>
      <c r="S13" s="283" t="s">
        <v>310</v>
      </c>
    </row>
    <row r="14" spans="1:19" x14ac:dyDescent="0.35">
      <c r="B14" s="96" t="s">
        <v>151</v>
      </c>
      <c r="C14" s="96"/>
      <c r="D14" s="97">
        <f>(E14+F14+G14+H14+I14+J14+K14+L14+M14+N14+O14+P14+Q14+R14+S14)*A2*A4*A6</f>
        <v>93.283076250000022</v>
      </c>
      <c r="E14" s="97">
        <f>E6</f>
        <v>1.4944020000000002</v>
      </c>
      <c r="F14" s="97">
        <f>K6</f>
        <v>0.20638800000000002</v>
      </c>
      <c r="G14" s="97">
        <f>E6</f>
        <v>1.4944020000000002</v>
      </c>
      <c r="H14" s="97">
        <f>K6</f>
        <v>0.20638800000000002</v>
      </c>
      <c r="I14" s="97">
        <f>E6</f>
        <v>1.4944020000000002</v>
      </c>
      <c r="J14" s="280">
        <f>H6*4</f>
        <v>2.3543520000000004</v>
      </c>
      <c r="K14" s="284">
        <f>E6</f>
        <v>1.4944020000000002</v>
      </c>
      <c r="L14" s="97">
        <f>K6</f>
        <v>0.20638800000000002</v>
      </c>
      <c r="M14" s="97">
        <f>H6*2</f>
        <v>1.1771760000000002</v>
      </c>
      <c r="N14" s="284">
        <f>E6</f>
        <v>1.4944020000000002</v>
      </c>
      <c r="O14" s="97">
        <f>K6</f>
        <v>0.20638800000000002</v>
      </c>
      <c r="P14" s="97">
        <f>H6*2</f>
        <v>1.1771760000000002</v>
      </c>
      <c r="Q14" s="284">
        <f>E6</f>
        <v>1.4944020000000002</v>
      </c>
      <c r="R14" s="97">
        <f>H6</f>
        <v>0.58858800000000011</v>
      </c>
      <c r="S14" s="284">
        <f>E6</f>
        <v>1.4944020000000002</v>
      </c>
    </row>
    <row r="15" spans="1:19" x14ac:dyDescent="0.35">
      <c r="B15" s="96" t="s">
        <v>339</v>
      </c>
      <c r="C15" s="96"/>
      <c r="D15" s="286">
        <f>((E15+F15+G15+H15+I15+J15+K15+L15+M15+N15+O15+P15+Q15+R15+S15)*A2*A4*A6)*Master!B6</f>
        <v>93154.083750000034</v>
      </c>
      <c r="E15" s="97">
        <f>E6</f>
        <v>1.4944020000000002</v>
      </c>
      <c r="F15" s="97">
        <f>K6</f>
        <v>0.20638800000000002</v>
      </c>
      <c r="G15" s="97">
        <f>E6</f>
        <v>1.4944020000000002</v>
      </c>
      <c r="H15" s="97">
        <f>K6</f>
        <v>0.20638800000000002</v>
      </c>
      <c r="I15" s="97">
        <f>E6</f>
        <v>1.4944020000000002</v>
      </c>
      <c r="J15" s="280">
        <f>H6*4</f>
        <v>2.3543520000000004</v>
      </c>
      <c r="K15" s="284">
        <f>E6</f>
        <v>1.4944020000000002</v>
      </c>
      <c r="L15" s="97">
        <f>K6</f>
        <v>0.20638800000000002</v>
      </c>
      <c r="M15" s="97">
        <f>H6*2</f>
        <v>1.1771760000000002</v>
      </c>
      <c r="N15" s="284">
        <f>E6</f>
        <v>1.4944020000000002</v>
      </c>
      <c r="O15" s="97">
        <f>K6</f>
        <v>0.20638800000000002</v>
      </c>
      <c r="P15" s="97"/>
      <c r="Q15" s="284"/>
      <c r="R15" s="97"/>
      <c r="S15" s="284"/>
    </row>
    <row r="16" spans="1:19" x14ac:dyDescent="0.35">
      <c r="B16" s="96" t="s">
        <v>134</v>
      </c>
      <c r="C16" s="96"/>
      <c r="D16" s="98">
        <v>0.25</v>
      </c>
      <c r="E16" s="100"/>
    </row>
    <row r="17" spans="1:19" x14ac:dyDescent="0.35">
      <c r="B17" s="96" t="s">
        <v>139</v>
      </c>
      <c r="C17" s="96"/>
      <c r="D17" s="98">
        <f>D16/2</f>
        <v>0.125</v>
      </c>
    </row>
    <row r="19" spans="1:19" x14ac:dyDescent="0.35">
      <c r="B19" t="s">
        <v>121</v>
      </c>
      <c r="N19" t="s">
        <v>348</v>
      </c>
      <c r="O19" t="s">
        <v>347</v>
      </c>
      <c r="P19" t="s">
        <v>346</v>
      </c>
      <c r="Q19" t="s">
        <v>345</v>
      </c>
      <c r="R19" t="s">
        <v>344</v>
      </c>
      <c r="S19" t="s">
        <v>131</v>
      </c>
    </row>
    <row r="20" spans="1:19" x14ac:dyDescent="0.35">
      <c r="B20" s="95">
        <f>Master!M8</f>
        <v>5.8823529411764712E-2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  <c r="K20" t="s">
        <v>118</v>
      </c>
      <c r="L20" t="s">
        <v>330</v>
      </c>
      <c r="M20" t="s">
        <v>331</v>
      </c>
      <c r="N20" t="s">
        <v>332</v>
      </c>
      <c r="O20" t="s">
        <v>333</v>
      </c>
      <c r="P20" t="s">
        <v>334</v>
      </c>
      <c r="Q20" t="s">
        <v>335</v>
      </c>
      <c r="R20" t="s">
        <v>336</v>
      </c>
      <c r="S20" t="s">
        <v>337</v>
      </c>
    </row>
    <row r="21" spans="1:19" x14ac:dyDescent="0.35">
      <c r="B21">
        <f>Master!M9</f>
        <v>1.4166666666666667</v>
      </c>
      <c r="D21">
        <v>15</v>
      </c>
      <c r="E21" s="285">
        <f>D21-(B21*1)</f>
        <v>13.583333333333334</v>
      </c>
      <c r="F21" s="285">
        <f>E21-B21</f>
        <v>12.166666666666668</v>
      </c>
      <c r="G21" s="285">
        <f>F21-B21</f>
        <v>10.750000000000002</v>
      </c>
      <c r="H21" s="285">
        <f>G21-B21</f>
        <v>9.3333333333333357</v>
      </c>
      <c r="I21" s="285">
        <f>H21-B21</f>
        <v>7.9166666666666687</v>
      </c>
      <c r="J21" s="285">
        <f>I21-B21</f>
        <v>6.5000000000000018</v>
      </c>
      <c r="K21" s="285">
        <f>J21-B21</f>
        <v>5.0833333333333348</v>
      </c>
      <c r="L21" s="285">
        <f>K21-B21</f>
        <v>3.6666666666666679</v>
      </c>
      <c r="M21" s="285">
        <f>L21-B21</f>
        <v>2.2500000000000009</v>
      </c>
      <c r="N21" s="285">
        <f>M21-B21</f>
        <v>0.83333333333333415</v>
      </c>
      <c r="O21" s="285">
        <f>N21-B21</f>
        <v>-0.58333333333333259</v>
      </c>
      <c r="P21" s="285">
        <f>O21-B21</f>
        <v>-1.9999999999999993</v>
      </c>
      <c r="Q21" s="285">
        <f>P21-B21</f>
        <v>-3.4166666666666661</v>
      </c>
      <c r="R21" s="285">
        <f>Q21-B21</f>
        <v>-4.833333333333333</v>
      </c>
      <c r="S21" s="285">
        <f>R21-B21</f>
        <v>-6.25</v>
      </c>
    </row>
    <row r="22" spans="1:19" x14ac:dyDescent="0.35">
      <c r="A22" t="s">
        <v>312</v>
      </c>
      <c r="J22" s="281" t="s">
        <v>350</v>
      </c>
      <c r="K22" s="282" t="s">
        <v>329</v>
      </c>
      <c r="M22" s="291" t="s">
        <v>351</v>
      </c>
      <c r="N22" s="288" t="s">
        <v>353</v>
      </c>
      <c r="Q22" s="282" t="s">
        <v>329</v>
      </c>
      <c r="S22" s="282" t="s">
        <v>329</v>
      </c>
    </row>
    <row r="23" spans="1:19" x14ac:dyDescent="0.35">
      <c r="A23" s="96" t="s">
        <v>132</v>
      </c>
      <c r="B23" s="96" t="s">
        <v>74</v>
      </c>
      <c r="C23" s="385" t="s">
        <v>349</v>
      </c>
      <c r="D23" s="386"/>
      <c r="E23" s="96" t="s">
        <v>310</v>
      </c>
      <c r="F23" s="96" t="s">
        <v>311</v>
      </c>
      <c r="G23" s="96" t="s">
        <v>310</v>
      </c>
      <c r="H23" s="96" t="s">
        <v>311</v>
      </c>
      <c r="I23" s="96" t="s">
        <v>310</v>
      </c>
      <c r="J23" s="279" t="s">
        <v>328</v>
      </c>
      <c r="K23" s="283" t="s">
        <v>310</v>
      </c>
      <c r="L23" s="96" t="s">
        <v>311</v>
      </c>
      <c r="M23" s="96" t="s">
        <v>327</v>
      </c>
      <c r="N23" s="289" t="s">
        <v>311</v>
      </c>
      <c r="O23" s="96" t="s">
        <v>327</v>
      </c>
      <c r="P23" s="96" t="s">
        <v>327</v>
      </c>
      <c r="Q23" s="283" t="s">
        <v>310</v>
      </c>
      <c r="R23" s="96" t="s">
        <v>338</v>
      </c>
      <c r="S23" s="283" t="s">
        <v>310</v>
      </c>
    </row>
    <row r="24" spans="1:19" x14ac:dyDescent="0.35">
      <c r="B24" s="96" t="s">
        <v>151</v>
      </c>
      <c r="C24" s="96"/>
      <c r="D24" s="97">
        <f>(E24+F24+G24+H24+I24+J24+K24+L24+M24+N24+O24+P24+Q24+R24+S24)*A2*A4*A6</f>
        <v>64.754235000000023</v>
      </c>
      <c r="E24" s="97">
        <f>E6</f>
        <v>1.4944020000000002</v>
      </c>
      <c r="F24" s="97">
        <f>K6</f>
        <v>0.20638800000000002</v>
      </c>
      <c r="G24" s="97">
        <f>E6</f>
        <v>1.4944020000000002</v>
      </c>
      <c r="H24" s="97">
        <f>K6</f>
        <v>0.20638800000000002</v>
      </c>
      <c r="I24" s="97">
        <f>E6</f>
        <v>1.4944020000000002</v>
      </c>
      <c r="J24" s="280">
        <f>4*H6</f>
        <v>2.3543520000000004</v>
      </c>
      <c r="K24" s="284">
        <f>K14</f>
        <v>1.4944020000000002</v>
      </c>
      <c r="L24" s="97">
        <f>L14</f>
        <v>0.20638800000000002</v>
      </c>
      <c r="M24" s="97">
        <f>M14</f>
        <v>1.1771760000000002</v>
      </c>
      <c r="N24" s="290">
        <f>K6</f>
        <v>0.20638800000000002</v>
      </c>
      <c r="O24" s="97">
        <f>P14</f>
        <v>1.1771760000000002</v>
      </c>
      <c r="P24" s="97">
        <f>H16*2</f>
        <v>0</v>
      </c>
      <c r="Q24" s="284">
        <f>E16</f>
        <v>0</v>
      </c>
      <c r="R24" s="97">
        <f>H16</f>
        <v>0</v>
      </c>
      <c r="S24" s="284">
        <f>E16</f>
        <v>0</v>
      </c>
    </row>
    <row r="25" spans="1:19" x14ac:dyDescent="0.35">
      <c r="B25" s="96" t="s">
        <v>339</v>
      </c>
      <c r="C25" s="96"/>
      <c r="D25" s="286">
        <f>((E25+F25+G25+H25+I25+J25+K25+L25+M25+N25+O25+P25+Q25+R25+S25)*A2*A4*A6)*Master!B6</f>
        <v>90655.929000000033</v>
      </c>
      <c r="E25" s="97">
        <f>E6</f>
        <v>1.4944020000000002</v>
      </c>
      <c r="F25" s="97">
        <f>K6</f>
        <v>0.20638800000000002</v>
      </c>
      <c r="G25" s="97">
        <f>E6</f>
        <v>1.4944020000000002</v>
      </c>
      <c r="H25" s="97">
        <f>K6</f>
        <v>0.20638800000000002</v>
      </c>
      <c r="I25" s="97">
        <f>E6</f>
        <v>1.4944020000000002</v>
      </c>
      <c r="J25" s="280">
        <f>H6*4</f>
        <v>2.3543520000000004</v>
      </c>
      <c r="K25" s="284">
        <f>E6</f>
        <v>1.4944020000000002</v>
      </c>
      <c r="L25" s="97">
        <f>K6</f>
        <v>0.20638800000000002</v>
      </c>
      <c r="M25" s="97">
        <f>H6*2</f>
        <v>1.1771760000000002</v>
      </c>
      <c r="N25" s="290">
        <f>N24</f>
        <v>0.20638800000000002</v>
      </c>
      <c r="O25" s="97">
        <f>O24</f>
        <v>1.1771760000000002</v>
      </c>
      <c r="P25" s="97"/>
      <c r="Q25" s="284"/>
      <c r="R25" s="97"/>
      <c r="S25" s="284"/>
    </row>
    <row r="26" spans="1:19" x14ac:dyDescent="0.35">
      <c r="B26" s="96" t="s">
        <v>134</v>
      </c>
      <c r="C26" s="96"/>
      <c r="D26" s="98">
        <v>0.25</v>
      </c>
      <c r="E26" s="100"/>
      <c r="I26" t="s">
        <v>354</v>
      </c>
      <c r="J26" t="s">
        <v>356</v>
      </c>
    </row>
    <row r="27" spans="1:19" x14ac:dyDescent="0.35">
      <c r="B27" s="96" t="s">
        <v>139</v>
      </c>
      <c r="C27" s="96"/>
      <c r="D27" s="98">
        <f>D26/2</f>
        <v>0.125</v>
      </c>
      <c r="I27" s="285">
        <f>I21</f>
        <v>7.9166666666666687</v>
      </c>
      <c r="J27" s="285">
        <f>I27+F8</f>
        <v>19.250000000000004</v>
      </c>
      <c r="K27" t="s">
        <v>358</v>
      </c>
    </row>
    <row r="29" spans="1:19" x14ac:dyDescent="0.35">
      <c r="B29" t="s">
        <v>121</v>
      </c>
      <c r="N29" t="s">
        <v>348</v>
      </c>
      <c r="O29" t="s">
        <v>347</v>
      </c>
      <c r="P29" t="s">
        <v>346</v>
      </c>
      <c r="Q29" t="s">
        <v>345</v>
      </c>
      <c r="R29" t="s">
        <v>344</v>
      </c>
      <c r="S29" t="s">
        <v>131</v>
      </c>
    </row>
    <row r="30" spans="1:19" x14ac:dyDescent="0.35">
      <c r="B30" s="95">
        <f>Master!M8</f>
        <v>5.8823529411764712E-2</v>
      </c>
      <c r="D30" t="s">
        <v>111</v>
      </c>
      <c r="E30" t="s">
        <v>112</v>
      </c>
      <c r="F30" t="s">
        <v>113</v>
      </c>
      <c r="G30" t="s">
        <v>114</v>
      </c>
      <c r="H30" t="s">
        <v>115</v>
      </c>
      <c r="I30" t="s">
        <v>116</v>
      </c>
      <c r="J30" t="s">
        <v>117</v>
      </c>
      <c r="K30" t="s">
        <v>118</v>
      </c>
      <c r="L30" t="s">
        <v>330</v>
      </c>
      <c r="M30" t="s">
        <v>331</v>
      </c>
      <c r="N30" t="s">
        <v>332</v>
      </c>
      <c r="O30" t="s">
        <v>333</v>
      </c>
      <c r="P30" t="s">
        <v>334</v>
      </c>
      <c r="Q30" t="s">
        <v>335</v>
      </c>
      <c r="R30" t="s">
        <v>336</v>
      </c>
      <c r="S30" t="s">
        <v>337</v>
      </c>
    </row>
    <row r="31" spans="1:19" x14ac:dyDescent="0.35">
      <c r="B31">
        <f>Master!M9</f>
        <v>1.4166666666666667</v>
      </c>
      <c r="D31">
        <v>15</v>
      </c>
      <c r="E31" s="285">
        <f>D31-(B31*1)</f>
        <v>13.583333333333334</v>
      </c>
      <c r="F31" s="285">
        <f>E31-B31</f>
        <v>12.166666666666668</v>
      </c>
      <c r="G31" s="285">
        <f>F31-B31</f>
        <v>10.750000000000002</v>
      </c>
      <c r="H31" s="285">
        <f>G31-B31</f>
        <v>9.3333333333333357</v>
      </c>
      <c r="I31" s="285">
        <f>H31-B31</f>
        <v>7.9166666666666687</v>
      </c>
      <c r="J31" s="285">
        <f>I31-B31</f>
        <v>6.5000000000000018</v>
      </c>
      <c r="K31" s="285">
        <f>J31-B31</f>
        <v>5.0833333333333348</v>
      </c>
      <c r="L31" s="285">
        <f>K31-B31</f>
        <v>3.6666666666666679</v>
      </c>
      <c r="M31" s="285">
        <f>L31-B31</f>
        <v>2.2500000000000009</v>
      </c>
      <c r="N31" s="285">
        <f>M31-B31</f>
        <v>0.83333333333333415</v>
      </c>
      <c r="O31" s="285">
        <f>N31-B31</f>
        <v>-0.58333333333333259</v>
      </c>
      <c r="P31" s="285">
        <f>O31-B31</f>
        <v>-1.9999999999999993</v>
      </c>
      <c r="Q31" s="285">
        <f>P31-B31</f>
        <v>-3.4166666666666661</v>
      </c>
      <c r="R31" s="285">
        <f>Q31-B31</f>
        <v>-4.833333333333333</v>
      </c>
      <c r="S31" s="285">
        <f>R31-B31</f>
        <v>-6.25</v>
      </c>
    </row>
    <row r="32" spans="1:19" x14ac:dyDescent="0.35">
      <c r="A32" t="s">
        <v>357</v>
      </c>
    </row>
    <row r="33" spans="1:19" x14ac:dyDescent="0.35">
      <c r="A33" t="s">
        <v>313</v>
      </c>
      <c r="H33" s="291" t="s">
        <v>350</v>
      </c>
      <c r="I33" s="282" t="s">
        <v>329</v>
      </c>
      <c r="J33" s="281"/>
      <c r="K33" s="281"/>
      <c r="L33" s="291" t="s">
        <v>362</v>
      </c>
      <c r="M33" s="288" t="s">
        <v>353</v>
      </c>
      <c r="N33" s="291" t="s">
        <v>351</v>
      </c>
      <c r="O33" s="282" t="s">
        <v>329</v>
      </c>
    </row>
    <row r="34" spans="1:19" x14ac:dyDescent="0.35">
      <c r="A34" s="96" t="s">
        <v>132</v>
      </c>
      <c r="B34" s="96" t="s">
        <v>74</v>
      </c>
      <c r="C34" s="385" t="s">
        <v>349</v>
      </c>
      <c r="D34" s="386"/>
      <c r="E34" s="96" t="s">
        <v>310</v>
      </c>
      <c r="F34" s="96" t="s">
        <v>311</v>
      </c>
      <c r="G34" s="96" t="s">
        <v>310</v>
      </c>
      <c r="H34" s="96" t="s">
        <v>328</v>
      </c>
      <c r="I34" s="283" t="s">
        <v>310</v>
      </c>
      <c r="J34" s="279" t="s">
        <v>311</v>
      </c>
      <c r="K34" s="279" t="s">
        <v>311</v>
      </c>
      <c r="L34" s="96" t="s">
        <v>361</v>
      </c>
      <c r="M34" s="289" t="s">
        <v>311</v>
      </c>
      <c r="N34" s="96" t="s">
        <v>327</v>
      </c>
      <c r="O34" s="283" t="s">
        <v>310</v>
      </c>
      <c r="P34" s="96"/>
      <c r="Q34" s="96"/>
      <c r="R34" s="96"/>
      <c r="S34" s="96"/>
    </row>
    <row r="35" spans="1:19" x14ac:dyDescent="0.35">
      <c r="B35" s="96" t="s">
        <v>133</v>
      </c>
      <c r="C35" s="96"/>
      <c r="D35" s="97">
        <f>(E35+F35+G35+H35+I35+J35+K35+L35+M35+N35+O35+P35)*A2*A4*A6</f>
        <v>68.065042500000018</v>
      </c>
      <c r="E35" s="97">
        <f>E24</f>
        <v>1.4944020000000002</v>
      </c>
      <c r="F35" s="97">
        <f>F24</f>
        <v>0.20638800000000002</v>
      </c>
      <c r="G35" s="97">
        <f>G24</f>
        <v>1.4944020000000002</v>
      </c>
      <c r="H35" s="97">
        <f>J24</f>
        <v>2.3543520000000004</v>
      </c>
      <c r="I35" s="284">
        <f>K24</f>
        <v>1.4944020000000002</v>
      </c>
      <c r="J35" s="280">
        <f>K6</f>
        <v>0.20638800000000002</v>
      </c>
      <c r="K35" s="280">
        <f>J35</f>
        <v>0.20638800000000002</v>
      </c>
      <c r="L35" s="97">
        <f>H6*3</f>
        <v>1.7657640000000003</v>
      </c>
      <c r="M35" s="290">
        <f>N24</f>
        <v>0.20638800000000002</v>
      </c>
      <c r="N35" s="97">
        <f>M24</f>
        <v>1.1771760000000002</v>
      </c>
      <c r="O35" s="284">
        <f>K24</f>
        <v>1.4944020000000002</v>
      </c>
      <c r="P35" s="97"/>
      <c r="Q35" s="97"/>
      <c r="R35" s="97"/>
      <c r="S35" s="97"/>
    </row>
    <row r="36" spans="1:19" x14ac:dyDescent="0.35">
      <c r="B36" s="96" t="s">
        <v>339</v>
      </c>
      <c r="C36" s="96"/>
      <c r="D36" s="286">
        <f>((E36+F36+G36+H36+I36+J36+K36+L36+M36+N36+O36+P36+Q36+R36+S36)*A2*A4*A6)*Master!B6</f>
        <v>95291.059500000032</v>
      </c>
      <c r="E36" s="50">
        <f t="shared" ref="E36:O36" si="0">E35</f>
        <v>1.4944020000000002</v>
      </c>
      <c r="F36" s="50">
        <f t="shared" si="0"/>
        <v>0.20638800000000002</v>
      </c>
      <c r="G36" s="50">
        <f t="shared" si="0"/>
        <v>1.4944020000000002</v>
      </c>
      <c r="H36" s="50">
        <f t="shared" si="0"/>
        <v>2.3543520000000004</v>
      </c>
      <c r="I36" s="296">
        <f t="shared" si="0"/>
        <v>1.4944020000000002</v>
      </c>
      <c r="J36" s="293">
        <f t="shared" si="0"/>
        <v>0.20638800000000002</v>
      </c>
      <c r="K36" s="294">
        <f t="shared" si="0"/>
        <v>0.20638800000000002</v>
      </c>
      <c r="L36" s="295">
        <f t="shared" si="0"/>
        <v>1.7657640000000003</v>
      </c>
      <c r="M36" s="295">
        <f t="shared" si="0"/>
        <v>0.20638800000000002</v>
      </c>
      <c r="N36" s="295">
        <f t="shared" si="0"/>
        <v>1.1771760000000002</v>
      </c>
      <c r="O36" s="295">
        <f t="shared" si="0"/>
        <v>1.4944020000000002</v>
      </c>
      <c r="P36" s="278"/>
    </row>
    <row r="37" spans="1:19" x14ac:dyDescent="0.35">
      <c r="B37" s="96" t="s">
        <v>134</v>
      </c>
      <c r="C37" s="96"/>
      <c r="D37" s="98">
        <v>0.25</v>
      </c>
      <c r="E37" s="100"/>
      <c r="G37" t="s">
        <v>364</v>
      </c>
      <c r="O37" t="s">
        <v>363</v>
      </c>
    </row>
    <row r="38" spans="1:19" x14ac:dyDescent="0.35">
      <c r="B38" s="96" t="s">
        <v>139</v>
      </c>
      <c r="C38" s="96"/>
      <c r="D38" s="98">
        <f>D37/2</f>
        <v>0.125</v>
      </c>
    </row>
    <row r="42" spans="1:19" x14ac:dyDescent="0.35">
      <c r="B42" t="s">
        <v>121</v>
      </c>
      <c r="N42" t="s">
        <v>359</v>
      </c>
      <c r="O42" t="s">
        <v>347</v>
      </c>
      <c r="P42" t="s">
        <v>346</v>
      </c>
      <c r="Q42" t="s">
        <v>345</v>
      </c>
      <c r="R42" t="s">
        <v>344</v>
      </c>
      <c r="S42" t="s">
        <v>131</v>
      </c>
    </row>
    <row r="43" spans="1:19" x14ac:dyDescent="0.35">
      <c r="B43" s="95">
        <f>Master!M8</f>
        <v>5.8823529411764712E-2</v>
      </c>
      <c r="D43" t="s">
        <v>111</v>
      </c>
      <c r="E43" t="s">
        <v>112</v>
      </c>
      <c r="F43" t="s">
        <v>113</v>
      </c>
      <c r="G43" t="s">
        <v>114</v>
      </c>
      <c r="H43" t="s">
        <v>115</v>
      </c>
      <c r="I43" t="s">
        <v>116</v>
      </c>
      <c r="J43" t="s">
        <v>117</v>
      </c>
      <c r="K43" t="s">
        <v>118</v>
      </c>
      <c r="L43" t="s">
        <v>330</v>
      </c>
      <c r="M43" t="s">
        <v>331</v>
      </c>
      <c r="N43" t="s">
        <v>332</v>
      </c>
      <c r="O43" t="s">
        <v>333</v>
      </c>
      <c r="P43" t="s">
        <v>334</v>
      </c>
      <c r="Q43" t="s">
        <v>335</v>
      </c>
      <c r="R43" t="s">
        <v>336</v>
      </c>
      <c r="S43" t="s">
        <v>337</v>
      </c>
    </row>
    <row r="44" spans="1:19" x14ac:dyDescent="0.35">
      <c r="B44">
        <f>Master!M9</f>
        <v>1.4166666666666667</v>
      </c>
      <c r="D44">
        <v>15</v>
      </c>
      <c r="E44" s="285">
        <f>D44-(B44*1)</f>
        <v>13.583333333333334</v>
      </c>
      <c r="F44" s="285">
        <f>E44-B44</f>
        <v>12.166666666666668</v>
      </c>
      <c r="G44" s="285">
        <f>F44-B44</f>
        <v>10.750000000000002</v>
      </c>
      <c r="H44" s="285">
        <f>G44-B44</f>
        <v>9.3333333333333357</v>
      </c>
      <c r="I44" s="285">
        <f>H44-B44</f>
        <v>7.9166666666666687</v>
      </c>
      <c r="J44" s="285">
        <f>I44-B44</f>
        <v>6.5000000000000018</v>
      </c>
      <c r="K44" s="285">
        <f>J44-B44</f>
        <v>5.0833333333333348</v>
      </c>
      <c r="L44" s="285">
        <f>K44-B44</f>
        <v>3.6666666666666679</v>
      </c>
      <c r="M44" s="285">
        <f>L44-B44</f>
        <v>2.2500000000000009</v>
      </c>
      <c r="N44" s="285">
        <f>M44-B44</f>
        <v>0.83333333333333415</v>
      </c>
      <c r="O44" s="285">
        <f>N44-B44</f>
        <v>-0.58333333333333259</v>
      </c>
      <c r="P44" s="285">
        <f>O44-B44</f>
        <v>-1.9999999999999993</v>
      </c>
      <c r="Q44" s="285">
        <f>P44-B44</f>
        <v>-3.4166666666666661</v>
      </c>
      <c r="R44" s="285">
        <f>Q44-B44</f>
        <v>-4.833333333333333</v>
      </c>
      <c r="S44" s="285">
        <f>R44-B44</f>
        <v>-6.25</v>
      </c>
    </row>
    <row r="45" spans="1:19" x14ac:dyDescent="0.35">
      <c r="A45" t="s">
        <v>365</v>
      </c>
      <c r="D45" t="s">
        <v>122</v>
      </c>
      <c r="J45" s="281" t="s">
        <v>351</v>
      </c>
      <c r="K45" s="282" t="s">
        <v>329</v>
      </c>
      <c r="M45" s="291" t="s">
        <v>351</v>
      </c>
      <c r="N45" s="282" t="s">
        <v>329</v>
      </c>
      <c r="P45" s="291" t="s">
        <v>351</v>
      </c>
      <c r="Q45" s="282" t="s">
        <v>329</v>
      </c>
      <c r="R45" s="291" t="s">
        <v>352</v>
      </c>
      <c r="S45" s="282" t="s">
        <v>329</v>
      </c>
    </row>
    <row r="46" spans="1:19" x14ac:dyDescent="0.35">
      <c r="A46" s="96" t="s">
        <v>132</v>
      </c>
      <c r="B46" s="96" t="s">
        <v>74</v>
      </c>
      <c r="C46" s="385" t="s">
        <v>367</v>
      </c>
      <c r="D46" s="386"/>
      <c r="E46" s="96" t="s">
        <v>310</v>
      </c>
      <c r="F46" s="96" t="s">
        <v>360</v>
      </c>
      <c r="G46" s="96" t="s">
        <v>310</v>
      </c>
      <c r="H46" s="96" t="s">
        <v>311</v>
      </c>
      <c r="I46" s="96" t="s">
        <v>310</v>
      </c>
      <c r="J46" s="279" t="s">
        <v>366</v>
      </c>
      <c r="K46" s="283" t="s">
        <v>310</v>
      </c>
      <c r="L46" s="96" t="s">
        <v>311</v>
      </c>
      <c r="M46" s="96" t="s">
        <v>327</v>
      </c>
      <c r="N46" s="283" t="s">
        <v>310</v>
      </c>
      <c r="O46" s="96" t="s">
        <v>311</v>
      </c>
      <c r="P46" s="96" t="s">
        <v>327</v>
      </c>
      <c r="Q46" s="283" t="s">
        <v>310</v>
      </c>
      <c r="R46" s="96" t="s">
        <v>338</v>
      </c>
      <c r="S46" s="283" t="s">
        <v>310</v>
      </c>
    </row>
    <row r="47" spans="1:19" x14ac:dyDescent="0.35">
      <c r="B47" s="96" t="s">
        <v>151</v>
      </c>
      <c r="C47" s="96"/>
      <c r="D47" s="97">
        <f>(E47+F47+G47+H47+I47+J47+K47+L47+M47+N47+O47+P47+Q47+R47+S47)*A2*A4*A6</f>
        <v>78.620928750000019</v>
      </c>
      <c r="E47" s="97">
        <f>E35</f>
        <v>1.4944020000000002</v>
      </c>
      <c r="F47" s="97">
        <f>4*H6</f>
        <v>2.3543520000000004</v>
      </c>
      <c r="G47" s="97">
        <f>G35</f>
        <v>1.4944020000000002</v>
      </c>
      <c r="H47" s="97">
        <f>J35</f>
        <v>0.20638800000000002</v>
      </c>
      <c r="I47" s="97">
        <f>E47</f>
        <v>1.4944020000000002</v>
      </c>
      <c r="J47" s="280">
        <f>H6*2</f>
        <v>1.1771760000000002</v>
      </c>
      <c r="K47" s="284">
        <f>E47</f>
        <v>1.4944020000000002</v>
      </c>
      <c r="L47" s="97">
        <f>H47</f>
        <v>0.20638800000000002</v>
      </c>
      <c r="M47" s="97">
        <f>J47</f>
        <v>1.1771760000000002</v>
      </c>
      <c r="N47" s="284">
        <f>K47</f>
        <v>1.4944020000000002</v>
      </c>
      <c r="O47" s="97">
        <f>L47</f>
        <v>0.20638800000000002</v>
      </c>
      <c r="P47" s="97">
        <f>H6*2</f>
        <v>1.1771760000000002</v>
      </c>
      <c r="Q47" s="284">
        <f>E39</f>
        <v>0</v>
      </c>
      <c r="R47" s="97">
        <f>H39</f>
        <v>0</v>
      </c>
      <c r="S47" s="284">
        <f>E39</f>
        <v>0</v>
      </c>
    </row>
    <row r="48" spans="1:19" x14ac:dyDescent="0.35">
      <c r="B48" s="96" t="s">
        <v>339</v>
      </c>
      <c r="C48" s="96"/>
      <c r="D48" s="286">
        <f>((E48+F48+G48+H48+I48+J48+K48+L48+M48+N48+O48+P48+Q48+R48+S48)*A2*A4*A6)*Master!B6</f>
        <v>110069.30025000003</v>
      </c>
      <c r="E48" s="97">
        <f t="shared" ref="E48:P48" si="1">E47</f>
        <v>1.4944020000000002</v>
      </c>
      <c r="F48" s="97">
        <f t="shared" si="1"/>
        <v>2.3543520000000004</v>
      </c>
      <c r="G48" s="97">
        <f t="shared" si="1"/>
        <v>1.4944020000000002</v>
      </c>
      <c r="H48" s="97">
        <f t="shared" si="1"/>
        <v>0.20638800000000002</v>
      </c>
      <c r="I48" s="97">
        <f t="shared" si="1"/>
        <v>1.4944020000000002</v>
      </c>
      <c r="J48" s="280">
        <f t="shared" si="1"/>
        <v>1.1771760000000002</v>
      </c>
      <c r="K48" s="284">
        <f t="shared" si="1"/>
        <v>1.4944020000000002</v>
      </c>
      <c r="L48" s="97">
        <f t="shared" si="1"/>
        <v>0.20638800000000002</v>
      </c>
      <c r="M48" s="97">
        <f t="shared" si="1"/>
        <v>1.1771760000000002</v>
      </c>
      <c r="N48" s="284">
        <f t="shared" si="1"/>
        <v>1.4944020000000002</v>
      </c>
      <c r="O48" s="97">
        <f t="shared" si="1"/>
        <v>0.20638800000000002</v>
      </c>
      <c r="P48" s="97">
        <f t="shared" si="1"/>
        <v>1.1771760000000002</v>
      </c>
      <c r="Q48" s="284"/>
      <c r="R48" s="97"/>
      <c r="S48" s="284"/>
    </row>
    <row r="49" spans="2:5" x14ac:dyDescent="0.35">
      <c r="B49" s="96" t="s">
        <v>134</v>
      </c>
      <c r="C49" s="96"/>
      <c r="D49" s="98">
        <v>0.25</v>
      </c>
      <c r="E49" s="100"/>
    </row>
    <row r="50" spans="2:5" x14ac:dyDescent="0.35">
      <c r="B50" s="96" t="s">
        <v>139</v>
      </c>
      <c r="C50" s="96"/>
      <c r="D50" s="98">
        <f>D49/2</f>
        <v>0.125</v>
      </c>
    </row>
  </sheetData>
  <mergeCells count="8">
    <mergeCell ref="N1:O1"/>
    <mergeCell ref="C13:D13"/>
    <mergeCell ref="C23:D23"/>
    <mergeCell ref="C34:D34"/>
    <mergeCell ref="C46:D46"/>
    <mergeCell ref="E1:F1"/>
    <mergeCell ref="H1:I1"/>
    <mergeCell ref="K1:L1"/>
  </mergeCells>
  <phoneticPr fontId="13" type="noConversion"/>
  <pageMargins left="0.7" right="0.7" top="0.75" bottom="0.75" header="0.3" footer="0.3"/>
  <pageSetup orientation="portrait" horizontalDpi="4294967293" verticalDpi="0" r:id="rId1"/>
  <ignoredErrors>
    <ignoredError sqref="F47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"/>
  <sheetViews>
    <sheetView workbookViewId="0">
      <selection activeCell="F21" sqref="F21"/>
    </sheetView>
  </sheetViews>
  <sheetFormatPr defaultRowHeight="14.5" x14ac:dyDescent="0.35"/>
  <cols>
    <col min="1" max="1" width="19.81640625" customWidth="1"/>
    <col min="2" max="2" width="15" customWidth="1"/>
    <col min="3" max="3" width="15.26953125" customWidth="1"/>
    <col min="5" max="5" width="14.453125" customWidth="1"/>
    <col min="6" max="6" width="16.81640625" customWidth="1"/>
    <col min="8" max="8" width="14.54296875" customWidth="1"/>
    <col min="9" max="9" width="18.453125" customWidth="1"/>
    <col min="11" max="11" width="22.81640625" customWidth="1"/>
    <col min="12" max="12" width="20.1796875" customWidth="1"/>
  </cols>
  <sheetData>
    <row r="1" spans="1:12" x14ac:dyDescent="0.35">
      <c r="A1" t="s">
        <v>0</v>
      </c>
    </row>
    <row r="2" spans="1:12" x14ac:dyDescent="0.35">
      <c r="C2" t="s">
        <v>26</v>
      </c>
      <c r="D2">
        <v>0.2</v>
      </c>
    </row>
    <row r="3" spans="1:12" x14ac:dyDescent="0.35">
      <c r="C3" t="s">
        <v>27</v>
      </c>
      <c r="D3">
        <f>1.5 *(1-0.2)</f>
        <v>1.2000000000000002</v>
      </c>
    </row>
    <row r="4" spans="1:12" x14ac:dyDescent="0.35">
      <c r="A4" t="s">
        <v>1</v>
      </c>
    </row>
    <row r="6" spans="1:12" ht="29" x14ac:dyDescent="0.35">
      <c r="A6" s="1" t="s">
        <v>50</v>
      </c>
      <c r="B6" s="2" t="s">
        <v>3</v>
      </c>
      <c r="C6" s="3" t="s">
        <v>4</v>
      </c>
      <c r="E6" s="4" t="s">
        <v>5</v>
      </c>
      <c r="F6" s="4" t="s">
        <v>6</v>
      </c>
      <c r="H6" s="5" t="s">
        <v>49</v>
      </c>
      <c r="I6" s="5" t="s">
        <v>8</v>
      </c>
      <c r="K6" s="6" t="s">
        <v>9</v>
      </c>
      <c r="L6" s="7" t="s">
        <v>10</v>
      </c>
    </row>
    <row r="7" spans="1:12" x14ac:dyDescent="0.35">
      <c r="A7" s="1"/>
      <c r="B7" s="2"/>
      <c r="C7" s="3"/>
      <c r="E7" s="4"/>
      <c r="F7" s="4"/>
      <c r="H7" s="5"/>
      <c r="I7" s="5"/>
      <c r="K7" s="6"/>
      <c r="L7" s="6"/>
    </row>
    <row r="8" spans="1:12" x14ac:dyDescent="0.35">
      <c r="A8" s="14" t="s">
        <v>11</v>
      </c>
      <c r="B8" s="15"/>
      <c r="C8" s="16">
        <v>0.64</v>
      </c>
      <c r="D8" s="17"/>
      <c r="E8" s="18">
        <f xml:space="preserve"> ($E11/2)</f>
        <v>1</v>
      </c>
      <c r="F8" s="18">
        <f>($C8 / $E8)</f>
        <v>0.64</v>
      </c>
      <c r="G8" s="17"/>
      <c r="H8" s="19">
        <f>(0.5) * (1-D2)</f>
        <v>0.4</v>
      </c>
      <c r="I8" s="19">
        <f xml:space="preserve"> ($C8 / $H8)</f>
        <v>1.5999999999999999</v>
      </c>
      <c r="J8" s="17"/>
      <c r="K8" s="20">
        <v>1.28</v>
      </c>
      <c r="L8" s="20">
        <v>1.28</v>
      </c>
    </row>
    <row r="9" spans="1:12" x14ac:dyDescent="0.35">
      <c r="A9" s="21" t="s">
        <v>32</v>
      </c>
      <c r="B9" s="22"/>
      <c r="C9" s="21">
        <f>3.5+0.6</f>
        <v>4.0999999999999996</v>
      </c>
      <c r="D9" s="22"/>
      <c r="E9" s="23">
        <f>((0.1863 * 220) / 1100) * 100</f>
        <v>3.7259999999999995</v>
      </c>
      <c r="F9" s="23">
        <f t="shared" ref="F9:F39" si="0">($C9 / E9)</f>
        <v>1.1003757380568975</v>
      </c>
      <c r="G9" s="22"/>
      <c r="H9" s="24">
        <v>12</v>
      </c>
      <c r="I9" s="24">
        <f xml:space="preserve"> ($C9/$H9)</f>
        <v>0.34166666666666662</v>
      </c>
      <c r="J9" s="22"/>
      <c r="K9" s="21">
        <f>$C9/$H9</f>
        <v>0.34166666666666662</v>
      </c>
      <c r="L9" s="21">
        <f>$K9</f>
        <v>0.34166666666666662</v>
      </c>
    </row>
    <row r="10" spans="1:12" x14ac:dyDescent="0.35">
      <c r="A10" s="25" t="s">
        <v>51</v>
      </c>
      <c r="B10" s="26"/>
      <c r="C10" s="25">
        <v>4.75</v>
      </c>
      <c r="D10" s="26"/>
      <c r="E10" s="27">
        <f>((0.2 * 220) / 1100) * 100</f>
        <v>4</v>
      </c>
      <c r="F10" s="27">
        <f t="shared" si="0"/>
        <v>1.1875</v>
      </c>
      <c r="G10" s="26"/>
      <c r="H10" s="28">
        <v>1.2000000000000002</v>
      </c>
      <c r="I10" s="28">
        <v>3.9583333333333326</v>
      </c>
      <c r="J10" s="26"/>
      <c r="K10" s="29">
        <v>3.9583333333333326</v>
      </c>
      <c r="L10" s="29">
        <v>3.9583333333333326</v>
      </c>
    </row>
    <row r="11" spans="1:12" x14ac:dyDescent="0.35">
      <c r="A11" s="21" t="s">
        <v>30</v>
      </c>
      <c r="B11" s="22"/>
      <c r="C11" s="21">
        <v>2.4</v>
      </c>
      <c r="D11" s="22"/>
      <c r="E11" s="23">
        <f>((0.1 * 220) / 1100) * 100</f>
        <v>2</v>
      </c>
      <c r="F11" s="23">
        <f t="shared" si="0"/>
        <v>1.2</v>
      </c>
      <c r="G11" s="22"/>
      <c r="H11" s="24">
        <v>12</v>
      </c>
      <c r="I11" s="24">
        <f xml:space="preserve"> ($C11/$H11)</f>
        <v>0.19999999999999998</v>
      </c>
      <c r="J11" s="22"/>
      <c r="K11" s="21">
        <f>$C11/$H11</f>
        <v>0.19999999999999998</v>
      </c>
      <c r="L11" s="21">
        <f>$K11</f>
        <v>0.19999999999999998</v>
      </c>
    </row>
    <row r="12" spans="1:12" x14ac:dyDescent="0.35">
      <c r="A12" s="30" t="s">
        <v>38</v>
      </c>
      <c r="B12" s="31"/>
      <c r="C12" s="30">
        <v>4.5</v>
      </c>
      <c r="D12" s="31"/>
      <c r="E12" s="32">
        <f>((0.18 * 220) / 1100) * 100</f>
        <v>3.6000000000000005</v>
      </c>
      <c r="F12" s="32">
        <f t="shared" si="0"/>
        <v>1.2499999999999998</v>
      </c>
      <c r="G12" s="31"/>
      <c r="H12" s="33">
        <v>1.2000000000000002</v>
      </c>
      <c r="I12" s="33">
        <v>3.7499999999999996</v>
      </c>
      <c r="J12" s="31"/>
      <c r="K12" s="34">
        <v>3.7499999999999996</v>
      </c>
      <c r="L12" s="34">
        <v>3.7499999999999996</v>
      </c>
    </row>
    <row r="13" spans="1:12" x14ac:dyDescent="0.35">
      <c r="A13" s="14" t="s">
        <v>14</v>
      </c>
      <c r="B13" s="15"/>
      <c r="C13" s="16">
        <v>2.5</v>
      </c>
      <c r="D13" s="17"/>
      <c r="E13" s="18">
        <v>2</v>
      </c>
      <c r="F13" s="18">
        <f t="shared" si="0"/>
        <v>1.25</v>
      </c>
      <c r="G13" s="17"/>
      <c r="H13" s="19">
        <v>1.2000000000000002</v>
      </c>
      <c r="I13" s="19">
        <v>2.083333333333333</v>
      </c>
      <c r="J13" s="17"/>
      <c r="K13" s="20">
        <v>1.6666666666666667</v>
      </c>
      <c r="L13" s="20">
        <v>1.6666666666666667</v>
      </c>
    </row>
    <row r="14" spans="1:12" x14ac:dyDescent="0.35">
      <c r="A14" s="35" t="s">
        <v>22</v>
      </c>
      <c r="B14" s="36"/>
      <c r="C14" s="35">
        <v>7.98</v>
      </c>
      <c r="D14" s="36"/>
      <c r="E14" s="37">
        <f>((0.25 * 220) / 1100) * 100</f>
        <v>5</v>
      </c>
      <c r="F14" s="37">
        <f t="shared" si="0"/>
        <v>1.5960000000000001</v>
      </c>
      <c r="G14" s="36"/>
      <c r="H14" s="38">
        <v>2</v>
      </c>
      <c r="I14" s="38">
        <v>3.99</v>
      </c>
      <c r="J14" s="36"/>
      <c r="K14" s="39">
        <v>1.9</v>
      </c>
      <c r="L14" s="39">
        <v>3.99</v>
      </c>
    </row>
    <row r="15" spans="1:12" x14ac:dyDescent="0.35">
      <c r="A15" s="40" t="s">
        <v>43</v>
      </c>
      <c r="B15" s="41"/>
      <c r="C15" s="40">
        <v>4.75</v>
      </c>
      <c r="D15" s="41"/>
      <c r="E15" s="42">
        <v>2.8</v>
      </c>
      <c r="F15" s="42">
        <f t="shared" si="0"/>
        <v>1.6964285714285716</v>
      </c>
      <c r="G15" s="41"/>
      <c r="H15" s="43">
        <v>1.2000000000000002</v>
      </c>
      <c r="I15" s="43">
        <v>3.9583333333333326</v>
      </c>
      <c r="J15" s="41"/>
      <c r="K15" s="44">
        <v>3.9583333333333326</v>
      </c>
      <c r="L15" s="44">
        <v>3.9583333333333326</v>
      </c>
    </row>
    <row r="16" spans="1:12" x14ac:dyDescent="0.35">
      <c r="A16" s="30" t="s">
        <v>39</v>
      </c>
      <c r="B16" s="31"/>
      <c r="C16" s="30">
        <v>4.25</v>
      </c>
      <c r="D16" s="31"/>
      <c r="E16" s="32">
        <f>((0.12 * 220) / 1100) * 100</f>
        <v>2.4</v>
      </c>
      <c r="F16" s="32">
        <f t="shared" si="0"/>
        <v>1.7708333333333335</v>
      </c>
      <c r="G16" s="31"/>
      <c r="H16" s="33">
        <v>2</v>
      </c>
      <c r="I16" s="33">
        <v>2.125</v>
      </c>
      <c r="J16" s="31"/>
      <c r="K16" s="34">
        <v>2.125</v>
      </c>
      <c r="L16" s="34">
        <v>2.125</v>
      </c>
    </row>
    <row r="17" spans="1:12" x14ac:dyDescent="0.35">
      <c r="A17" s="12" t="s">
        <v>44</v>
      </c>
      <c r="C17" s="12">
        <f>0.62+3.1</f>
        <v>3.72</v>
      </c>
      <c r="E17" s="4">
        <v>2</v>
      </c>
      <c r="F17" s="4">
        <f t="shared" si="0"/>
        <v>1.86</v>
      </c>
      <c r="H17" s="5">
        <v>15</v>
      </c>
      <c r="I17" s="5">
        <f xml:space="preserve"> ($C17/$H17)</f>
        <v>0.24800000000000003</v>
      </c>
      <c r="K17" s="6">
        <f>$C17/$H17</f>
        <v>0.24800000000000003</v>
      </c>
      <c r="L17" s="6">
        <f>$K17</f>
        <v>0.24800000000000003</v>
      </c>
    </row>
    <row r="18" spans="1:12" x14ac:dyDescent="0.35">
      <c r="A18" s="14" t="s">
        <v>13</v>
      </c>
      <c r="B18" s="15"/>
      <c r="C18" s="16">
        <v>9.9</v>
      </c>
      <c r="D18" s="17"/>
      <c r="E18" s="18">
        <v>5.2</v>
      </c>
      <c r="F18" s="18">
        <f t="shared" si="0"/>
        <v>1.9038461538461537</v>
      </c>
      <c r="G18" s="17"/>
      <c r="H18" s="19">
        <v>6</v>
      </c>
      <c r="I18" s="19">
        <f xml:space="preserve"> ($C18/$H18)</f>
        <v>1.6500000000000001</v>
      </c>
      <c r="J18" s="17"/>
      <c r="K18" s="20">
        <v>1.6500000000000001</v>
      </c>
      <c r="L18" s="20">
        <v>1.6500000000000001</v>
      </c>
    </row>
    <row r="19" spans="1:12" s="31" customFormat="1" x14ac:dyDescent="0.35">
      <c r="A19" s="30" t="s">
        <v>37</v>
      </c>
      <c r="C19" s="30">
        <v>4</v>
      </c>
      <c r="E19" s="32">
        <f>((0.1 * 220) / 1100) * 100</f>
        <v>2</v>
      </c>
      <c r="F19" s="32">
        <f t="shared" si="0"/>
        <v>2</v>
      </c>
      <c r="H19" s="33">
        <v>7.2</v>
      </c>
      <c r="I19" s="33">
        <v>0.55555555555555558</v>
      </c>
      <c r="K19" s="34">
        <v>0.55555555555555558</v>
      </c>
      <c r="L19" s="34">
        <v>0.55555555555555558</v>
      </c>
    </row>
    <row r="20" spans="1:12" s="22" customFormat="1" x14ac:dyDescent="0.35">
      <c r="A20" s="21" t="s">
        <v>34</v>
      </c>
      <c r="C20" s="21">
        <f>2.38 * 6</f>
        <v>14.28</v>
      </c>
      <c r="E20" s="23">
        <f>((0.34 * 220) / 1100) * 100</f>
        <v>6.8000000000000007</v>
      </c>
      <c r="F20" s="23">
        <f t="shared" si="0"/>
        <v>2.0999999999999996</v>
      </c>
      <c r="H20" s="24">
        <v>7</v>
      </c>
      <c r="I20" s="24">
        <f xml:space="preserve"> ($C20/$H20)</f>
        <v>2.04</v>
      </c>
      <c r="K20" s="21">
        <f>$C20 / 6 / $H20</f>
        <v>0.33999999999999997</v>
      </c>
      <c r="L20" s="21">
        <f>$C20/$H20</f>
        <v>2.04</v>
      </c>
    </row>
    <row r="21" spans="1:12" s="17" customFormat="1" x14ac:dyDescent="0.35">
      <c r="A21" s="14" t="s">
        <v>15</v>
      </c>
      <c r="B21" s="15"/>
      <c r="C21" s="16">
        <f xml:space="preserve"> (3 * (3))</f>
        <v>9</v>
      </c>
      <c r="E21" s="18">
        <v>4</v>
      </c>
      <c r="F21" s="18">
        <f t="shared" si="0"/>
        <v>2.25</v>
      </c>
      <c r="H21" s="19">
        <v>1.2000000000000002</v>
      </c>
      <c r="I21" s="19">
        <v>7.4999999999999991</v>
      </c>
      <c r="K21" s="20">
        <v>2.4999999999999996</v>
      </c>
      <c r="L21" s="20">
        <v>7.4999999999999991</v>
      </c>
    </row>
    <row r="22" spans="1:12" s="17" customFormat="1" x14ac:dyDescent="0.35">
      <c r="A22" s="14" t="s">
        <v>12</v>
      </c>
      <c r="B22" s="15"/>
      <c r="C22" s="16">
        <v>7</v>
      </c>
      <c r="E22" s="18">
        <v>3</v>
      </c>
      <c r="F22" s="18">
        <f t="shared" si="0"/>
        <v>2.3333333333333335</v>
      </c>
      <c r="H22" s="19">
        <v>20</v>
      </c>
      <c r="I22" s="19">
        <f xml:space="preserve"> ($C22/$H22)</f>
        <v>0.35</v>
      </c>
      <c r="K22" s="20">
        <v>0.35</v>
      </c>
      <c r="L22" s="20">
        <f xml:space="preserve"> ($K22 * 3)</f>
        <v>1.0499999999999998</v>
      </c>
    </row>
    <row r="23" spans="1:12" s="22" customFormat="1" x14ac:dyDescent="0.35">
      <c r="A23" s="21" t="s">
        <v>29</v>
      </c>
      <c r="C23" s="21">
        <v>4.5</v>
      </c>
      <c r="E23" s="23">
        <f>((0.09 * 220) / 1100) * 100</f>
        <v>1.8000000000000003</v>
      </c>
      <c r="F23" s="23">
        <f t="shared" si="0"/>
        <v>2.4999999999999996</v>
      </c>
      <c r="H23" s="24">
        <v>2</v>
      </c>
      <c r="I23" s="24">
        <v>2.25</v>
      </c>
      <c r="K23" s="21">
        <v>2.25</v>
      </c>
      <c r="L23" s="21">
        <v>2.25</v>
      </c>
    </row>
    <row r="24" spans="1:12" s="22" customFormat="1" x14ac:dyDescent="0.35">
      <c r="A24" s="21" t="s">
        <v>31</v>
      </c>
      <c r="C24" s="21">
        <f>3.75 + 2.5</f>
        <v>6.25</v>
      </c>
      <c r="E24" s="23">
        <f>((0.12 * 220) / 1100) * 100</f>
        <v>2.4</v>
      </c>
      <c r="F24" s="23">
        <f t="shared" si="0"/>
        <v>2.604166666666667</v>
      </c>
      <c r="H24" s="24">
        <v>15</v>
      </c>
      <c r="I24" s="24">
        <f xml:space="preserve"> ($C24/$H24)</f>
        <v>0.41666666666666669</v>
      </c>
      <c r="K24" s="21">
        <f>$C24/$H24</f>
        <v>0.41666666666666669</v>
      </c>
      <c r="L24" s="21">
        <f>$K24</f>
        <v>0.41666666666666669</v>
      </c>
    </row>
    <row r="25" spans="1:12" s="26" customFormat="1" x14ac:dyDescent="0.35">
      <c r="A25" s="25" t="s">
        <v>20</v>
      </c>
      <c r="C25" s="25">
        <v>4.75</v>
      </c>
      <c r="E25" s="27">
        <f>((0.09 * 220) / 1100) * 100</f>
        <v>1.8000000000000003</v>
      </c>
      <c r="F25" s="27">
        <f t="shared" si="0"/>
        <v>2.6388888888888884</v>
      </c>
      <c r="H25" s="28">
        <f>2.5*(1-D7)</f>
        <v>2.5</v>
      </c>
      <c r="I25" s="28">
        <f xml:space="preserve"> ($C25 / $H25)</f>
        <v>1.9</v>
      </c>
      <c r="K25" s="29">
        <f>$C25 / $H25</f>
        <v>1.9</v>
      </c>
      <c r="L25" s="29">
        <f>$K25</f>
        <v>1.9</v>
      </c>
    </row>
    <row r="26" spans="1:12" s="22" customFormat="1" x14ac:dyDescent="0.35">
      <c r="A26" s="21" t="s">
        <v>33</v>
      </c>
      <c r="C26" s="21">
        <v>7.7</v>
      </c>
      <c r="E26" s="23">
        <f>((0.14 * 220) / 1100) * 100</f>
        <v>2.8000000000000003</v>
      </c>
      <c r="F26" s="23">
        <f t="shared" si="0"/>
        <v>2.75</v>
      </c>
      <c r="H26" s="24">
        <f>30</f>
        <v>30</v>
      </c>
      <c r="I26" s="24">
        <f xml:space="preserve"> ($C26/$H26)</f>
        <v>0.25666666666666665</v>
      </c>
      <c r="K26" s="21">
        <f>$C26/$H26</f>
        <v>0.25666666666666665</v>
      </c>
      <c r="L26" s="21">
        <f>$K26</f>
        <v>0.25666666666666665</v>
      </c>
    </row>
    <row r="27" spans="1:12" s="46" customFormat="1" x14ac:dyDescent="0.35">
      <c r="A27" s="45" t="s">
        <v>48</v>
      </c>
      <c r="C27" s="45">
        <f>2.5 * 5</f>
        <v>12.5</v>
      </c>
      <c r="E27" s="47">
        <v>4.5</v>
      </c>
      <c r="F27" s="47">
        <f t="shared" si="0"/>
        <v>2.7777777777777777</v>
      </c>
      <c r="H27" s="48">
        <v>1.6</v>
      </c>
      <c r="I27" s="48">
        <v>7.8125</v>
      </c>
      <c r="K27" s="49">
        <v>1.5625</v>
      </c>
      <c r="L27" s="49">
        <v>7.8125</v>
      </c>
    </row>
    <row r="28" spans="1:12" s="46" customFormat="1" x14ac:dyDescent="0.35">
      <c r="A28" s="45" t="s">
        <v>42</v>
      </c>
      <c r="C28" s="45">
        <v>5</v>
      </c>
      <c r="E28" s="47">
        <v>1.7</v>
      </c>
      <c r="F28" s="47">
        <f t="shared" si="0"/>
        <v>2.9411764705882355</v>
      </c>
      <c r="H28" s="48">
        <v>2</v>
      </c>
      <c r="I28" s="48">
        <v>2.5</v>
      </c>
      <c r="K28" s="49">
        <v>2.5</v>
      </c>
      <c r="L28" s="49">
        <v>2.5</v>
      </c>
    </row>
    <row r="29" spans="1:12" s="26" customFormat="1" x14ac:dyDescent="0.35">
      <c r="A29" s="25" t="s">
        <v>23</v>
      </c>
      <c r="C29" s="25">
        <v>5</v>
      </c>
      <c r="E29" s="27">
        <f>((0.08 * 220) / 1100) * 100</f>
        <v>1.6</v>
      </c>
      <c r="F29" s="27">
        <f t="shared" si="0"/>
        <v>3.125</v>
      </c>
      <c r="H29" s="28">
        <v>15</v>
      </c>
      <c r="I29" s="28">
        <f t="shared" ref="I29:I39" si="1" xml:space="preserve"> ($C29/$H29)</f>
        <v>0.33333333333333331</v>
      </c>
      <c r="K29" s="29">
        <v>1.6666666666666667</v>
      </c>
      <c r="L29" s="29">
        <v>1.6666666666666667</v>
      </c>
    </row>
    <row r="30" spans="1:12" s="31" customFormat="1" x14ac:dyDescent="0.35">
      <c r="A30" s="30" t="s">
        <v>40</v>
      </c>
      <c r="C30" s="30">
        <f>1.8*5</f>
        <v>9</v>
      </c>
      <c r="E30" s="32">
        <f>((0.14 * 220) / 1100) * 100</f>
        <v>2.8000000000000003</v>
      </c>
      <c r="F30" s="32">
        <f t="shared" si="0"/>
        <v>3.214285714285714</v>
      </c>
      <c r="H30" s="33">
        <v>12</v>
      </c>
      <c r="I30" s="33">
        <f t="shared" si="1"/>
        <v>0.75</v>
      </c>
      <c r="K30" s="34">
        <f>$C30/5/$H30</f>
        <v>0.15</v>
      </c>
      <c r="L30" s="34">
        <f>$C30/$H30</f>
        <v>0.75</v>
      </c>
    </row>
    <row r="31" spans="1:12" s="17" customFormat="1" x14ac:dyDescent="0.35">
      <c r="A31" s="14" t="s">
        <v>16</v>
      </c>
      <c r="B31" s="15"/>
      <c r="C31" s="16">
        <f xml:space="preserve"> (1.35 * 18) + (0.48 * 5)</f>
        <v>26.7</v>
      </c>
      <c r="E31" s="18">
        <v>7.2</v>
      </c>
      <c r="F31" s="18">
        <f t="shared" si="0"/>
        <v>3.708333333333333</v>
      </c>
      <c r="H31" s="19">
        <v>8</v>
      </c>
      <c r="I31" s="19">
        <f t="shared" si="1"/>
        <v>3.3374999999999999</v>
      </c>
      <c r="K31" s="20">
        <f>(8.9 / 5)</f>
        <v>1.78</v>
      </c>
      <c r="L31" s="20">
        <f xml:space="preserve"> ($I31)</f>
        <v>3.3374999999999999</v>
      </c>
    </row>
    <row r="32" spans="1:12" s="26" customFormat="1" x14ac:dyDescent="0.35">
      <c r="A32" s="25" t="s">
        <v>24</v>
      </c>
      <c r="C32" s="25">
        <f>6*3</f>
        <v>18</v>
      </c>
      <c r="E32" s="27">
        <f>((0.216 * 220) / 1100) * 100</f>
        <v>4.3199999999999994</v>
      </c>
      <c r="F32" s="27">
        <f t="shared" si="0"/>
        <v>4.166666666666667</v>
      </c>
      <c r="H32" s="28">
        <v>10</v>
      </c>
      <c r="I32" s="28">
        <f t="shared" si="1"/>
        <v>1.8</v>
      </c>
      <c r="K32" s="29">
        <f>$C32/6 / $H32</f>
        <v>0.3</v>
      </c>
      <c r="L32" s="29">
        <f>$C32/$H32</f>
        <v>1.8</v>
      </c>
    </row>
    <row r="33" spans="1:12" x14ac:dyDescent="0.35">
      <c r="A33" s="45" t="s">
        <v>47</v>
      </c>
      <c r="C33" s="12">
        <f>5*1.75</f>
        <v>8.75</v>
      </c>
      <c r="E33" s="4">
        <v>2</v>
      </c>
      <c r="F33" s="4">
        <f t="shared" si="0"/>
        <v>4.375</v>
      </c>
      <c r="H33" s="5">
        <v>12</v>
      </c>
      <c r="I33" s="5">
        <f t="shared" si="1"/>
        <v>0.72916666666666663</v>
      </c>
      <c r="K33" s="6">
        <f>$C33/$H33</f>
        <v>0.72916666666666663</v>
      </c>
      <c r="L33" s="6">
        <f>$C33/$H33</f>
        <v>0.72916666666666663</v>
      </c>
    </row>
    <row r="34" spans="1:12" s="17" customFormat="1" x14ac:dyDescent="0.35">
      <c r="A34" s="14" t="s">
        <v>17</v>
      </c>
      <c r="B34" s="15"/>
      <c r="C34" s="16">
        <f xml:space="preserve"> (3 * (6 *(1.35 + 0.48)))</f>
        <v>32.94</v>
      </c>
      <c r="E34" s="18">
        <v>7.2</v>
      </c>
      <c r="F34" s="18">
        <f t="shared" si="0"/>
        <v>4.5749999999999993</v>
      </c>
      <c r="H34" s="19">
        <v>8</v>
      </c>
      <c r="I34" s="19">
        <f t="shared" si="1"/>
        <v>4.1174999999999997</v>
      </c>
      <c r="K34" s="20">
        <v>1.78</v>
      </c>
      <c r="L34" s="20">
        <f>$I34</f>
        <v>4.1174999999999997</v>
      </c>
    </row>
    <row r="35" spans="1:12" s="46" customFormat="1" x14ac:dyDescent="0.35">
      <c r="A35" s="45" t="s">
        <v>46</v>
      </c>
      <c r="C35" s="45">
        <v>20</v>
      </c>
      <c r="E35" s="47">
        <v>4</v>
      </c>
      <c r="F35" s="47">
        <f t="shared" si="0"/>
        <v>5</v>
      </c>
      <c r="H35" s="48">
        <v>60</v>
      </c>
      <c r="I35" s="48">
        <f t="shared" si="1"/>
        <v>0.33333333333333331</v>
      </c>
      <c r="K35" s="49">
        <f>$C35/$H35</f>
        <v>0.33333333333333331</v>
      </c>
      <c r="L35" s="49">
        <f>$K35</f>
        <v>0.33333333333333331</v>
      </c>
    </row>
    <row r="36" spans="1:12" s="17" customFormat="1" x14ac:dyDescent="0.35">
      <c r="A36" s="14" t="s">
        <v>18</v>
      </c>
      <c r="B36" s="15"/>
      <c r="C36" s="16">
        <f xml:space="preserve"> (0.33 *9) * 6</f>
        <v>17.82</v>
      </c>
      <c r="E36" s="18">
        <v>3.5</v>
      </c>
      <c r="F36" s="18">
        <f t="shared" si="0"/>
        <v>5.0914285714285716</v>
      </c>
      <c r="H36" s="19">
        <f>9 * (1-D23)</f>
        <v>9</v>
      </c>
      <c r="I36" s="19">
        <f t="shared" si="1"/>
        <v>1.98</v>
      </c>
      <c r="K36" s="20">
        <f xml:space="preserve"> (1.98 / 6)</f>
        <v>0.33</v>
      </c>
      <c r="L36" s="20">
        <f xml:space="preserve"> $I36</f>
        <v>1.98</v>
      </c>
    </row>
    <row r="37" spans="1:12" s="22" customFormat="1" x14ac:dyDescent="0.35">
      <c r="A37" s="21" t="s">
        <v>35</v>
      </c>
      <c r="C37" s="21">
        <f>0.56445 * (3) * (30/2)</f>
        <v>25.400250000000003</v>
      </c>
      <c r="E37" s="23">
        <f>((0.216 * 220) / 1100) * 100</f>
        <v>4.3199999999999994</v>
      </c>
      <c r="F37" s="23">
        <f t="shared" si="0"/>
        <v>5.879687500000002</v>
      </c>
      <c r="H37" s="24">
        <f>30</f>
        <v>30</v>
      </c>
      <c r="I37" s="24">
        <f t="shared" si="1"/>
        <v>0.84667500000000007</v>
      </c>
      <c r="K37" s="21">
        <f>$C37/3/$H37</f>
        <v>0.28222500000000006</v>
      </c>
      <c r="L37" s="21">
        <f>$C37/$H37</f>
        <v>0.84667500000000007</v>
      </c>
    </row>
    <row r="38" spans="1:12" s="46" customFormat="1" x14ac:dyDescent="0.35">
      <c r="A38" s="45" t="s">
        <v>45</v>
      </c>
      <c r="C38" s="45">
        <f>6*6</f>
        <v>36</v>
      </c>
      <c r="E38" s="47">
        <v>5</v>
      </c>
      <c r="F38" s="47">
        <f t="shared" si="0"/>
        <v>7.2</v>
      </c>
      <c r="H38" s="48">
        <v>60</v>
      </c>
      <c r="I38" s="48">
        <f t="shared" si="1"/>
        <v>0.6</v>
      </c>
      <c r="K38" s="49">
        <f>$C38/6/$H38</f>
        <v>0.1</v>
      </c>
      <c r="L38" s="49">
        <f>$C38/$H38</f>
        <v>0.6</v>
      </c>
    </row>
    <row r="39" spans="1:12" s="26" customFormat="1" x14ac:dyDescent="0.35">
      <c r="A39" s="25" t="s">
        <v>25</v>
      </c>
      <c r="C39" s="25">
        <f>4*6</f>
        <v>24</v>
      </c>
      <c r="E39" s="27">
        <f>((0.05 * 220) / 1100) * 100</f>
        <v>1</v>
      </c>
      <c r="F39" s="27">
        <f t="shared" si="0"/>
        <v>24</v>
      </c>
      <c r="H39" s="28">
        <f>2*(1-D16)</f>
        <v>2</v>
      </c>
      <c r="I39" s="28">
        <f t="shared" si="1"/>
        <v>12</v>
      </c>
      <c r="K39" s="29">
        <f>$C39/6 / $H39</f>
        <v>2</v>
      </c>
      <c r="L39" s="29">
        <f>$C39/$H39</f>
        <v>12</v>
      </c>
    </row>
    <row r="40" spans="1:12" x14ac:dyDescent="0.35">
      <c r="A40" s="10"/>
      <c r="C40" s="10"/>
      <c r="E40" s="10"/>
      <c r="F40" s="10"/>
      <c r="H40" s="10"/>
      <c r="I40" s="10"/>
      <c r="K40" s="10"/>
      <c r="L40" s="10"/>
    </row>
    <row r="41" spans="1:12" x14ac:dyDescent="0.35">
      <c r="A41" s="10"/>
      <c r="C41" s="10"/>
      <c r="E41" s="10"/>
      <c r="F41" s="10"/>
      <c r="H41" s="10"/>
      <c r="I41" s="10"/>
      <c r="K41" s="10"/>
      <c r="L41" s="10"/>
    </row>
    <row r="42" spans="1:12" x14ac:dyDescent="0.35">
      <c r="A42" s="9"/>
      <c r="C42" s="9"/>
      <c r="E42" s="4"/>
      <c r="F42" s="4"/>
      <c r="H42" s="5"/>
      <c r="I42" s="5"/>
      <c r="K42" s="6"/>
      <c r="L42" s="6"/>
    </row>
    <row r="43" spans="1:12" x14ac:dyDescent="0.35">
      <c r="A43" s="9"/>
      <c r="C43" s="9"/>
      <c r="E43" s="4"/>
      <c r="F43" s="4"/>
      <c r="H43" s="5"/>
      <c r="I43" s="5"/>
      <c r="K43" s="6"/>
      <c r="L43" s="6"/>
    </row>
    <row r="44" spans="1:12" x14ac:dyDescent="0.35">
      <c r="A44" s="10"/>
      <c r="C44" s="10"/>
      <c r="E44" s="10"/>
      <c r="F44" s="10"/>
      <c r="H44" s="10"/>
      <c r="I44" s="10"/>
      <c r="K44" s="10"/>
      <c r="L44" s="10"/>
    </row>
    <row r="46" spans="1:12" x14ac:dyDescent="0.35">
      <c r="A46" s="7"/>
      <c r="C46" s="7"/>
      <c r="E46" s="8"/>
      <c r="F46" s="8"/>
      <c r="H46" s="13"/>
      <c r="I46" s="13"/>
      <c r="K46" s="7"/>
      <c r="L46" s="7"/>
    </row>
    <row r="47" spans="1:12" x14ac:dyDescent="0.35">
      <c r="A47" s="6"/>
      <c r="C47" s="6"/>
      <c r="E47" s="4"/>
      <c r="F47" s="4"/>
      <c r="H47" s="5"/>
      <c r="I47" s="5"/>
      <c r="K47" s="6"/>
      <c r="L47" s="7"/>
    </row>
    <row r="48" spans="1:12" x14ac:dyDescent="0.35">
      <c r="A48" s="10"/>
      <c r="C48" s="10"/>
      <c r="E48" s="10"/>
      <c r="F48" s="10"/>
      <c r="H48" s="10"/>
      <c r="I48" s="10"/>
      <c r="K48" s="10"/>
      <c r="L48" s="10"/>
    </row>
    <row r="49" spans="1:12" x14ac:dyDescent="0.35">
      <c r="A49" s="10"/>
      <c r="C49" s="10"/>
      <c r="E49" s="10"/>
      <c r="F49" s="10"/>
      <c r="H49" s="10"/>
      <c r="I49" s="10"/>
      <c r="K49" s="10"/>
      <c r="L49" s="10"/>
    </row>
    <row r="50" spans="1:12" x14ac:dyDescent="0.35">
      <c r="A50" s="11"/>
      <c r="C50" s="11"/>
      <c r="E50" s="4"/>
      <c r="F50" s="4"/>
      <c r="H50" s="5"/>
      <c r="I50" s="5"/>
      <c r="K50" s="6"/>
      <c r="L50" s="6"/>
    </row>
    <row r="51" spans="1:12" x14ac:dyDescent="0.35">
      <c r="A51" s="11"/>
      <c r="C51" s="11"/>
      <c r="E51" s="4"/>
      <c r="F51" s="4"/>
      <c r="H51" s="5"/>
      <c r="I51" s="5"/>
      <c r="K51" s="6"/>
      <c r="L51" s="6"/>
    </row>
    <row r="52" spans="1:12" x14ac:dyDescent="0.35">
      <c r="A52" s="10"/>
      <c r="C52" s="10"/>
      <c r="E52" s="10"/>
      <c r="F52" s="10"/>
      <c r="H52" s="10"/>
      <c r="I52" s="10"/>
      <c r="K52" s="10"/>
      <c r="L52" s="10"/>
    </row>
    <row r="53" spans="1:12" x14ac:dyDescent="0.35">
      <c r="A53" s="10"/>
      <c r="C53" s="10"/>
      <c r="E53" s="10"/>
      <c r="F53" s="10"/>
      <c r="H53" s="10"/>
      <c r="I53" s="10"/>
      <c r="K53" s="10"/>
      <c r="L53" s="10"/>
    </row>
    <row r="54" spans="1:12" x14ac:dyDescent="0.35">
      <c r="A54" s="12"/>
      <c r="C54" s="12"/>
      <c r="E54" s="4"/>
      <c r="F54" s="4"/>
      <c r="H54" s="5"/>
      <c r="I54" s="5"/>
      <c r="K54" s="6"/>
      <c r="L54" s="6"/>
    </row>
    <row r="55" spans="1:12" x14ac:dyDescent="0.35">
      <c r="A55" s="12"/>
      <c r="C55" s="12"/>
      <c r="E55" s="4"/>
      <c r="F55" s="4"/>
      <c r="H55" s="5"/>
      <c r="I55" s="5"/>
      <c r="K55" s="6"/>
      <c r="L55" s="6"/>
    </row>
  </sheetData>
  <sortState xmlns:xlrd2="http://schemas.microsoft.com/office/spreadsheetml/2017/richdata2" ref="A8:L55">
    <sortCondition ref="F8:F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F685-EA78-4FDC-BA82-DE286AE4E613}">
  <sheetPr>
    <tabColor theme="7" tint="0.59999389629810485"/>
  </sheetPr>
  <dimension ref="A1:Q102"/>
  <sheetViews>
    <sheetView topLeftCell="A19" zoomScale="120" zoomScaleNormal="115" workbookViewId="0">
      <selection activeCell="C63" sqref="C63"/>
    </sheetView>
  </sheetViews>
  <sheetFormatPr defaultRowHeight="14.5" x14ac:dyDescent="0.35"/>
  <cols>
    <col min="1" max="1" width="23.54296875" customWidth="1"/>
    <col min="2" max="2" width="6.81640625" customWidth="1"/>
    <col min="3" max="4" width="15.7265625" customWidth="1"/>
    <col min="5" max="5" width="8.1796875" customWidth="1"/>
    <col min="6" max="6" width="10.6328125" customWidth="1"/>
    <col min="7" max="7" width="15.453125" customWidth="1"/>
    <col min="8" max="8" width="5.81640625" customWidth="1"/>
    <col min="9" max="9" width="13.26953125" customWidth="1"/>
    <col min="10" max="10" width="18.453125" customWidth="1"/>
    <col min="11" max="11" width="4.36328125" customWidth="1"/>
    <col min="12" max="13" width="12.6328125" customWidth="1"/>
    <col min="14" max="14" width="3" customWidth="1"/>
    <col min="15" max="15" width="3.54296875" customWidth="1"/>
    <col min="16" max="16" width="12.54296875" customWidth="1"/>
    <col min="17" max="17" width="16.81640625" customWidth="1"/>
  </cols>
  <sheetData>
    <row r="1" spans="1:17" x14ac:dyDescent="0.35">
      <c r="A1" s="375" t="s">
        <v>486</v>
      </c>
      <c r="B1" s="375"/>
      <c r="C1" s="375"/>
    </row>
    <row r="2" spans="1:17" x14ac:dyDescent="0.35">
      <c r="A2" s="355" t="s">
        <v>371</v>
      </c>
      <c r="B2" s="355"/>
      <c r="C2" s="355"/>
    </row>
    <row r="4" spans="1:17" x14ac:dyDescent="0.35">
      <c r="A4" s="10" t="s">
        <v>231</v>
      </c>
      <c r="B4" s="373" t="s">
        <v>497</v>
      </c>
      <c r="C4" s="376"/>
      <c r="D4" s="374"/>
      <c r="E4" s="373" t="s">
        <v>496</v>
      </c>
      <c r="F4" s="374"/>
      <c r="G4" s="10"/>
      <c r="H4" s="10"/>
      <c r="I4" s="356"/>
      <c r="J4" s="356"/>
    </row>
    <row r="5" spans="1:17" x14ac:dyDescent="0.35">
      <c r="A5" s="10"/>
      <c r="B5" s="361" t="s">
        <v>232</v>
      </c>
      <c r="C5" s="362"/>
      <c r="D5" s="363"/>
      <c r="E5" s="348" t="s">
        <v>233</v>
      </c>
      <c r="F5" s="348"/>
      <c r="G5" s="352" t="s">
        <v>234</v>
      </c>
      <c r="H5" s="352"/>
      <c r="I5" s="357" t="s">
        <v>235</v>
      </c>
      <c r="J5" s="357"/>
    </row>
    <row r="6" spans="1:17" x14ac:dyDescent="0.35">
      <c r="A6" s="66" t="s">
        <v>237</v>
      </c>
      <c r="B6" s="370">
        <v>15000</v>
      </c>
      <c r="C6" s="371"/>
      <c r="D6" s="372"/>
      <c r="E6" s="348"/>
      <c r="F6" s="348"/>
      <c r="G6" s="352"/>
      <c r="H6" s="352"/>
      <c r="I6" s="350">
        <f>B6</f>
        <v>15000</v>
      </c>
      <c r="J6" s="350"/>
      <c r="P6" t="s">
        <v>287</v>
      </c>
    </row>
    <row r="7" spans="1:17" x14ac:dyDescent="0.35">
      <c r="A7" s="66" t="s">
        <v>26</v>
      </c>
      <c r="B7" s="370">
        <v>1350</v>
      </c>
      <c r="C7" s="371"/>
      <c r="D7" s="372"/>
      <c r="E7" s="348">
        <v>68.02</v>
      </c>
      <c r="F7" s="348"/>
      <c r="G7" s="353">
        <f>B7/E7/100</f>
        <v>0.19847103793002061</v>
      </c>
      <c r="H7" s="353"/>
      <c r="I7" s="351" t="str">
        <f>ROUND((1.5)/(1+G7),2)&amp; " Sec GCD"</f>
        <v>1.25 Sec GCD</v>
      </c>
      <c r="J7" s="351"/>
      <c r="L7" t="s">
        <v>197</v>
      </c>
      <c r="M7" s="198">
        <f>B7</f>
        <v>1350</v>
      </c>
    </row>
    <row r="8" spans="1:17" x14ac:dyDescent="0.35">
      <c r="A8" s="66" t="s">
        <v>240</v>
      </c>
      <c r="B8" s="370">
        <v>3000</v>
      </c>
      <c r="C8" s="371"/>
      <c r="D8" s="372"/>
      <c r="E8" s="348">
        <v>84.96</v>
      </c>
      <c r="F8" s="348"/>
      <c r="G8" s="353">
        <f>B8/E8/100</f>
        <v>0.35310734463276838</v>
      </c>
      <c r="H8" s="353"/>
      <c r="I8" s="350">
        <f>I6*(G8 + 1)</f>
        <v>20296.610169491527</v>
      </c>
      <c r="J8" s="350"/>
      <c r="L8" t="s">
        <v>26</v>
      </c>
      <c r="M8" s="100">
        <f>M7/68/100</f>
        <v>0.19852941176470587</v>
      </c>
      <c r="P8" s="347" t="s">
        <v>288</v>
      </c>
      <c r="Q8" s="347"/>
    </row>
    <row r="9" spans="1:17" x14ac:dyDescent="0.35">
      <c r="A9" s="66" t="s">
        <v>242</v>
      </c>
      <c r="B9" s="370">
        <v>1250</v>
      </c>
      <c r="C9" s="371"/>
      <c r="D9" s="372"/>
      <c r="E9" s="348">
        <v>72.03</v>
      </c>
      <c r="F9" s="348"/>
      <c r="G9" s="353">
        <f>(B9/E9/100) + 5%</f>
        <v>0.22353880327641262</v>
      </c>
      <c r="H9" s="353"/>
      <c r="I9" s="350">
        <f>(I6 * (2*G9))</f>
        <v>6706.1640982923791</v>
      </c>
      <c r="J9" s="350"/>
      <c r="L9" t="s">
        <v>27</v>
      </c>
      <c r="M9">
        <f>1.5 /(1+M8)</f>
        <v>1.2515337423312884</v>
      </c>
      <c r="P9" s="347" t="s">
        <v>289</v>
      </c>
      <c r="Q9" s="347"/>
    </row>
    <row r="10" spans="1:17" x14ac:dyDescent="0.35">
      <c r="A10" s="66"/>
      <c r="B10" s="370"/>
      <c r="C10" s="371"/>
      <c r="D10" s="372"/>
      <c r="E10" s="348"/>
      <c r="F10" s="348"/>
      <c r="G10" s="369"/>
      <c r="H10" s="369"/>
      <c r="I10" s="350"/>
      <c r="J10" s="350"/>
      <c r="P10" s="347" t="s">
        <v>290</v>
      </c>
      <c r="Q10" s="347"/>
    </row>
    <row r="11" spans="1:17" x14ac:dyDescent="0.35">
      <c r="A11" s="69" t="s">
        <v>134</v>
      </c>
      <c r="B11" s="364">
        <v>100000</v>
      </c>
      <c r="C11" s="365"/>
      <c r="D11" s="366"/>
      <c r="E11" s="356"/>
      <c r="F11" s="356"/>
      <c r="G11" s="10"/>
      <c r="H11" s="10"/>
      <c r="I11" s="356"/>
      <c r="J11" s="356"/>
    </row>
    <row r="12" spans="1:17" x14ac:dyDescent="0.35">
      <c r="A12" s="300"/>
      <c r="B12" s="300"/>
      <c r="C12" s="300"/>
      <c r="D12" s="300"/>
      <c r="E12" s="300"/>
      <c r="F12" s="300"/>
      <c r="I12" s="300"/>
      <c r="J12" s="300"/>
    </row>
    <row r="13" spans="1:17" ht="17" customHeight="1" x14ac:dyDescent="0.35">
      <c r="A13" s="300"/>
      <c r="B13" s="300"/>
      <c r="C13" s="300"/>
      <c r="D13" s="300"/>
      <c r="E13" s="300"/>
      <c r="F13" s="300"/>
      <c r="I13" s="367" t="s">
        <v>262</v>
      </c>
      <c r="J13" s="367"/>
    </row>
    <row r="14" spans="1:17" x14ac:dyDescent="0.35">
      <c r="A14" s="300"/>
      <c r="B14" s="300"/>
      <c r="C14" s="300"/>
      <c r="D14" s="300"/>
      <c r="E14" s="300"/>
      <c r="F14" s="300"/>
      <c r="I14" s="367"/>
      <c r="J14" s="367"/>
    </row>
    <row r="15" spans="1:17" x14ac:dyDescent="0.35">
      <c r="C15" s="300"/>
      <c r="D15" s="300"/>
      <c r="E15" s="300"/>
      <c r="I15" s="368"/>
      <c r="J15" s="368"/>
      <c r="L15" t="s">
        <v>60</v>
      </c>
      <c r="M15" t="s">
        <v>50</v>
      </c>
      <c r="P15" t="s">
        <v>103</v>
      </c>
    </row>
    <row r="16" spans="1:17" x14ac:dyDescent="0.35">
      <c r="A16" s="1" t="s">
        <v>2</v>
      </c>
      <c r="C16" s="3" t="s">
        <v>4</v>
      </c>
      <c r="D16" s="247" t="s">
        <v>303</v>
      </c>
      <c r="F16" s="4" t="s">
        <v>5</v>
      </c>
      <c r="G16" s="4" t="s">
        <v>6</v>
      </c>
      <c r="I16" s="5" t="s">
        <v>7</v>
      </c>
      <c r="J16" s="5" t="s">
        <v>8</v>
      </c>
      <c r="L16" s="66" t="s">
        <v>57</v>
      </c>
      <c r="M16" s="66" t="s">
        <v>61</v>
      </c>
      <c r="P16" s="6" t="s">
        <v>104</v>
      </c>
    </row>
    <row r="17" spans="1:16" x14ac:dyDescent="0.35">
      <c r="A17" s="5" t="s">
        <v>515</v>
      </c>
      <c r="B17" s="2"/>
      <c r="C17" s="51"/>
      <c r="D17" s="249">
        <v>1</v>
      </c>
      <c r="F17" s="4"/>
      <c r="G17" s="4"/>
      <c r="I17" s="5"/>
      <c r="J17" s="5"/>
      <c r="L17" s="66"/>
      <c r="M17" s="66"/>
      <c r="P17" s="6"/>
    </row>
    <row r="18" spans="1:16" x14ac:dyDescent="0.35">
      <c r="A18" s="1" t="s">
        <v>11</v>
      </c>
      <c r="B18" s="2"/>
      <c r="C18" s="333">
        <f>440%</f>
        <v>4.4000000000000004</v>
      </c>
      <c r="D18" s="249">
        <f>C18*D17</f>
        <v>4.4000000000000004</v>
      </c>
      <c r="F18" s="52">
        <f>0.4% * 8</f>
        <v>3.2000000000000001E-2</v>
      </c>
      <c r="G18" s="91">
        <f>(C18 / F18)</f>
        <v>137.5</v>
      </c>
      <c r="I18" s="61">
        <f>8/(1+M8)</f>
        <v>6.6748466257668717</v>
      </c>
      <c r="J18" s="55">
        <f xml:space="preserve"> (C18 / I18)</f>
        <v>0.65919117647058822</v>
      </c>
      <c r="L18" s="66" t="s">
        <v>63</v>
      </c>
      <c r="M18" s="66"/>
      <c r="P18" s="6"/>
    </row>
    <row r="19" spans="1:16" x14ac:dyDescent="0.35">
      <c r="A19" s="5" t="s">
        <v>487</v>
      </c>
      <c r="B19" s="332"/>
      <c r="C19" s="333">
        <v>1.01</v>
      </c>
      <c r="D19" s="334">
        <f>C19*D17</f>
        <v>1.01</v>
      </c>
      <c r="E19" s="13"/>
      <c r="F19" s="55">
        <v>0.05</v>
      </c>
      <c r="G19" s="335">
        <f>(C19 / F19)</f>
        <v>20.2</v>
      </c>
      <c r="H19" s="13"/>
      <c r="I19" s="61">
        <f>M9</f>
        <v>1.2515337423312884</v>
      </c>
      <c r="J19" s="55">
        <f xml:space="preserve"> (C19 / I19)</f>
        <v>0.80700980392156851</v>
      </c>
      <c r="K19" s="13"/>
      <c r="L19" s="5" t="s">
        <v>58</v>
      </c>
      <c r="M19" s="5"/>
      <c r="N19" s="13"/>
      <c r="O19" s="13"/>
      <c r="P19" s="5">
        <v>15</v>
      </c>
    </row>
    <row r="20" spans="1:16" x14ac:dyDescent="0.35">
      <c r="A20" s="1" t="s">
        <v>12</v>
      </c>
      <c r="B20" s="2"/>
      <c r="C20" s="333">
        <f>225%</f>
        <v>2.25</v>
      </c>
      <c r="D20" s="249">
        <f>C20*D17</f>
        <v>2.25</v>
      </c>
      <c r="F20" s="55">
        <v>2.1999999999999999E-2</v>
      </c>
      <c r="G20" s="91">
        <f t="shared" ref="G20:G24" si="0">(C20 / F20)</f>
        <v>102.27272727272728</v>
      </c>
      <c r="I20" s="61">
        <v>20</v>
      </c>
      <c r="J20" s="55">
        <f xml:space="preserve"> (C20/I20)</f>
        <v>0.1125</v>
      </c>
      <c r="L20" s="66" t="s">
        <v>56</v>
      </c>
      <c r="M20" s="66"/>
      <c r="P20" s="301">
        <v>9</v>
      </c>
    </row>
    <row r="21" spans="1:16" x14ac:dyDescent="0.35">
      <c r="A21" s="1" t="s">
        <v>13</v>
      </c>
      <c r="B21" s="2"/>
      <c r="C21" s="336">
        <v>3.6</v>
      </c>
      <c r="D21" s="249">
        <f>C21*D17</f>
        <v>3.6</v>
      </c>
      <c r="F21" s="55">
        <v>0.06</v>
      </c>
      <c r="G21" s="91">
        <f t="shared" si="0"/>
        <v>60.000000000000007</v>
      </c>
      <c r="I21" s="61">
        <v>6</v>
      </c>
      <c r="J21" s="55">
        <f t="shared" ref="J21:J24" si="1" xml:space="preserve"> (C21/I21)</f>
        <v>0.6</v>
      </c>
      <c r="L21" s="66" t="s">
        <v>56</v>
      </c>
      <c r="M21" s="66"/>
      <c r="P21" s="301"/>
    </row>
    <row r="22" spans="1:16" x14ac:dyDescent="0.35">
      <c r="A22" s="1" t="s">
        <v>53</v>
      </c>
      <c r="B22" s="2"/>
      <c r="C22" s="54">
        <f>141% + (1)*(104%)</f>
        <v>2.4500000000000002</v>
      </c>
      <c r="D22" s="250">
        <f>C22*D17</f>
        <v>2.4500000000000002</v>
      </c>
      <c r="F22" s="55">
        <v>4.1000000000000002E-2</v>
      </c>
      <c r="G22" s="91">
        <f t="shared" si="0"/>
        <v>59.756097560975611</v>
      </c>
      <c r="I22" s="61">
        <f>M9</f>
        <v>1.2515337423312884</v>
      </c>
      <c r="J22" s="55">
        <f t="shared" si="1"/>
        <v>1.9575980392156862</v>
      </c>
      <c r="L22" s="66"/>
      <c r="M22" s="66" t="s">
        <v>58</v>
      </c>
      <c r="P22" s="301"/>
    </row>
    <row r="23" spans="1:16" x14ac:dyDescent="0.35">
      <c r="A23" s="1" t="s">
        <v>105</v>
      </c>
      <c r="B23" s="2"/>
      <c r="C23" s="54">
        <f>141% + (104%*2)</f>
        <v>3.49</v>
      </c>
      <c r="D23" s="249">
        <f>C23*D17</f>
        <v>3.49</v>
      </c>
      <c r="F23" s="55">
        <f>F22</f>
        <v>4.1000000000000002E-2</v>
      </c>
      <c r="G23" s="91">
        <f t="shared" si="0"/>
        <v>85.121951219512198</v>
      </c>
      <c r="I23" s="61">
        <f>M9</f>
        <v>1.2515337423312884</v>
      </c>
      <c r="J23" s="55">
        <f t="shared" si="1"/>
        <v>2.788578431372549</v>
      </c>
      <c r="L23" s="66"/>
      <c r="M23" s="66" t="s">
        <v>58</v>
      </c>
      <c r="P23" s="301"/>
    </row>
    <row r="24" spans="1:16" x14ac:dyDescent="0.35">
      <c r="A24" s="1" t="s">
        <v>84</v>
      </c>
      <c r="B24" s="2"/>
      <c r="C24" s="54">
        <f>141% + (104%*3)</f>
        <v>4.53</v>
      </c>
      <c r="D24" s="249">
        <f>C24*D17</f>
        <v>4.53</v>
      </c>
      <c r="F24" s="55">
        <f>F22</f>
        <v>4.1000000000000002E-2</v>
      </c>
      <c r="G24" s="91">
        <f t="shared" si="0"/>
        <v>110.48780487804878</v>
      </c>
      <c r="I24" s="61">
        <f>M9</f>
        <v>1.2515337423312884</v>
      </c>
      <c r="J24" s="55">
        <f t="shared" si="1"/>
        <v>3.6195588235294118</v>
      </c>
      <c r="L24" s="66"/>
      <c r="M24" s="66" t="s">
        <v>58</v>
      </c>
      <c r="P24" s="301"/>
    </row>
    <row r="25" spans="1:16" x14ac:dyDescent="0.35">
      <c r="A25" s="1" t="s">
        <v>76</v>
      </c>
      <c r="B25" s="2"/>
      <c r="C25" s="54">
        <f xml:space="preserve"> (47.2% * 18) + (16.8% * 5)</f>
        <v>9.3360000000000003</v>
      </c>
      <c r="D25" s="250">
        <f>C25*D17</f>
        <v>9.3360000000000003</v>
      </c>
      <c r="F25" s="52">
        <v>7.1999999999999995E-2</v>
      </c>
      <c r="G25" s="91">
        <f t="shared" ref="G25:G30" si="2">(C25 / F25)</f>
        <v>129.66666666666669</v>
      </c>
      <c r="I25" s="61">
        <f>8/(1+M8)</f>
        <v>6.6748466257668717</v>
      </c>
      <c r="J25" s="55">
        <f t="shared" ref="J25:J30" si="3" xml:space="preserve"> (C25/I25)</f>
        <v>1.3986838235294117</v>
      </c>
      <c r="L25" s="66"/>
      <c r="M25" s="66" t="s">
        <v>62</v>
      </c>
      <c r="P25" s="301">
        <v>12</v>
      </c>
    </row>
    <row r="26" spans="1:16" x14ac:dyDescent="0.35">
      <c r="A26" s="1" t="s">
        <v>77</v>
      </c>
      <c r="B26" s="2"/>
      <c r="C26" s="54">
        <f xml:space="preserve"> (3 * (6 *(47.2% + 16.8%)))</f>
        <v>11.52</v>
      </c>
      <c r="D26" s="249">
        <f>C26*D17</f>
        <v>11.52</v>
      </c>
      <c r="F26" s="52">
        <v>7.1999999999999995E-2</v>
      </c>
      <c r="G26" s="91">
        <f t="shared" si="2"/>
        <v>160</v>
      </c>
      <c r="I26" s="61">
        <f>8/(1+M8)</f>
        <v>6.6748466257668717</v>
      </c>
      <c r="J26" s="55">
        <f t="shared" si="3"/>
        <v>1.7258823529411762</v>
      </c>
      <c r="L26" s="66"/>
      <c r="M26" s="66" t="s">
        <v>62</v>
      </c>
      <c r="P26" s="301">
        <v>12</v>
      </c>
    </row>
    <row r="27" spans="1:16" x14ac:dyDescent="0.35">
      <c r="A27" s="1" t="s">
        <v>54</v>
      </c>
      <c r="B27" s="2"/>
      <c r="C27" s="57">
        <f>1100%</f>
        <v>11</v>
      </c>
      <c r="D27" s="249">
        <f>C27*D17</f>
        <v>11</v>
      </c>
      <c r="F27" s="52">
        <v>2.4E-2</v>
      </c>
      <c r="G27" s="91">
        <f t="shared" si="2"/>
        <v>458.33333333333331</v>
      </c>
      <c r="I27" s="61">
        <v>12</v>
      </c>
      <c r="J27" s="55">
        <f t="shared" si="3"/>
        <v>0.91666666666666663</v>
      </c>
      <c r="L27" s="66" t="s">
        <v>59</v>
      </c>
      <c r="M27" s="66"/>
      <c r="P27" s="301">
        <f>2*60</f>
        <v>120</v>
      </c>
    </row>
    <row r="28" spans="1:16" x14ac:dyDescent="0.35">
      <c r="A28" s="1" t="s">
        <v>98</v>
      </c>
      <c r="B28" s="2"/>
      <c r="C28" s="54">
        <f>315%*5</f>
        <v>15.75</v>
      </c>
      <c r="D28" s="250">
        <f>C28*D17</f>
        <v>15.75</v>
      </c>
      <c r="F28" s="52">
        <v>4.3740000000000001E-2</v>
      </c>
      <c r="G28" s="91">
        <f t="shared" si="2"/>
        <v>360.08230452674894</v>
      </c>
      <c r="I28" s="61">
        <f>M9</f>
        <v>1.2515337423312884</v>
      </c>
      <c r="J28" s="55">
        <f t="shared" si="3"/>
        <v>12.584558823529411</v>
      </c>
      <c r="L28" s="66"/>
      <c r="M28" s="66" t="s">
        <v>58</v>
      </c>
      <c r="P28" s="301">
        <f>3*60</f>
        <v>180</v>
      </c>
    </row>
    <row r="29" spans="1:16" x14ac:dyDescent="0.35">
      <c r="A29" s="1" t="s">
        <v>78</v>
      </c>
      <c r="B29" s="2"/>
      <c r="C29" s="54">
        <f>315%*20</f>
        <v>63</v>
      </c>
      <c r="D29" s="249">
        <f>C29*D17</f>
        <v>63</v>
      </c>
      <c r="F29" s="52">
        <v>4.3740000000000001E-2</v>
      </c>
      <c r="G29" s="91">
        <f t="shared" si="2"/>
        <v>1440.3292181069958</v>
      </c>
      <c r="I29" s="61">
        <f>M9</f>
        <v>1.2515337423312884</v>
      </c>
      <c r="J29" s="55">
        <f t="shared" si="3"/>
        <v>50.338235294117645</v>
      </c>
      <c r="L29" s="66"/>
      <c r="M29" s="66" t="s">
        <v>58</v>
      </c>
      <c r="P29" s="301">
        <f>3*60</f>
        <v>180</v>
      </c>
    </row>
    <row r="30" spans="1:16" x14ac:dyDescent="0.35">
      <c r="A30" s="316" t="s">
        <v>488</v>
      </c>
      <c r="B30" s="332"/>
      <c r="C30" s="54">
        <f>45%*3*(25/1.5)</f>
        <v>22.500000000000004</v>
      </c>
      <c r="D30" s="334">
        <f>C30*D17</f>
        <v>22.500000000000004</v>
      </c>
      <c r="E30" s="13"/>
      <c r="F30" s="55">
        <v>0</v>
      </c>
      <c r="G30" s="335" t="e">
        <f t="shared" si="2"/>
        <v>#DIV/0!</v>
      </c>
      <c r="H30" s="13"/>
      <c r="I30" s="61">
        <f>M9</f>
        <v>1.2515337423312884</v>
      </c>
      <c r="J30" s="55">
        <f t="shared" si="3"/>
        <v>17.977941176470591</v>
      </c>
      <c r="K30" s="13"/>
      <c r="L30" s="5"/>
      <c r="M30" s="5" t="s">
        <v>489</v>
      </c>
      <c r="N30" s="13"/>
      <c r="O30" s="13"/>
      <c r="P30" s="337">
        <v>180</v>
      </c>
    </row>
    <row r="32" spans="1:16" x14ac:dyDescent="0.35">
      <c r="A32" s="4" t="s">
        <v>19</v>
      </c>
      <c r="C32" s="4" t="s">
        <v>4</v>
      </c>
      <c r="D32" s="4" t="s">
        <v>303</v>
      </c>
      <c r="F32" s="4" t="s">
        <v>5</v>
      </c>
      <c r="G32" s="4" t="s">
        <v>6</v>
      </c>
      <c r="I32" s="5" t="s">
        <v>7</v>
      </c>
      <c r="J32" s="5" t="s">
        <v>8</v>
      </c>
      <c r="L32" s="66" t="s">
        <v>57</v>
      </c>
      <c r="M32" s="66" t="s">
        <v>61</v>
      </c>
      <c r="P32" s="301"/>
    </row>
    <row r="33" spans="1:16" x14ac:dyDescent="0.35">
      <c r="A33" s="5" t="s">
        <v>490</v>
      </c>
      <c r="C33" s="4"/>
      <c r="D33" s="257">
        <v>1.4</v>
      </c>
      <c r="F33" s="4"/>
      <c r="G33" s="4"/>
      <c r="I33" s="5"/>
      <c r="J33" s="5"/>
      <c r="L33" s="66"/>
      <c r="M33" s="66"/>
      <c r="P33" s="301"/>
    </row>
    <row r="34" spans="1:16" x14ac:dyDescent="0.35">
      <c r="A34" s="4" t="s">
        <v>20</v>
      </c>
      <c r="C34" s="333">
        <f>329%</f>
        <v>3.29</v>
      </c>
      <c r="D34" s="257">
        <f>C34*D33</f>
        <v>4.6059999999999999</v>
      </c>
      <c r="F34" s="120">
        <f>14%/5</f>
        <v>2.8000000000000004E-2</v>
      </c>
      <c r="G34" s="91">
        <f>(C34 / F34)</f>
        <v>117.49999999999999</v>
      </c>
      <c r="I34" s="61">
        <f>2.5/(1+M8)</f>
        <v>2.0858895705521472</v>
      </c>
      <c r="J34" s="54">
        <f xml:space="preserve"> (C34 / I34)</f>
        <v>1.577264705882353</v>
      </c>
      <c r="L34" s="66" t="s">
        <v>58</v>
      </c>
      <c r="M34" s="66"/>
      <c r="P34" s="301"/>
    </row>
    <row r="35" spans="1:16" x14ac:dyDescent="0.35">
      <c r="A35" s="4" t="s">
        <v>23</v>
      </c>
      <c r="C35" s="237">
        <f>66.25% + (66.25%)*1.15</f>
        <v>1.4243749999999999</v>
      </c>
      <c r="D35" s="257">
        <f>C35*D33</f>
        <v>1.9941249999999997</v>
      </c>
      <c r="F35" s="52">
        <f>320/20000</f>
        <v>1.6E-2</v>
      </c>
      <c r="G35" s="91">
        <f t="shared" ref="G35" si="4">(C35 / F35)</f>
        <v>89.0234375</v>
      </c>
      <c r="I35" s="61">
        <f>15+3</f>
        <v>18</v>
      </c>
      <c r="J35" s="55">
        <f t="shared" ref="J35" si="5" xml:space="preserve"> (C35/I35)</f>
        <v>7.9131944444444435E-2</v>
      </c>
      <c r="L35" s="66" t="s">
        <v>56</v>
      </c>
      <c r="M35" s="66"/>
      <c r="P35" s="301">
        <v>6</v>
      </c>
    </row>
    <row r="36" spans="1:16" x14ac:dyDescent="0.35">
      <c r="A36" s="4" t="s">
        <v>21</v>
      </c>
      <c r="C36" s="54">
        <f>248%*1.1</f>
        <v>2.7280000000000002</v>
      </c>
      <c r="D36" s="257">
        <f>C36*D33</f>
        <v>3.8191999999999999</v>
      </c>
      <c r="F36" s="55">
        <f>23%/5</f>
        <v>4.5999999999999999E-2</v>
      </c>
      <c r="G36" s="91">
        <f>(C36 / F36)</f>
        <v>59.304347826086961</v>
      </c>
      <c r="I36" s="61">
        <f>M9</f>
        <v>1.2515337423312884</v>
      </c>
      <c r="J36" s="54">
        <f xml:space="preserve"> (C36/I36)</f>
        <v>2.1797254901960783</v>
      </c>
      <c r="L36" s="66" t="s">
        <v>58</v>
      </c>
      <c r="M36" s="66"/>
      <c r="P36" s="301"/>
    </row>
    <row r="37" spans="1:16" x14ac:dyDescent="0.35">
      <c r="A37" s="5" t="s">
        <v>491</v>
      </c>
      <c r="B37" s="13"/>
      <c r="C37" s="54">
        <f>36.5%*1.1*9</f>
        <v>3.6135000000000002</v>
      </c>
      <c r="D37" s="334">
        <f>C37*D34</f>
        <v>16.643781000000001</v>
      </c>
      <c r="E37" s="13"/>
      <c r="F37" s="55">
        <v>0</v>
      </c>
      <c r="G37" s="335"/>
      <c r="H37" s="13"/>
      <c r="I37" s="61">
        <f>M9</f>
        <v>1.2515337423312884</v>
      </c>
      <c r="J37" s="54">
        <f xml:space="preserve"> (C37/I37)</f>
        <v>2.8872573529411762</v>
      </c>
      <c r="K37" s="13"/>
      <c r="L37" s="5" t="s">
        <v>489</v>
      </c>
      <c r="M37" s="5"/>
      <c r="N37" s="13"/>
      <c r="O37" s="13"/>
      <c r="P37" s="337"/>
    </row>
    <row r="38" spans="1:16" x14ac:dyDescent="0.35">
      <c r="A38" s="4" t="s">
        <v>79</v>
      </c>
      <c r="C38" s="54">
        <f>255.5%+(255.5%*70%)+(255.5%*40%)</f>
        <v>5.3655000000000008</v>
      </c>
      <c r="D38" s="257">
        <f>C38*D33</f>
        <v>7.5117000000000003</v>
      </c>
      <c r="F38" s="55">
        <f>30%/5</f>
        <v>0.06</v>
      </c>
      <c r="G38" s="91">
        <f>(C38 / F38)</f>
        <v>89.425000000000011</v>
      </c>
      <c r="I38" s="61">
        <f>2.5/(1+M8)</f>
        <v>2.0858895705521472</v>
      </c>
      <c r="J38" s="54">
        <f xml:space="preserve"> (C38/I38)</f>
        <v>2.5722838235294123</v>
      </c>
      <c r="L38" s="66"/>
      <c r="M38" s="66" t="s">
        <v>58</v>
      </c>
      <c r="P38" s="301"/>
    </row>
    <row r="39" spans="1:16" x14ac:dyDescent="0.35">
      <c r="A39" s="4" t="s">
        <v>80</v>
      </c>
      <c r="C39" s="54">
        <f>29.5%*6*6 *1.2</f>
        <v>12.744000000000002</v>
      </c>
      <c r="D39" s="257">
        <f>C39*D33</f>
        <v>17.8416</v>
      </c>
      <c r="F39" s="52">
        <f>21.6%/5</f>
        <v>4.3200000000000002E-2</v>
      </c>
      <c r="G39" s="91">
        <f t="shared" ref="G39:G40" si="6">(C39 / F39)</f>
        <v>295</v>
      </c>
      <c r="I39" s="61">
        <v>10</v>
      </c>
      <c r="J39" s="55">
        <f t="shared" ref="J39:J40" si="7" xml:space="preserve"> (C39/I39)</f>
        <v>1.2744000000000002</v>
      </c>
      <c r="L39" s="66"/>
      <c r="M39" s="66" t="s">
        <v>56</v>
      </c>
      <c r="P39" s="301">
        <v>10</v>
      </c>
    </row>
    <row r="40" spans="1:16" x14ac:dyDescent="0.35">
      <c r="A40" s="4" t="s">
        <v>52</v>
      </c>
      <c r="C40" s="54">
        <f>47% * (30/2)</f>
        <v>7.05</v>
      </c>
      <c r="D40" s="257">
        <f>C40*D33</f>
        <v>9.8699999999999992</v>
      </c>
      <c r="F40" s="55">
        <f>9%/5</f>
        <v>1.7999999999999999E-2</v>
      </c>
      <c r="G40" s="91">
        <f t="shared" si="6"/>
        <v>391.66666666666669</v>
      </c>
      <c r="I40" s="61">
        <v>30</v>
      </c>
      <c r="J40" s="55">
        <f t="shared" si="7"/>
        <v>0.23499999999999999</v>
      </c>
      <c r="L40" s="66" t="s">
        <v>56</v>
      </c>
      <c r="M40" s="66"/>
      <c r="P40" s="301">
        <v>30</v>
      </c>
    </row>
    <row r="41" spans="1:16" x14ac:dyDescent="0.35">
      <c r="A41" s="4" t="s">
        <v>81</v>
      </c>
      <c r="C41" s="54">
        <f>35% * (12/2) * 20</f>
        <v>41.999999999999993</v>
      </c>
      <c r="D41" s="257">
        <f>C41*D33</f>
        <v>58.799999999999983</v>
      </c>
      <c r="F41" s="52">
        <f>224/20000</f>
        <v>1.12E-2</v>
      </c>
      <c r="G41" s="91">
        <f>C41/F41</f>
        <v>3749.9999999999995</v>
      </c>
      <c r="I41" s="61">
        <v>15</v>
      </c>
      <c r="J41" s="55">
        <f>C41/I41</f>
        <v>2.7999999999999994</v>
      </c>
      <c r="L41" s="66"/>
      <c r="M41" s="66" t="s">
        <v>56</v>
      </c>
      <c r="P41" s="301">
        <f>3*60</f>
        <v>180</v>
      </c>
    </row>
    <row r="42" spans="1:16" x14ac:dyDescent="0.35">
      <c r="A42" s="4" t="s">
        <v>99</v>
      </c>
      <c r="C42" s="54">
        <f>35% * (12/2) * 5</f>
        <v>10.499999999999998</v>
      </c>
      <c r="D42" s="257">
        <f>C42*D33</f>
        <v>14.699999999999996</v>
      </c>
      <c r="F42" s="52">
        <f>224/20000</f>
        <v>1.12E-2</v>
      </c>
      <c r="G42" s="91">
        <f>C42/F42</f>
        <v>937.49999999999989</v>
      </c>
      <c r="I42" s="61">
        <v>15</v>
      </c>
      <c r="J42" s="55">
        <f>C42/I42</f>
        <v>0.69999999999999984</v>
      </c>
      <c r="L42" s="66"/>
      <c r="M42" s="66" t="s">
        <v>56</v>
      </c>
      <c r="P42" s="301">
        <f>3*60</f>
        <v>180</v>
      </c>
    </row>
    <row r="43" spans="1:16" x14ac:dyDescent="0.35">
      <c r="P43" s="300"/>
    </row>
    <row r="44" spans="1:16" x14ac:dyDescent="0.35">
      <c r="A44" s="6" t="s">
        <v>28</v>
      </c>
      <c r="C44" s="6" t="s">
        <v>4</v>
      </c>
      <c r="D44" s="6" t="s">
        <v>304</v>
      </c>
      <c r="F44" s="4" t="s">
        <v>5</v>
      </c>
      <c r="G44" s="4" t="s">
        <v>6</v>
      </c>
      <c r="I44" s="5" t="s">
        <v>7</v>
      </c>
      <c r="J44" s="5" t="s">
        <v>8</v>
      </c>
      <c r="L44" s="66" t="s">
        <v>57</v>
      </c>
      <c r="M44" s="66" t="s">
        <v>61</v>
      </c>
      <c r="P44" s="301"/>
    </row>
    <row r="45" spans="1:16" x14ac:dyDescent="0.35">
      <c r="A45" s="5" t="s">
        <v>515</v>
      </c>
      <c r="C45" s="58"/>
      <c r="D45" s="334">
        <v>1</v>
      </c>
      <c r="F45" s="4"/>
      <c r="G45" s="4"/>
      <c r="I45" s="5"/>
      <c r="J45" s="5"/>
      <c r="L45" s="66"/>
      <c r="M45" s="66"/>
      <c r="P45" s="301"/>
    </row>
    <row r="46" spans="1:16" x14ac:dyDescent="0.35">
      <c r="A46" s="6" t="s">
        <v>32</v>
      </c>
      <c r="C46" s="333">
        <f>173%+43.2%</f>
        <v>2.1619999999999999</v>
      </c>
      <c r="D46" s="251">
        <f>C46*D45</f>
        <v>2.1619999999999999</v>
      </c>
      <c r="F46" s="55">
        <f>17%/5</f>
        <v>3.4000000000000002E-2</v>
      </c>
      <c r="G46" s="91">
        <f>(C46 / F46)</f>
        <v>63.588235294117638</v>
      </c>
      <c r="I46" s="61">
        <v>12</v>
      </c>
      <c r="J46" s="55">
        <f xml:space="preserve"> (C46/I46)</f>
        <v>0.18016666666666667</v>
      </c>
      <c r="L46" s="66" t="s">
        <v>64</v>
      </c>
      <c r="M46" s="66"/>
      <c r="P46" s="301"/>
    </row>
    <row r="47" spans="1:16" x14ac:dyDescent="0.35">
      <c r="A47" s="6" t="s">
        <v>30</v>
      </c>
      <c r="C47" s="333">
        <f>104%</f>
        <v>1.04</v>
      </c>
      <c r="D47" s="251">
        <f>C47*D45</f>
        <v>1.04</v>
      </c>
      <c r="F47" s="55">
        <f>11%/5</f>
        <v>2.1999999999999999E-2</v>
      </c>
      <c r="G47" s="91">
        <f t="shared" ref="G47:G48" si="8">(C47 / F47)</f>
        <v>47.27272727272728</v>
      </c>
      <c r="I47" s="61">
        <v>15</v>
      </c>
      <c r="J47" s="55">
        <f t="shared" ref="J47:J48" si="9" xml:space="preserve"> (C47/I47)</f>
        <v>6.933333333333333E-2</v>
      </c>
      <c r="L47" s="66" t="s">
        <v>56</v>
      </c>
      <c r="M47" s="66"/>
      <c r="P47" s="301"/>
    </row>
    <row r="48" spans="1:16" x14ac:dyDescent="0.35">
      <c r="A48" s="6" t="s">
        <v>31</v>
      </c>
      <c r="C48" s="333">
        <f>195%+115%</f>
        <v>3.0999999999999996</v>
      </c>
      <c r="D48" s="251">
        <f>C48*D45</f>
        <v>3.0999999999999996</v>
      </c>
      <c r="F48" s="55">
        <f>8%/5</f>
        <v>1.6E-2</v>
      </c>
      <c r="G48" s="91">
        <f t="shared" si="8"/>
        <v>193.74999999999997</v>
      </c>
      <c r="I48" s="61">
        <v>15</v>
      </c>
      <c r="J48" s="55">
        <f t="shared" si="9"/>
        <v>0.20666666666666664</v>
      </c>
      <c r="L48" s="66" t="s">
        <v>56</v>
      </c>
      <c r="M48" s="66"/>
      <c r="P48" s="301"/>
    </row>
    <row r="49" spans="1:16" x14ac:dyDescent="0.35">
      <c r="A49" s="6" t="s">
        <v>33</v>
      </c>
      <c r="C49" s="333">
        <f>345%</f>
        <v>3.45</v>
      </c>
      <c r="D49" s="251">
        <f>C49*D45</f>
        <v>3.45</v>
      </c>
      <c r="F49" s="55">
        <f>8%/5</f>
        <v>1.6E-2</v>
      </c>
      <c r="G49" s="91">
        <f>(C49 / F49)</f>
        <v>215.625</v>
      </c>
      <c r="I49" s="61">
        <f>M9</f>
        <v>1.2515337423312884</v>
      </c>
      <c r="J49" s="54">
        <f xml:space="preserve"> (C49/I49)</f>
        <v>2.7566176470588233</v>
      </c>
      <c r="L49" s="66" t="s">
        <v>58</v>
      </c>
      <c r="M49" s="66"/>
      <c r="P49" s="337">
        <v>15</v>
      </c>
    </row>
    <row r="50" spans="1:16" x14ac:dyDescent="0.35">
      <c r="A50" s="6" t="s">
        <v>86</v>
      </c>
      <c r="C50" s="54">
        <f>6*91%</f>
        <v>5.46</v>
      </c>
      <c r="D50" s="251">
        <f>C50*D45</f>
        <v>5.46</v>
      </c>
      <c r="F50" s="55">
        <f>22%/5</f>
        <v>4.3999999999999997E-2</v>
      </c>
      <c r="G50" s="91">
        <f>(C50 / F50)</f>
        <v>124.09090909090909</v>
      </c>
      <c r="I50" s="61">
        <v>7</v>
      </c>
      <c r="J50" s="55">
        <f xml:space="preserve"> (C50/I50)</f>
        <v>0.78</v>
      </c>
      <c r="L50" s="66"/>
      <c r="M50" s="66" t="s">
        <v>56</v>
      </c>
      <c r="P50" s="301">
        <v>10</v>
      </c>
    </row>
    <row r="51" spans="1:16" x14ac:dyDescent="0.35">
      <c r="A51" s="6" t="s">
        <v>87</v>
      </c>
      <c r="C51" s="54">
        <f>23.3%*3*(30/2)</f>
        <v>10.485000000000001</v>
      </c>
      <c r="D51" s="251">
        <f>C51*D45</f>
        <v>10.485000000000001</v>
      </c>
      <c r="F51" s="52">
        <f>17%/5</f>
        <v>3.4000000000000002E-2</v>
      </c>
      <c r="G51" s="91">
        <f>(C51 / F51)</f>
        <v>308.38235294117646</v>
      </c>
      <c r="I51" s="61">
        <f>30</f>
        <v>30</v>
      </c>
      <c r="J51" s="55">
        <f xml:space="preserve"> (C51/I51)</f>
        <v>0.34950000000000003</v>
      </c>
      <c r="L51" s="66"/>
      <c r="M51" s="66" t="s">
        <v>56</v>
      </c>
      <c r="P51" s="301"/>
    </row>
    <row r="52" spans="1:16" x14ac:dyDescent="0.35">
      <c r="A52" s="6" t="s">
        <v>82</v>
      </c>
      <c r="C52" s="54">
        <f>20 * ((59%+6.88%)*5)</f>
        <v>65.88</v>
      </c>
      <c r="D52" s="251">
        <f>C52*D45</f>
        <v>65.88</v>
      </c>
      <c r="F52" s="52">
        <f>18.4%/5</f>
        <v>3.6799999999999999E-2</v>
      </c>
      <c r="G52" s="91">
        <f>(C52 / F52)</f>
        <v>1790.2173913043478</v>
      </c>
      <c r="I52" s="61">
        <f>8/(1+M8)</f>
        <v>6.6748466257668717</v>
      </c>
      <c r="J52" s="55">
        <f xml:space="preserve"> (C52/I52)</f>
        <v>9.8698897058823523</v>
      </c>
      <c r="L52" s="66"/>
      <c r="M52" s="66" t="s">
        <v>56</v>
      </c>
      <c r="P52" s="301">
        <f>3*60</f>
        <v>180</v>
      </c>
    </row>
    <row r="53" spans="1:16" x14ac:dyDescent="0.35">
      <c r="A53" s="6" t="s">
        <v>83</v>
      </c>
      <c r="C53" s="54">
        <f>(5*2)* ((59%+6.88%)*5)</f>
        <v>32.94</v>
      </c>
      <c r="D53" s="251">
        <f>C53*D45</f>
        <v>32.94</v>
      </c>
      <c r="F53" s="52">
        <f>736/20000</f>
        <v>3.6799999999999999E-2</v>
      </c>
      <c r="G53" s="91">
        <f>(C53 / F53)</f>
        <v>895.10869565217388</v>
      </c>
      <c r="I53" s="61">
        <f>8/(1+M8)</f>
        <v>6.6748466257668717</v>
      </c>
      <c r="J53" s="55">
        <f xml:space="preserve"> (C53/I53)</f>
        <v>4.9349448529411761</v>
      </c>
      <c r="L53" s="66"/>
      <c r="M53" s="66" t="s">
        <v>56</v>
      </c>
      <c r="P53" s="301">
        <f>3*60</f>
        <v>180</v>
      </c>
    </row>
    <row r="54" spans="1:16" x14ac:dyDescent="0.35">
      <c r="P54" s="300"/>
    </row>
    <row r="55" spans="1:16" x14ac:dyDescent="0.35">
      <c r="A55" s="11" t="s">
        <v>36</v>
      </c>
      <c r="C55" s="11" t="s">
        <v>4</v>
      </c>
      <c r="D55" s="11" t="s">
        <v>303</v>
      </c>
      <c r="F55" s="4" t="s">
        <v>5</v>
      </c>
      <c r="G55" s="4" t="s">
        <v>6</v>
      </c>
      <c r="I55" s="5" t="s">
        <v>7</v>
      </c>
      <c r="J55" s="5" t="s">
        <v>8</v>
      </c>
      <c r="L55" s="66" t="s">
        <v>57</v>
      </c>
      <c r="M55" s="66" t="s">
        <v>61</v>
      </c>
      <c r="P55" s="301"/>
    </row>
    <row r="56" spans="1:16" x14ac:dyDescent="0.35">
      <c r="A56" s="5" t="s">
        <v>515</v>
      </c>
      <c r="C56" s="11"/>
      <c r="D56" s="254">
        <v>1.4</v>
      </c>
      <c r="E56" t="s">
        <v>516</v>
      </c>
      <c r="F56" s="4"/>
      <c r="G56" s="4"/>
      <c r="I56" s="5"/>
      <c r="J56" s="5"/>
      <c r="L56" s="66"/>
      <c r="M56" s="66"/>
      <c r="P56" s="301"/>
    </row>
    <row r="57" spans="1:16" x14ac:dyDescent="0.35">
      <c r="A57" s="11" t="s">
        <v>37</v>
      </c>
      <c r="C57" s="54">
        <f>140%*1.3</f>
        <v>1.8199999999999998</v>
      </c>
      <c r="D57" s="255">
        <f>C57*D56</f>
        <v>2.5479999999999996</v>
      </c>
      <c r="F57" s="52">
        <v>0.02</v>
      </c>
      <c r="G57" s="91">
        <f>(C57 / F57)</f>
        <v>90.999999999999986</v>
      </c>
      <c r="I57" s="61">
        <f>9/(1+M8)</f>
        <v>7.5092024539877302</v>
      </c>
      <c r="J57" s="55">
        <f xml:space="preserve"> (C57 / I57)</f>
        <v>0.24236928104575162</v>
      </c>
      <c r="L57" s="66" t="s">
        <v>58</v>
      </c>
      <c r="M57" s="66"/>
      <c r="P57" s="301">
        <f>9 / (1+M8)</f>
        <v>7.5092024539877302</v>
      </c>
    </row>
    <row r="58" spans="1:16" x14ac:dyDescent="0.35">
      <c r="A58" s="11" t="s">
        <v>38</v>
      </c>
      <c r="C58" s="54">
        <v>1.2</v>
      </c>
      <c r="D58" s="255">
        <f>C58*D56</f>
        <v>1.68</v>
      </c>
      <c r="F58" s="52">
        <f>22%/5</f>
        <v>4.3999999999999997E-2</v>
      </c>
      <c r="G58" s="91">
        <f t="shared" ref="G58:G62" si="10">(C58 / F58)</f>
        <v>27.272727272727273</v>
      </c>
      <c r="I58" s="61">
        <f>M9</f>
        <v>1.2515337423312884</v>
      </c>
      <c r="J58" s="55">
        <f t="shared" ref="J58:J62" si="11" xml:space="preserve"> (C58/I58)</f>
        <v>0.95882352941176463</v>
      </c>
      <c r="L58" s="66" t="s">
        <v>58</v>
      </c>
      <c r="M58" s="66"/>
      <c r="P58" s="301"/>
    </row>
    <row r="59" spans="1:16" x14ac:dyDescent="0.35">
      <c r="A59" s="11" t="s">
        <v>39</v>
      </c>
      <c r="C59" s="54">
        <f>240%</f>
        <v>2.4</v>
      </c>
      <c r="D59" s="255">
        <f>C59*D56</f>
        <v>3.36</v>
      </c>
      <c r="F59" s="55">
        <f>16%/5</f>
        <v>3.2000000000000001E-2</v>
      </c>
      <c r="G59" s="91">
        <f t="shared" si="10"/>
        <v>75</v>
      </c>
      <c r="I59" s="61">
        <f>2.5/(1+M8)</f>
        <v>2.0858895705521472</v>
      </c>
      <c r="J59" s="55">
        <f t="shared" si="11"/>
        <v>1.1505882352941177</v>
      </c>
      <c r="L59" s="66" t="s">
        <v>58</v>
      </c>
      <c r="M59" s="66"/>
      <c r="P59" s="301">
        <f>12 / (1+M8)</f>
        <v>10.012269938650308</v>
      </c>
    </row>
    <row r="60" spans="1:16" x14ac:dyDescent="0.35">
      <c r="A60" s="11" t="s">
        <v>88</v>
      </c>
      <c r="C60" s="54">
        <f>5*84%</f>
        <v>4.2</v>
      </c>
      <c r="D60" s="255">
        <f>C60*D56</f>
        <v>5.88</v>
      </c>
      <c r="F60" s="55" t="s">
        <v>493</v>
      </c>
      <c r="G60" s="91" t="e">
        <f t="shared" si="10"/>
        <v>#VALUE!</v>
      </c>
      <c r="I60" s="61">
        <f>12/(1+M8)</f>
        <v>10.012269938650308</v>
      </c>
      <c r="J60" s="55">
        <f t="shared" si="11"/>
        <v>0.41948529411764707</v>
      </c>
      <c r="L60" s="66"/>
      <c r="M60" s="66" t="s">
        <v>58</v>
      </c>
      <c r="P60" s="301"/>
    </row>
    <row r="61" spans="1:16" x14ac:dyDescent="0.35">
      <c r="A61" s="5" t="s">
        <v>492</v>
      </c>
      <c r="B61" s="13"/>
      <c r="C61" s="54">
        <v>2</v>
      </c>
      <c r="D61" s="338"/>
      <c r="E61" s="13"/>
      <c r="F61" s="55" t="s">
        <v>493</v>
      </c>
      <c r="G61" s="335"/>
      <c r="H61" s="13"/>
      <c r="I61" s="61">
        <f>M9</f>
        <v>1.2515337423312884</v>
      </c>
      <c r="J61" s="55">
        <f t="shared" si="11"/>
        <v>1.5980392156862744</v>
      </c>
      <c r="K61" s="13"/>
      <c r="L61" s="5" t="s">
        <v>58</v>
      </c>
      <c r="M61" s="5"/>
      <c r="N61" s="13"/>
      <c r="O61" s="13"/>
      <c r="P61" s="337"/>
    </row>
    <row r="62" spans="1:16" x14ac:dyDescent="0.35">
      <c r="A62" s="11" t="s">
        <v>55</v>
      </c>
      <c r="C62" s="60">
        <f>210%</f>
        <v>2.1</v>
      </c>
      <c r="D62" s="255">
        <f>C62*D56</f>
        <v>2.94</v>
      </c>
      <c r="F62" s="52">
        <f>300/20000</f>
        <v>1.4999999999999999E-2</v>
      </c>
      <c r="G62" s="91">
        <f t="shared" si="10"/>
        <v>140</v>
      </c>
      <c r="I62" s="61">
        <f>M9</f>
        <v>1.2515337423312884</v>
      </c>
      <c r="J62" s="55">
        <f t="shared" si="11"/>
        <v>1.6779411764705883</v>
      </c>
      <c r="L62" s="66" t="s">
        <v>58</v>
      </c>
      <c r="M62" s="66"/>
      <c r="P62" s="301"/>
    </row>
    <row r="63" spans="1:16" x14ac:dyDescent="0.35">
      <c r="P63" s="300"/>
    </row>
    <row r="64" spans="1:16" x14ac:dyDescent="0.35">
      <c r="A64" s="12" t="s">
        <v>41</v>
      </c>
      <c r="C64" s="12" t="s">
        <v>4</v>
      </c>
      <c r="D64" s="12" t="s">
        <v>303</v>
      </c>
      <c r="F64" s="4" t="s">
        <v>5</v>
      </c>
      <c r="G64" s="4" t="s">
        <v>6</v>
      </c>
      <c r="I64" s="5" t="s">
        <v>7</v>
      </c>
      <c r="J64" s="5" t="s">
        <v>8</v>
      </c>
      <c r="L64" s="66" t="s">
        <v>57</v>
      </c>
      <c r="M64" s="66" t="s">
        <v>61</v>
      </c>
      <c r="P64" s="301"/>
    </row>
    <row r="65" spans="1:16" x14ac:dyDescent="0.35">
      <c r="A65" s="5" t="s">
        <v>494</v>
      </c>
      <c r="C65" s="12"/>
      <c r="D65" s="256">
        <v>1.4</v>
      </c>
      <c r="F65" s="4"/>
      <c r="G65" s="4"/>
      <c r="I65" s="5"/>
      <c r="J65" s="5"/>
      <c r="L65" s="66"/>
      <c r="M65" s="66"/>
      <c r="P65" s="301"/>
    </row>
    <row r="66" spans="1:16" x14ac:dyDescent="0.35">
      <c r="A66" s="12" t="s">
        <v>42</v>
      </c>
      <c r="C66" s="333">
        <v>2.1</v>
      </c>
      <c r="D66" s="256">
        <f>C66*D65</f>
        <v>2.94</v>
      </c>
      <c r="F66" s="336">
        <v>2.4E-2</v>
      </c>
      <c r="G66" s="91">
        <f>(C66 / F66)</f>
        <v>87.5</v>
      </c>
      <c r="I66" s="61">
        <f>2.5/(1+M8)</f>
        <v>2.0858895705521472</v>
      </c>
      <c r="J66" s="55">
        <f xml:space="preserve"> (C66 / I66)</f>
        <v>1.006764705882353</v>
      </c>
      <c r="L66" s="66" t="s">
        <v>58</v>
      </c>
      <c r="M66" s="66"/>
      <c r="P66" s="301"/>
    </row>
    <row r="67" spans="1:16" x14ac:dyDescent="0.35">
      <c r="A67" s="12" t="s">
        <v>43</v>
      </c>
      <c r="C67" s="62">
        <v>1.35</v>
      </c>
      <c r="D67" s="256">
        <f>C67*D65</f>
        <v>1.89</v>
      </c>
      <c r="F67" s="336">
        <v>3.5999999999999997E-2</v>
      </c>
      <c r="G67" s="91">
        <f t="shared" ref="G67:G68" si="12">(C67 / F67)</f>
        <v>37.500000000000007</v>
      </c>
      <c r="I67" s="61">
        <f>M9</f>
        <v>1.2515337423312884</v>
      </c>
      <c r="J67" s="55">
        <f t="shared" ref="J67:J68" si="13" xml:space="preserve"> (C67/I67)</f>
        <v>1.0786764705882352</v>
      </c>
      <c r="L67" s="66" t="s">
        <v>58</v>
      </c>
      <c r="M67" s="66"/>
      <c r="P67" s="301"/>
    </row>
    <row r="68" spans="1:16" x14ac:dyDescent="0.35">
      <c r="A68" s="12" t="s">
        <v>44</v>
      </c>
      <c r="C68" s="62">
        <f>23% + 115%</f>
        <v>1.38</v>
      </c>
      <c r="D68" s="256">
        <f>C68*D65</f>
        <v>1.9319999999999997</v>
      </c>
      <c r="F68" s="63">
        <v>1.7999999999999999E-2</v>
      </c>
      <c r="G68" s="91">
        <f t="shared" si="12"/>
        <v>76.666666666666671</v>
      </c>
      <c r="I68" s="61">
        <v>15</v>
      </c>
      <c r="J68" s="55">
        <f t="shared" si="13"/>
        <v>9.1999999999999998E-2</v>
      </c>
      <c r="L68" s="66" t="s">
        <v>56</v>
      </c>
      <c r="M68" s="66"/>
      <c r="P68" s="301"/>
    </row>
    <row r="69" spans="1:16" x14ac:dyDescent="0.35">
      <c r="A69" s="12" t="s">
        <v>47</v>
      </c>
      <c r="C69" s="65">
        <f>5*43.75%</f>
        <v>2.1875</v>
      </c>
      <c r="D69" s="256">
        <f>C69*D65</f>
        <v>3.0625</v>
      </c>
      <c r="F69" s="52">
        <f>2%</f>
        <v>0.02</v>
      </c>
      <c r="G69" s="91">
        <f t="shared" ref="G69:G74" si="14">(C69 / F69)</f>
        <v>109.375</v>
      </c>
      <c r="I69" s="61">
        <f>12 / (1+M8)</f>
        <v>10.012269938650308</v>
      </c>
      <c r="J69" s="55">
        <f t="shared" ref="J69:J74" si="15" xml:space="preserve"> (C69/I69)</f>
        <v>0.21848192401960784</v>
      </c>
      <c r="L69" s="66" t="s">
        <v>65</v>
      </c>
      <c r="M69" s="66"/>
      <c r="P69" s="94">
        <f>12 / (1+M8)</f>
        <v>10.012269938650308</v>
      </c>
    </row>
    <row r="70" spans="1:16" x14ac:dyDescent="0.35">
      <c r="A70" s="12" t="s">
        <v>286</v>
      </c>
      <c r="C70" s="64">
        <f>62.5%*5</f>
        <v>3.125</v>
      </c>
      <c r="D70" s="256">
        <f>C70*D65</f>
        <v>4.375</v>
      </c>
      <c r="F70" s="55">
        <v>0.05</v>
      </c>
      <c r="G70" s="91">
        <f t="shared" si="14"/>
        <v>62.5</v>
      </c>
      <c r="I70" s="61">
        <f>2/(1+M8)</f>
        <v>1.6687116564417179</v>
      </c>
      <c r="J70" s="55">
        <f t="shared" si="15"/>
        <v>1.8727022058823528</v>
      </c>
      <c r="L70" s="66"/>
      <c r="M70" s="66" t="s">
        <v>58</v>
      </c>
      <c r="P70" s="301"/>
    </row>
    <row r="71" spans="1:16" x14ac:dyDescent="0.35">
      <c r="A71" s="5" t="s">
        <v>495</v>
      </c>
      <c r="B71" s="13"/>
      <c r="C71" s="54">
        <f>75%*5</f>
        <v>3.75</v>
      </c>
      <c r="D71" s="256">
        <f>C71*D65</f>
        <v>5.25</v>
      </c>
      <c r="E71" s="13"/>
      <c r="F71" s="55">
        <v>3.3000000000000002E-2</v>
      </c>
      <c r="G71" s="335">
        <f t="shared" si="14"/>
        <v>113.63636363636363</v>
      </c>
      <c r="H71" s="13"/>
      <c r="I71" s="61">
        <f>M9</f>
        <v>1.2515337423312884</v>
      </c>
      <c r="J71" s="55">
        <f t="shared" si="15"/>
        <v>2.9963235294117645</v>
      </c>
      <c r="K71" s="13"/>
      <c r="L71" s="5"/>
      <c r="M71" s="5" t="s">
        <v>58</v>
      </c>
      <c r="N71" s="13"/>
      <c r="O71" s="13"/>
      <c r="P71" s="337">
        <v>15</v>
      </c>
    </row>
    <row r="72" spans="1:16" x14ac:dyDescent="0.35">
      <c r="A72" s="12" t="s">
        <v>67</v>
      </c>
      <c r="C72" s="64">
        <f>10% * 5</f>
        <v>0.5</v>
      </c>
      <c r="D72" s="256">
        <f>C72*D65</f>
        <v>0.7</v>
      </c>
      <c r="F72" s="52">
        <f>1.6%</f>
        <v>1.6E-2</v>
      </c>
      <c r="G72" s="91">
        <f t="shared" si="14"/>
        <v>31.25</v>
      </c>
      <c r="I72" s="339">
        <f>M9 - 0.5</f>
        <v>0.75153374233128845</v>
      </c>
      <c r="J72" s="55">
        <f t="shared" si="15"/>
        <v>0.66530612244897946</v>
      </c>
      <c r="L72" s="66"/>
      <c r="M72" s="66" t="s">
        <v>58</v>
      </c>
      <c r="P72" s="301"/>
    </row>
    <row r="73" spans="1:16" x14ac:dyDescent="0.35">
      <c r="A73" s="12" t="s">
        <v>45</v>
      </c>
      <c r="C73" s="64">
        <f>500%</f>
        <v>5</v>
      </c>
      <c r="D73" s="256">
        <f>C73*D65</f>
        <v>7</v>
      </c>
      <c r="F73" s="52">
        <f>4%</f>
        <v>0.04</v>
      </c>
      <c r="G73" s="91">
        <f t="shared" si="14"/>
        <v>125</v>
      </c>
      <c r="I73" s="61">
        <v>60</v>
      </c>
      <c r="J73" s="55">
        <f t="shared" si="15"/>
        <v>8.3333333333333329E-2</v>
      </c>
      <c r="L73" s="66"/>
      <c r="M73" s="66" t="s">
        <v>58</v>
      </c>
      <c r="P73" s="301">
        <v>60</v>
      </c>
    </row>
    <row r="74" spans="1:16" x14ac:dyDescent="0.35">
      <c r="A74" s="12" t="s">
        <v>90</v>
      </c>
      <c r="C74" s="64">
        <f>175%*6</f>
        <v>10.5</v>
      </c>
      <c r="D74" s="256">
        <f>C74*D65</f>
        <v>14.7</v>
      </c>
      <c r="F74" s="52">
        <f>5%</f>
        <v>0.05</v>
      </c>
      <c r="G74" s="91">
        <f t="shared" si="14"/>
        <v>210</v>
      </c>
      <c r="I74" s="61">
        <v>60</v>
      </c>
      <c r="J74" s="55">
        <f t="shared" si="15"/>
        <v>0.17499999999999999</v>
      </c>
      <c r="L74" s="66"/>
      <c r="M74" s="66" t="s">
        <v>58</v>
      </c>
      <c r="P74" s="301">
        <v>60</v>
      </c>
    </row>
    <row r="75" spans="1:16" x14ac:dyDescent="0.35">
      <c r="A75" s="12" t="s">
        <v>91</v>
      </c>
      <c r="C75" s="64">
        <f>5*43% * 20</f>
        <v>43</v>
      </c>
      <c r="D75" s="256">
        <f>C75*D65</f>
        <v>60.199999999999996</v>
      </c>
      <c r="F75" s="52">
        <f>4.4%</f>
        <v>4.4000000000000004E-2</v>
      </c>
      <c r="G75" s="91">
        <f t="shared" ref="G75:G76" si="16">(C75 / F75)</f>
        <v>977.27272727272714</v>
      </c>
      <c r="I75" s="61">
        <f>8/(1+M8)</f>
        <v>6.6748466257668717</v>
      </c>
      <c r="J75" s="55">
        <f t="shared" ref="J75:J76" si="17" xml:space="preserve"> (C75/I75)</f>
        <v>6.4420955882352935</v>
      </c>
      <c r="L75" s="66"/>
      <c r="M75" s="66" t="s">
        <v>56</v>
      </c>
      <c r="P75" s="301">
        <f>3*60</f>
        <v>180</v>
      </c>
    </row>
    <row r="76" spans="1:16" x14ac:dyDescent="0.35">
      <c r="A76" s="12" t="s">
        <v>92</v>
      </c>
      <c r="C76" s="64">
        <f>5*43% * (5*2)</f>
        <v>21.5</v>
      </c>
      <c r="D76" s="256">
        <f>C76*D65</f>
        <v>30.099999999999998</v>
      </c>
      <c r="F76" s="52">
        <f>4.4%</f>
        <v>4.4000000000000004E-2</v>
      </c>
      <c r="G76" s="91">
        <f t="shared" si="16"/>
        <v>488.63636363636357</v>
      </c>
      <c r="I76" s="61">
        <f>8/(1+M8)</f>
        <v>6.6748466257668717</v>
      </c>
      <c r="J76" s="55">
        <f t="shared" si="17"/>
        <v>3.2210477941176467</v>
      </c>
      <c r="L76" s="66"/>
      <c r="M76" s="66" t="s">
        <v>58</v>
      </c>
      <c r="P76" s="301">
        <f>3*60</f>
        <v>180</v>
      </c>
    </row>
    <row r="77" spans="1:16" x14ac:dyDescent="0.35">
      <c r="P77" s="300"/>
    </row>
    <row r="78" spans="1:16" x14ac:dyDescent="0.35">
      <c r="A78" s="67" t="s">
        <v>66</v>
      </c>
      <c r="C78" s="67" t="s">
        <v>4</v>
      </c>
      <c r="D78" s="67" t="s">
        <v>303</v>
      </c>
      <c r="F78" s="4" t="s">
        <v>5</v>
      </c>
      <c r="G78" s="4" t="s">
        <v>6</v>
      </c>
      <c r="I78" s="5" t="s">
        <v>7</v>
      </c>
      <c r="J78" s="5" t="s">
        <v>8</v>
      </c>
      <c r="L78" s="66" t="s">
        <v>57</v>
      </c>
      <c r="M78" s="66" t="s">
        <v>61</v>
      </c>
      <c r="P78" s="301"/>
    </row>
    <row r="79" spans="1:16" x14ac:dyDescent="0.35">
      <c r="A79" s="5" t="s">
        <v>494</v>
      </c>
      <c r="C79" s="67"/>
      <c r="D79" s="252">
        <v>1.4</v>
      </c>
      <c r="F79" s="4"/>
      <c r="G79" s="4"/>
      <c r="I79" s="5"/>
      <c r="J79" s="5"/>
      <c r="L79" s="66"/>
      <c r="M79" s="66"/>
      <c r="P79" s="301"/>
    </row>
    <row r="80" spans="1:16" x14ac:dyDescent="0.35">
      <c r="A80" s="67" t="s">
        <v>68</v>
      </c>
      <c r="C80" s="68">
        <f>71%*3</f>
        <v>2.13</v>
      </c>
      <c r="D80" s="253">
        <f>C80*D79</f>
        <v>2.9819999999999998</v>
      </c>
      <c r="F80" s="55">
        <v>1.7999999999999999E-2</v>
      </c>
      <c r="G80" s="4">
        <f>(C80 / F80)</f>
        <v>118.33333333333334</v>
      </c>
      <c r="I80" s="61">
        <f>2/ (1+M8)</f>
        <v>1.6687116564417179</v>
      </c>
      <c r="J80" s="55">
        <f xml:space="preserve"> (C80 / I80)</f>
        <v>1.2764338235294117</v>
      </c>
      <c r="L80" s="66" t="s">
        <v>63</v>
      </c>
      <c r="M80" s="66"/>
      <c r="P80" s="301">
        <v>9</v>
      </c>
    </row>
    <row r="81" spans="1:16" x14ac:dyDescent="0.35">
      <c r="A81" s="67" t="s">
        <v>93</v>
      </c>
      <c r="C81" s="54">
        <f>75%*5</f>
        <v>3.75</v>
      </c>
      <c r="D81" s="253">
        <f>C81*D79</f>
        <v>5.25</v>
      </c>
      <c r="F81" s="52">
        <f>6.5%</f>
        <v>6.5000000000000002E-2</v>
      </c>
      <c r="G81" s="53">
        <f t="shared" ref="G81:G86" si="18">(C81 / F81)</f>
        <v>57.692307692307693</v>
      </c>
      <c r="I81" s="61">
        <f>20</f>
        <v>20</v>
      </c>
      <c r="J81" s="55">
        <f t="shared" ref="J81:J86" si="19" xml:space="preserve"> (C81/I81)</f>
        <v>0.1875</v>
      </c>
      <c r="L81" s="66"/>
      <c r="M81" s="66" t="s">
        <v>58</v>
      </c>
      <c r="P81" s="301">
        <v>15</v>
      </c>
    </row>
    <row r="82" spans="1:16" x14ac:dyDescent="0.35">
      <c r="A82" s="67" t="s">
        <v>69</v>
      </c>
      <c r="C82" s="68">
        <f>154%</f>
        <v>1.54</v>
      </c>
      <c r="D82" s="253">
        <f>C82*D79</f>
        <v>2.1559999999999997</v>
      </c>
      <c r="F82" s="52">
        <f>2.5%</f>
        <v>2.5000000000000001E-2</v>
      </c>
      <c r="G82" s="53">
        <f t="shared" si="18"/>
        <v>61.6</v>
      </c>
      <c r="I82" s="61">
        <f>2.5/(1+E35)</f>
        <v>2.5</v>
      </c>
      <c r="J82" s="55">
        <f t="shared" si="19"/>
        <v>0.61599999999999999</v>
      </c>
      <c r="L82" s="66" t="s">
        <v>59</v>
      </c>
      <c r="M82" s="66"/>
      <c r="P82" s="301">
        <f>7.5 / (1+M8)</f>
        <v>6.257668711656442</v>
      </c>
    </row>
    <row r="83" spans="1:16" x14ac:dyDescent="0.35">
      <c r="A83" s="12" t="s">
        <v>67</v>
      </c>
      <c r="C83" s="64">
        <f>10% * 5</f>
        <v>0.5</v>
      </c>
      <c r="D83" s="256">
        <f>C83*D77</f>
        <v>0</v>
      </c>
      <c r="F83" s="52">
        <f>1.6%</f>
        <v>1.6E-2</v>
      </c>
      <c r="G83" s="91">
        <f>(C83 / F83)</f>
        <v>31.25</v>
      </c>
      <c r="I83" s="339">
        <f>M9 - 0.5</f>
        <v>0.75153374233128845</v>
      </c>
      <c r="J83" s="55">
        <f xml:space="preserve"> (C83/I83)</f>
        <v>0.66530612244897946</v>
      </c>
      <c r="L83" s="66"/>
      <c r="M83" s="66" t="s">
        <v>58</v>
      </c>
      <c r="P83" s="301"/>
    </row>
    <row r="84" spans="1:16" x14ac:dyDescent="0.35">
      <c r="A84" s="67" t="s">
        <v>70</v>
      </c>
      <c r="C84" s="68">
        <f>180%</f>
        <v>1.8</v>
      </c>
      <c r="D84" s="253">
        <f>C84*D79</f>
        <v>2.52</v>
      </c>
      <c r="F84" s="52">
        <v>0.03</v>
      </c>
      <c r="G84" s="53">
        <f t="shared" si="18"/>
        <v>60.000000000000007</v>
      </c>
      <c r="I84" s="61">
        <f>M9</f>
        <v>1.2515337423312884</v>
      </c>
      <c r="J84" s="55">
        <f t="shared" si="19"/>
        <v>1.4382352941176471</v>
      </c>
      <c r="L84" s="66" t="s">
        <v>58</v>
      </c>
      <c r="M84" s="66"/>
      <c r="P84" s="301"/>
    </row>
    <row r="85" spans="1:16" x14ac:dyDescent="0.35">
      <c r="A85" s="67" t="s">
        <v>71</v>
      </c>
      <c r="C85" s="68">
        <f>65%</f>
        <v>0.65</v>
      </c>
      <c r="D85" s="253">
        <f>C85*D79</f>
        <v>0.90999999999999992</v>
      </c>
      <c r="F85" s="52">
        <f>0.5%</f>
        <v>5.0000000000000001E-3</v>
      </c>
      <c r="G85" s="53">
        <f t="shared" si="18"/>
        <v>130</v>
      </c>
      <c r="I85" s="61">
        <f>M9</f>
        <v>1.2515337423312884</v>
      </c>
      <c r="J85" s="55">
        <f t="shared" si="19"/>
        <v>0.51936274509803915</v>
      </c>
      <c r="L85" s="72" t="s">
        <v>72</v>
      </c>
      <c r="M85" s="73"/>
      <c r="P85" s="301"/>
    </row>
    <row r="86" spans="1:16" x14ac:dyDescent="0.35">
      <c r="A86" s="12" t="s">
        <v>43</v>
      </c>
      <c r="C86" s="62">
        <v>1.35</v>
      </c>
      <c r="D86" s="256">
        <f>C86*D84</f>
        <v>3.4020000000000001</v>
      </c>
      <c r="F86" s="336">
        <v>3.5999999999999997E-2</v>
      </c>
      <c r="G86" s="91">
        <f t="shared" si="18"/>
        <v>37.500000000000007</v>
      </c>
      <c r="I86" s="61">
        <f>M9</f>
        <v>1.2515337423312884</v>
      </c>
      <c r="J86" s="55">
        <f t="shared" si="19"/>
        <v>1.0786764705882352</v>
      </c>
      <c r="L86" s="66" t="s">
        <v>58</v>
      </c>
      <c r="M86" s="66"/>
      <c r="P86" s="301"/>
    </row>
    <row r="87" spans="1:16" x14ac:dyDescent="0.35">
      <c r="A87" s="67" t="s">
        <v>94</v>
      </c>
      <c r="C87" s="68">
        <f>135%*5</f>
        <v>6.75</v>
      </c>
      <c r="D87" s="253">
        <f>C87*D79</f>
        <v>9.4499999999999993</v>
      </c>
      <c r="F87" s="52">
        <f>2.8%</f>
        <v>2.7999999999999997E-2</v>
      </c>
      <c r="G87" s="53">
        <f>(C87 / F87)</f>
        <v>241.07142857142858</v>
      </c>
      <c r="I87" s="61">
        <f>12</f>
        <v>12</v>
      </c>
      <c r="J87" s="55">
        <f xml:space="preserve"> (C87/I87)</f>
        <v>0.5625</v>
      </c>
      <c r="L87" s="66"/>
      <c r="M87" s="66" t="s">
        <v>58</v>
      </c>
      <c r="P87" s="301"/>
    </row>
    <row r="88" spans="1:16" x14ac:dyDescent="0.35">
      <c r="D88" s="248"/>
    </row>
    <row r="89" spans="1:16" x14ac:dyDescent="0.35">
      <c r="D89" s="248"/>
    </row>
    <row r="91" spans="1:16" x14ac:dyDescent="0.35">
      <c r="B91" t="s">
        <v>109</v>
      </c>
      <c r="C91" t="s">
        <v>106</v>
      </c>
    </row>
    <row r="92" spans="1:16" x14ac:dyDescent="0.35">
      <c r="B92" s="95">
        <v>0</v>
      </c>
      <c r="C92">
        <f>1</f>
        <v>1</v>
      </c>
      <c r="F92" t="s">
        <v>107</v>
      </c>
      <c r="G92" t="s">
        <v>108</v>
      </c>
    </row>
    <row r="93" spans="1:16" x14ac:dyDescent="0.35">
      <c r="B93" s="95">
        <f>(1/C93)-1</f>
        <v>5.2631578947368363E-2</v>
      </c>
      <c r="C93">
        <v>0.95</v>
      </c>
    </row>
    <row r="94" spans="1:16" x14ac:dyDescent="0.35">
      <c r="B94" s="95">
        <f>(1/C94) - 1</f>
        <v>0.11111111111111116</v>
      </c>
      <c r="C94">
        <v>0.9</v>
      </c>
    </row>
    <row r="95" spans="1:16" x14ac:dyDescent="0.35">
      <c r="B95" s="95">
        <f>(1/C95) - 1</f>
        <v>0.17647058823529416</v>
      </c>
      <c r="C95">
        <v>0.85</v>
      </c>
    </row>
    <row r="96" spans="1:16" x14ac:dyDescent="0.35">
      <c r="B96" s="95">
        <f>(1/C96) - 1</f>
        <v>0.25</v>
      </c>
      <c r="C96">
        <v>0.8</v>
      </c>
    </row>
    <row r="97" spans="2:3" x14ac:dyDescent="0.35">
      <c r="B97" s="95">
        <f>(1/C97) - 1</f>
        <v>0.33333333333333326</v>
      </c>
      <c r="C97">
        <v>0.75</v>
      </c>
    </row>
    <row r="98" spans="2:3" x14ac:dyDescent="0.35">
      <c r="B98" s="95">
        <f>(1/C98)-1</f>
        <v>0.4285714285714286</v>
      </c>
      <c r="C98">
        <v>0.7</v>
      </c>
    </row>
    <row r="99" spans="2:3" x14ac:dyDescent="0.35">
      <c r="B99" s="95">
        <f>(1/C99)-1</f>
        <v>0.53846153846153832</v>
      </c>
      <c r="C99">
        <v>0.65</v>
      </c>
    </row>
    <row r="100" spans="2:3" x14ac:dyDescent="0.35">
      <c r="B100" s="95">
        <f>(1/C100)-1</f>
        <v>0.66666666666666674</v>
      </c>
      <c r="C100">
        <v>0.6</v>
      </c>
    </row>
    <row r="101" spans="2:3" x14ac:dyDescent="0.35">
      <c r="B101" s="95">
        <f>(1/C101)-1</f>
        <v>0.81818181818181812</v>
      </c>
      <c r="C101">
        <v>0.55000000000000004</v>
      </c>
    </row>
    <row r="102" spans="2:3" x14ac:dyDescent="0.35">
      <c r="B102" s="95">
        <f>(1/C102)-1</f>
        <v>1</v>
      </c>
      <c r="C102">
        <v>0.5</v>
      </c>
    </row>
  </sheetData>
  <mergeCells count="36">
    <mergeCell ref="A1:C1"/>
    <mergeCell ref="A2:C2"/>
    <mergeCell ref="B4:D4"/>
    <mergeCell ref="I4:J4"/>
    <mergeCell ref="B5:D5"/>
    <mergeCell ref="E5:F5"/>
    <mergeCell ref="G5:H5"/>
    <mergeCell ref="I5:J5"/>
    <mergeCell ref="P10:Q10"/>
    <mergeCell ref="B11:D11"/>
    <mergeCell ref="E11:F11"/>
    <mergeCell ref="I11:J11"/>
    <mergeCell ref="B8:D8"/>
    <mergeCell ref="E8:F8"/>
    <mergeCell ref="G8:H8"/>
    <mergeCell ref="I8:J8"/>
    <mergeCell ref="P8:Q8"/>
    <mergeCell ref="B9:D9"/>
    <mergeCell ref="E9:F9"/>
    <mergeCell ref="G9:H9"/>
    <mergeCell ref="I9:J9"/>
    <mergeCell ref="P9:Q9"/>
    <mergeCell ref="I13:J15"/>
    <mergeCell ref="E4:F4"/>
    <mergeCell ref="B10:D10"/>
    <mergeCell ref="E10:F10"/>
    <mergeCell ref="G10:H10"/>
    <mergeCell ref="I10:J10"/>
    <mergeCell ref="B6:D6"/>
    <mergeCell ref="E6:F6"/>
    <mergeCell ref="G6:H6"/>
    <mergeCell ref="I6:J6"/>
    <mergeCell ref="B7:D7"/>
    <mergeCell ref="E7:F7"/>
    <mergeCell ref="G7:H7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B1C-140D-4B79-AFF1-B42429AE2DDF}">
  <dimension ref="A1:O36"/>
  <sheetViews>
    <sheetView zoomScale="145" zoomScaleNormal="145" workbookViewId="0">
      <selection activeCell="M17" sqref="M17"/>
    </sheetView>
  </sheetViews>
  <sheetFormatPr defaultRowHeight="14.5" x14ac:dyDescent="0.35"/>
  <cols>
    <col min="1" max="1" width="20.36328125" customWidth="1"/>
    <col min="2" max="2" width="4.1796875" customWidth="1"/>
    <col min="3" max="3" width="11.36328125" customWidth="1"/>
    <col min="4" max="4" width="11.90625" customWidth="1"/>
    <col min="5" max="5" width="12" customWidth="1"/>
    <col min="6" max="6" width="7" customWidth="1"/>
    <col min="7" max="7" width="11.453125" customWidth="1"/>
    <col min="8" max="9" width="12" customWidth="1"/>
    <col min="10" max="10" width="5.81640625" customWidth="1"/>
    <col min="11" max="11" width="13.26953125" customWidth="1"/>
    <col min="12" max="13" width="12.36328125" customWidth="1"/>
    <col min="14" max="14" width="5.26953125" customWidth="1"/>
    <col min="15" max="15" width="12.54296875" customWidth="1"/>
  </cols>
  <sheetData>
    <row r="1" spans="1:15" x14ac:dyDescent="0.35">
      <c r="A1" s="347" t="s">
        <v>498</v>
      </c>
      <c r="B1" s="347"/>
    </row>
    <row r="2" spans="1:15" x14ac:dyDescent="0.35">
      <c r="E2" t="s">
        <v>509</v>
      </c>
      <c r="I2" t="s">
        <v>508</v>
      </c>
      <c r="M2" t="s">
        <v>510</v>
      </c>
    </row>
    <row r="3" spans="1:15" x14ac:dyDescent="0.35">
      <c r="A3" s="11" t="s">
        <v>499</v>
      </c>
      <c r="C3" s="3" t="s">
        <v>500</v>
      </c>
      <c r="D3" s="247" t="s">
        <v>501</v>
      </c>
      <c r="E3" s="3" t="s">
        <v>506</v>
      </c>
      <c r="G3" s="4" t="s">
        <v>502</v>
      </c>
      <c r="H3" s="4" t="s">
        <v>503</v>
      </c>
      <c r="I3" s="4" t="s">
        <v>506</v>
      </c>
      <c r="K3" s="4" t="s">
        <v>504</v>
      </c>
      <c r="L3" s="4" t="s">
        <v>505</v>
      </c>
      <c r="M3" s="4" t="s">
        <v>506</v>
      </c>
      <c r="O3" s="6" t="s">
        <v>104</v>
      </c>
    </row>
    <row r="4" spans="1:15" x14ac:dyDescent="0.35">
      <c r="A4" s="11"/>
      <c r="B4" s="2"/>
      <c r="C4" s="51"/>
      <c r="D4" s="249">
        <v>1.4</v>
      </c>
      <c r="E4" s="249"/>
      <c r="G4" s="4"/>
      <c r="H4" s="4"/>
      <c r="I4" s="4"/>
      <c r="K4" s="4"/>
      <c r="L4" s="4"/>
      <c r="M4" s="4"/>
      <c r="O4" s="6"/>
    </row>
    <row r="5" spans="1:15" x14ac:dyDescent="0.35">
      <c r="A5" s="11" t="s">
        <v>11</v>
      </c>
      <c r="B5" s="2"/>
      <c r="C5" s="51">
        <f>Master!C18</f>
        <v>3.2</v>
      </c>
      <c r="D5" s="249">
        <f>Shadowlands!C18</f>
        <v>4.4000000000000004</v>
      </c>
      <c r="E5" s="249">
        <f>(D5/C5) - 1</f>
        <v>0.375</v>
      </c>
      <c r="G5" s="52">
        <f>Master!F18</f>
        <v>3.2000000000000001E-2</v>
      </c>
      <c r="H5" s="63">
        <f>Shadowlands!$F$18</f>
        <v>3.2000000000000001E-2</v>
      </c>
      <c r="I5" s="237">
        <f>H5/G5 - 1</f>
        <v>0</v>
      </c>
      <c r="K5" s="341">
        <f>C5/G5</f>
        <v>100</v>
      </c>
      <c r="L5" s="342">
        <f>D5/H5</f>
        <v>137.5</v>
      </c>
      <c r="M5" s="237">
        <f>(L5/K5) - 1</f>
        <v>0.375</v>
      </c>
      <c r="O5" s="6"/>
    </row>
    <row r="6" spans="1:15" x14ac:dyDescent="0.35">
      <c r="A6" s="11" t="s">
        <v>13</v>
      </c>
      <c r="B6" s="2"/>
      <c r="C6" s="51">
        <f>Master!$C$20</f>
        <v>2.3759999999999999</v>
      </c>
      <c r="D6" s="249">
        <f>Shadowlands!$C$21</f>
        <v>3.6</v>
      </c>
      <c r="E6" s="249">
        <f t="shared" ref="E6:E18" si="0">(D6/C6) - 1</f>
        <v>0.51515151515151536</v>
      </c>
      <c r="G6" s="52">
        <f>Master!$F$20</f>
        <v>5.1999999999999998E-2</v>
      </c>
      <c r="H6" s="63">
        <f>Shadowlands!$F$21</f>
        <v>0.06</v>
      </c>
      <c r="I6" s="340">
        <f t="shared" ref="I6:I18" si="1">H6/G6 - 1</f>
        <v>0.15384615384615397</v>
      </c>
      <c r="K6" s="341">
        <f t="shared" ref="K6:K18" si="2">C6/G6</f>
        <v>45.692307692307693</v>
      </c>
      <c r="L6" s="342">
        <f t="shared" ref="L6:L18" si="3">D6/H6</f>
        <v>60.000000000000007</v>
      </c>
      <c r="M6" s="237">
        <f t="shared" ref="M6:M18" si="4">(L6/K6) - 1</f>
        <v>0.31313131313131315</v>
      </c>
      <c r="O6" s="6"/>
    </row>
    <row r="7" spans="1:15" x14ac:dyDescent="0.35">
      <c r="A7" s="11" t="s">
        <v>12</v>
      </c>
      <c r="B7" s="2"/>
      <c r="C7" s="51">
        <f>Master!$C$19</f>
        <v>1.61</v>
      </c>
      <c r="D7" s="249">
        <f>Shadowlands!$C$20</f>
        <v>2.25</v>
      </c>
      <c r="E7" s="249">
        <f t="shared" si="0"/>
        <v>0.39751552795031042</v>
      </c>
      <c r="G7" s="52">
        <f>Master!$F$19</f>
        <v>2.5000000000000001E-2</v>
      </c>
      <c r="H7" s="63">
        <f>Shadowlands!$F$20</f>
        <v>2.1999999999999999E-2</v>
      </c>
      <c r="I7" s="340">
        <f t="shared" si="1"/>
        <v>-0.12000000000000011</v>
      </c>
      <c r="K7" s="341">
        <f t="shared" si="2"/>
        <v>64.400000000000006</v>
      </c>
      <c r="L7" s="342">
        <f t="shared" si="3"/>
        <v>102.27272727272728</v>
      </c>
      <c r="M7" s="237">
        <f t="shared" si="4"/>
        <v>0.5880858272162619</v>
      </c>
      <c r="O7" s="6"/>
    </row>
    <row r="8" spans="1:15" x14ac:dyDescent="0.35">
      <c r="A8" s="11" t="s">
        <v>507</v>
      </c>
      <c r="B8" s="2"/>
      <c r="C8" s="51">
        <f>Master!$C$22</f>
        <v>2.4900000000000002</v>
      </c>
      <c r="D8" s="249">
        <f>Shadowlands!$C$23</f>
        <v>3.49</v>
      </c>
      <c r="E8" s="249">
        <f t="shared" si="0"/>
        <v>0.40160642570281113</v>
      </c>
      <c r="G8" s="52">
        <f>Master!$F$22</f>
        <v>3.5000000000000003E-2</v>
      </c>
      <c r="H8" s="63">
        <f>Shadowlands!$F$23</f>
        <v>4.1000000000000002E-2</v>
      </c>
      <c r="I8" s="340">
        <f t="shared" si="1"/>
        <v>0.17142857142857126</v>
      </c>
      <c r="K8" s="341">
        <f t="shared" si="2"/>
        <v>71.142857142857139</v>
      </c>
      <c r="L8" s="342">
        <f t="shared" si="3"/>
        <v>85.121951219512198</v>
      </c>
      <c r="M8" s="237">
        <f t="shared" si="4"/>
        <v>0.19649329023410722</v>
      </c>
      <c r="O8" s="6"/>
    </row>
    <row r="9" spans="1:15" x14ac:dyDescent="0.35">
      <c r="A9" s="11"/>
      <c r="B9" s="2"/>
      <c r="C9" s="51"/>
      <c r="D9" s="249"/>
      <c r="E9" s="249" t="e">
        <f t="shared" si="0"/>
        <v>#DIV/0!</v>
      </c>
      <c r="G9" s="52"/>
      <c r="H9" s="63"/>
      <c r="I9" s="340" t="e">
        <f t="shared" si="1"/>
        <v>#DIV/0!</v>
      </c>
      <c r="K9" s="341" t="e">
        <f t="shared" si="2"/>
        <v>#DIV/0!</v>
      </c>
      <c r="L9" s="342" t="e">
        <f t="shared" si="3"/>
        <v>#DIV/0!</v>
      </c>
      <c r="M9" s="237" t="e">
        <f t="shared" si="4"/>
        <v>#DIV/0!</v>
      </c>
      <c r="O9" s="6"/>
    </row>
    <row r="10" spans="1:15" x14ac:dyDescent="0.35">
      <c r="A10" s="11" t="str">
        <f>Shadowlands!$A$34</f>
        <v>Healing Wave</v>
      </c>
      <c r="B10" s="2"/>
      <c r="C10" s="51">
        <f>Master!$C$32</f>
        <v>1.7050000000000003</v>
      </c>
      <c r="D10" s="249">
        <f>Shadowlands!$C$34</f>
        <v>3.29</v>
      </c>
      <c r="E10" s="249">
        <f t="shared" si="0"/>
        <v>0.92961876832844537</v>
      </c>
      <c r="G10" s="52">
        <f>Master!$F$32</f>
        <v>1.7099999999999997E-2</v>
      </c>
      <c r="H10" s="63">
        <f>Shadowlands!$F$34</f>
        <v>2.8000000000000004E-2</v>
      </c>
      <c r="I10" s="340">
        <f t="shared" si="1"/>
        <v>0.6374269005847959</v>
      </c>
      <c r="K10" s="341">
        <f t="shared" si="2"/>
        <v>99.707602339181321</v>
      </c>
      <c r="L10" s="342">
        <f t="shared" si="3"/>
        <v>117.49999999999999</v>
      </c>
      <c r="M10" s="237">
        <f t="shared" si="4"/>
        <v>0.17844574780058586</v>
      </c>
      <c r="O10" s="6"/>
    </row>
    <row r="11" spans="1:15" x14ac:dyDescent="0.35">
      <c r="A11" s="11" t="str">
        <f>Shadowlands!$A$36</f>
        <v>Healing Surge</v>
      </c>
      <c r="B11" s="2"/>
      <c r="C11" s="51">
        <f>Master!$C$34</f>
        <v>1.573</v>
      </c>
      <c r="D11" s="249">
        <f>Shadowlands!$C$36</f>
        <v>2.7280000000000002</v>
      </c>
      <c r="E11" s="249">
        <f t="shared" si="0"/>
        <v>0.73426573426573438</v>
      </c>
      <c r="G11" s="52">
        <f>Master!$F$34</f>
        <v>3.61E-2</v>
      </c>
      <c r="H11" s="63">
        <f>Shadowlands!$F$36</f>
        <v>4.5999999999999999E-2</v>
      </c>
      <c r="I11" s="340">
        <f t="shared" si="1"/>
        <v>0.27423822714681445</v>
      </c>
      <c r="K11" s="341">
        <f t="shared" si="2"/>
        <v>43.573407202216067</v>
      </c>
      <c r="L11" s="342">
        <f t="shared" si="3"/>
        <v>59.304347826086961</v>
      </c>
      <c r="M11" s="237">
        <f t="shared" si="4"/>
        <v>0.3610215871085436</v>
      </c>
      <c r="O11" s="6"/>
    </row>
    <row r="12" spans="1:15" x14ac:dyDescent="0.35">
      <c r="A12" s="11" t="str">
        <f>Shadowlands!$A$38</f>
        <v>Chain Heal [3]</v>
      </c>
      <c r="B12" s="2"/>
      <c r="C12" s="51">
        <f>Master!$C$35</f>
        <v>2.94</v>
      </c>
      <c r="D12" s="249">
        <f>Shadowlands!$C$38</f>
        <v>5.3655000000000008</v>
      </c>
      <c r="E12" s="249">
        <f t="shared" si="0"/>
        <v>0.8250000000000004</v>
      </c>
      <c r="G12" s="52">
        <f>Master!$F$35</f>
        <v>0.05</v>
      </c>
      <c r="H12" s="63">
        <f>Shadowlands!$F$38</f>
        <v>0.06</v>
      </c>
      <c r="I12" s="340">
        <f t="shared" si="1"/>
        <v>0.19999999999999996</v>
      </c>
      <c r="K12" s="341">
        <f t="shared" si="2"/>
        <v>58.8</v>
      </c>
      <c r="L12" s="342">
        <f t="shared" si="3"/>
        <v>89.425000000000011</v>
      </c>
      <c r="M12" s="237">
        <f t="shared" si="4"/>
        <v>0.5208333333333337</v>
      </c>
      <c r="O12" s="6"/>
    </row>
    <row r="13" spans="1:15" x14ac:dyDescent="0.35">
      <c r="A13" s="11" t="str">
        <f>Shadowlands!$A$39</f>
        <v>Healing Rain [6]</v>
      </c>
      <c r="B13" s="2"/>
      <c r="C13" s="51">
        <f>Master!$C$36</f>
        <v>6.0480000000000009</v>
      </c>
      <c r="D13" s="249">
        <f>Shadowlands!$C$39</f>
        <v>12.744000000000002</v>
      </c>
      <c r="E13" s="249">
        <f t="shared" si="0"/>
        <v>1.1071428571428572</v>
      </c>
      <c r="G13" s="52">
        <f>Master!$F$36</f>
        <v>4.3200000000000002E-2</v>
      </c>
      <c r="H13" s="52">
        <f>21.6%/5</f>
        <v>4.3200000000000002E-2</v>
      </c>
      <c r="I13" s="340">
        <f t="shared" si="1"/>
        <v>0</v>
      </c>
      <c r="K13" s="341">
        <f t="shared" si="2"/>
        <v>140</v>
      </c>
      <c r="L13" s="342">
        <f t="shared" si="3"/>
        <v>295</v>
      </c>
      <c r="M13" s="237">
        <f t="shared" si="4"/>
        <v>1.1071428571428572</v>
      </c>
      <c r="O13" s="6"/>
    </row>
    <row r="14" spans="1:15" x14ac:dyDescent="0.35">
      <c r="A14" s="11" t="str">
        <f>Shadowlands!$A$40</f>
        <v>Healing Stream Totem</v>
      </c>
      <c r="B14" s="2"/>
      <c r="C14" s="51">
        <f>Master!$C$37</f>
        <v>4.8</v>
      </c>
      <c r="D14" s="249">
        <f>Shadowlands!$C$40</f>
        <v>7.05</v>
      </c>
      <c r="E14" s="249">
        <f t="shared" si="0"/>
        <v>0.46875</v>
      </c>
      <c r="G14" s="52">
        <f>Master!$F$37</f>
        <v>2.1999999999999999E-2</v>
      </c>
      <c r="H14" s="63">
        <f>Shadowlands!$F$40</f>
        <v>1.7999999999999999E-2</v>
      </c>
      <c r="I14" s="340">
        <f t="shared" si="1"/>
        <v>-0.18181818181818188</v>
      </c>
      <c r="K14" s="341">
        <f t="shared" si="2"/>
        <v>218.18181818181819</v>
      </c>
      <c r="L14" s="342">
        <f t="shared" si="3"/>
        <v>391.66666666666669</v>
      </c>
      <c r="M14" s="237">
        <f t="shared" si="4"/>
        <v>0.79513888888888884</v>
      </c>
      <c r="O14" s="6"/>
    </row>
    <row r="15" spans="1:15" x14ac:dyDescent="0.35">
      <c r="A15" s="11" t="str">
        <f>Shadowlands!$A$41</f>
        <v>Healing Tide Totem [20]</v>
      </c>
      <c r="B15" s="2"/>
      <c r="C15" s="51">
        <f>Master!$C$38</f>
        <v>28.799999999999997</v>
      </c>
      <c r="D15" s="249">
        <f>Shadowlands!$C$41</f>
        <v>41.999999999999993</v>
      </c>
      <c r="E15" s="249">
        <f t="shared" si="0"/>
        <v>0.45833333333333326</v>
      </c>
      <c r="G15" s="52">
        <f>Master!$F$38</f>
        <v>1.12E-2</v>
      </c>
      <c r="H15" s="63">
        <f>Shadowlands!$F$41</f>
        <v>1.12E-2</v>
      </c>
      <c r="I15" s="340">
        <f t="shared" si="1"/>
        <v>0</v>
      </c>
      <c r="K15" s="341">
        <f t="shared" si="2"/>
        <v>2571.4285714285711</v>
      </c>
      <c r="L15" s="342">
        <f t="shared" si="3"/>
        <v>3749.9999999999995</v>
      </c>
      <c r="M15" s="237">
        <f t="shared" si="4"/>
        <v>0.45833333333333326</v>
      </c>
      <c r="O15" s="6"/>
    </row>
    <row r="16" spans="1:15" x14ac:dyDescent="0.35">
      <c r="A16" s="11"/>
      <c r="B16" s="2"/>
      <c r="C16" s="51"/>
      <c r="D16" s="249"/>
      <c r="E16" s="249" t="e">
        <f t="shared" si="0"/>
        <v>#DIV/0!</v>
      </c>
      <c r="G16" s="52"/>
      <c r="H16" s="63"/>
      <c r="I16" s="340" t="e">
        <f t="shared" si="1"/>
        <v>#DIV/0!</v>
      </c>
      <c r="K16" s="341" t="e">
        <f t="shared" si="2"/>
        <v>#DIV/0!</v>
      </c>
      <c r="L16" s="342" t="e">
        <f t="shared" si="3"/>
        <v>#DIV/0!</v>
      </c>
      <c r="M16" s="237" t="e">
        <f t="shared" si="4"/>
        <v>#DIV/0!</v>
      </c>
      <c r="O16" s="6"/>
    </row>
    <row r="17" spans="1:15" x14ac:dyDescent="0.35">
      <c r="A17" s="11" t="str">
        <f>Shadowlands!$A$46</f>
        <v>Regrowth</v>
      </c>
      <c r="B17" s="2"/>
      <c r="C17" s="51">
        <f>Master!$C$43</f>
        <v>1.5</v>
      </c>
      <c r="D17" s="249">
        <f>Shadowlands!$C$46</f>
        <v>2.1619999999999999</v>
      </c>
      <c r="E17" s="249">
        <f t="shared" si="0"/>
        <v>0.44133333333333336</v>
      </c>
      <c r="G17" s="52">
        <f>Master!$F$43</f>
        <v>2.8000000000000004E-2</v>
      </c>
      <c r="H17" s="63">
        <f>Shadowlands!$F$46</f>
        <v>3.4000000000000002E-2</v>
      </c>
      <c r="I17" s="340">
        <f t="shared" si="1"/>
        <v>0.21428571428571419</v>
      </c>
      <c r="K17" s="341">
        <f t="shared" si="2"/>
        <v>53.571428571428562</v>
      </c>
      <c r="L17" s="342">
        <f t="shared" si="3"/>
        <v>63.588235294117638</v>
      </c>
      <c r="M17" s="237">
        <f t="shared" si="4"/>
        <v>0.18698039215686268</v>
      </c>
      <c r="O17" s="6"/>
    </row>
    <row r="18" spans="1:15" x14ac:dyDescent="0.35">
      <c r="A18" s="11" t="str">
        <f>Shadowlands!$A$47</f>
        <v>Rejuvenation</v>
      </c>
      <c r="B18" s="2"/>
      <c r="C18" s="51">
        <f>Master!$C$44</f>
        <v>1.56</v>
      </c>
      <c r="D18" s="249">
        <f>Shadowlands!$C$47</f>
        <v>1.04</v>
      </c>
      <c r="E18" s="249">
        <f t="shared" si="0"/>
        <v>-0.33333333333333337</v>
      </c>
      <c r="G18" s="52">
        <f>Master!$F$44</f>
        <v>2.0999999999999998E-2</v>
      </c>
      <c r="H18" s="63">
        <f>Shadowlands!$F$47</f>
        <v>2.1999999999999999E-2</v>
      </c>
      <c r="I18" s="340">
        <f t="shared" si="1"/>
        <v>4.7619047619047672E-2</v>
      </c>
      <c r="K18" s="341">
        <f t="shared" si="2"/>
        <v>74.285714285714292</v>
      </c>
      <c r="L18" s="342">
        <f t="shared" si="3"/>
        <v>47.27272727272728</v>
      </c>
      <c r="M18" s="237">
        <f t="shared" si="4"/>
        <v>-0.36363636363636354</v>
      </c>
      <c r="O18" s="6"/>
    </row>
    <row r="19" spans="1:15" x14ac:dyDescent="0.35">
      <c r="A19" s="11" t="str">
        <f>Shadowlands!$A$48</f>
        <v>Lifebloom</v>
      </c>
      <c r="B19" s="2"/>
      <c r="C19" s="51">
        <f>Master!$C$45</f>
        <v>2.1500000000000004</v>
      </c>
      <c r="D19" s="249">
        <f>Shadowlands!$C$48</f>
        <v>3.0999999999999996</v>
      </c>
      <c r="E19" s="249">
        <f t="shared" ref="E19:E36" si="5">(D19/C19) - 1</f>
        <v>0.44186046511627874</v>
      </c>
      <c r="G19" s="52">
        <f>Master!$F$45</f>
        <v>2.2399999999999996E-2</v>
      </c>
      <c r="H19" s="63">
        <f>Shadowlands!$F$48</f>
        <v>1.6E-2</v>
      </c>
      <c r="I19" s="340">
        <f t="shared" ref="I19:I36" si="6">H19/G19 - 1</f>
        <v>-0.28571428571428559</v>
      </c>
      <c r="K19" s="341">
        <f t="shared" ref="K19:K36" si="7">C19/G19</f>
        <v>95.98214285714289</v>
      </c>
      <c r="L19" s="342">
        <f t="shared" ref="L19:L36" si="8">D19/H19</f>
        <v>193.74999999999997</v>
      </c>
      <c r="M19" s="237">
        <f t="shared" ref="M19:M36" si="9">(L19/K19) - 1</f>
        <v>1.0186046511627898</v>
      </c>
      <c r="O19" s="6"/>
    </row>
    <row r="20" spans="1:15" x14ac:dyDescent="0.35">
      <c r="A20" s="11" t="str">
        <f>Shadowlands!$A$49</f>
        <v>Swiftmend</v>
      </c>
      <c r="B20" s="2"/>
      <c r="C20" s="51">
        <f>Master!$C$46</f>
        <v>2.4</v>
      </c>
      <c r="D20" s="249">
        <f>Shadowlands!$C$49</f>
        <v>3.45</v>
      </c>
      <c r="E20" s="249">
        <f t="shared" si="5"/>
        <v>0.43750000000000022</v>
      </c>
      <c r="G20" s="52">
        <f>Master!$F$46</f>
        <v>2.8000000000000001E-2</v>
      </c>
      <c r="H20" s="63">
        <f>Shadowlands!$F$49</f>
        <v>1.6E-2</v>
      </c>
      <c r="I20" s="340">
        <f t="shared" si="6"/>
        <v>-0.4285714285714286</v>
      </c>
      <c r="K20" s="341">
        <f t="shared" si="7"/>
        <v>85.714285714285708</v>
      </c>
      <c r="L20" s="342">
        <f t="shared" si="8"/>
        <v>215.625</v>
      </c>
      <c r="M20" s="237">
        <f t="shared" si="9"/>
        <v>1.515625</v>
      </c>
      <c r="O20" s="6"/>
    </row>
    <row r="21" spans="1:15" x14ac:dyDescent="0.35">
      <c r="A21" s="11" t="str">
        <f>Shadowlands!$A$50</f>
        <v>Wild Growth [6]</v>
      </c>
      <c r="B21" s="2"/>
      <c r="C21" s="51">
        <f>Master!$C$47</f>
        <v>4.1579999999999995</v>
      </c>
      <c r="D21" s="249">
        <f>Shadowlands!$C$50</f>
        <v>5.46</v>
      </c>
      <c r="E21" s="249">
        <f t="shared" si="5"/>
        <v>0.31313131313131337</v>
      </c>
      <c r="G21" s="52">
        <f>Master!$F$47</f>
        <v>5.6000000000000008E-2</v>
      </c>
      <c r="H21" s="63">
        <f>Shadowlands!$F$50</f>
        <v>4.3999999999999997E-2</v>
      </c>
      <c r="I21" s="340">
        <f t="shared" si="6"/>
        <v>-0.21428571428571441</v>
      </c>
      <c r="K21" s="341">
        <f t="shared" si="7"/>
        <v>74.249999999999986</v>
      </c>
      <c r="L21" s="342">
        <f t="shared" si="8"/>
        <v>124.09090909090909</v>
      </c>
      <c r="M21" s="237">
        <f t="shared" si="9"/>
        <v>0.67125803489439884</v>
      </c>
      <c r="O21" s="6"/>
    </row>
    <row r="22" spans="1:15" x14ac:dyDescent="0.35">
      <c r="A22" s="11" t="str">
        <f>Shadowlands!$A$51</f>
        <v>Efflo [3]</v>
      </c>
      <c r="B22" s="2" t="s">
        <v>511</v>
      </c>
      <c r="C22" s="51">
        <f>Master!$C$48</f>
        <v>7.29</v>
      </c>
      <c r="D22" s="249">
        <f>Shadowlands!$C$51</f>
        <v>10.485000000000001</v>
      </c>
      <c r="E22" s="249">
        <f t="shared" si="5"/>
        <v>0.43827160493827177</v>
      </c>
      <c r="G22" s="52">
        <f>Master!$F$48</f>
        <v>3.4000000000000002E-2</v>
      </c>
      <c r="H22" s="63">
        <f>Shadowlands!$F$51</f>
        <v>3.4000000000000002E-2</v>
      </c>
      <c r="I22" s="340">
        <f t="shared" si="6"/>
        <v>0</v>
      </c>
      <c r="K22" s="341">
        <f t="shared" si="7"/>
        <v>214.41176470588235</v>
      </c>
      <c r="L22" s="342">
        <f t="shared" si="8"/>
        <v>308.38235294117646</v>
      </c>
      <c r="M22" s="237">
        <f t="shared" si="9"/>
        <v>0.43827160493827155</v>
      </c>
      <c r="O22" s="6"/>
    </row>
    <row r="23" spans="1:15" x14ac:dyDescent="0.35">
      <c r="A23" s="11"/>
      <c r="B23" s="2"/>
      <c r="C23" s="51"/>
      <c r="D23" s="249"/>
      <c r="E23" s="249" t="e">
        <f t="shared" si="5"/>
        <v>#DIV/0!</v>
      </c>
      <c r="G23" s="52"/>
      <c r="H23" s="63"/>
      <c r="I23" s="340" t="e">
        <f t="shared" si="6"/>
        <v>#DIV/0!</v>
      </c>
      <c r="K23" s="341" t="e">
        <f t="shared" si="7"/>
        <v>#DIV/0!</v>
      </c>
      <c r="L23" s="342" t="e">
        <f t="shared" si="8"/>
        <v>#DIV/0!</v>
      </c>
      <c r="M23" s="237" t="e">
        <f t="shared" si="9"/>
        <v>#DIV/0!</v>
      </c>
      <c r="O23" s="6"/>
    </row>
    <row r="24" spans="1:15" x14ac:dyDescent="0.35">
      <c r="A24" s="11" t="str">
        <f>Shadowlands!$A$57</f>
        <v>Holy Shock</v>
      </c>
      <c r="B24" s="2"/>
      <c r="C24" s="51">
        <f>Master!$C$54</f>
        <v>1.9500000000000002</v>
      </c>
      <c r="D24" s="249">
        <f>Shadowlands!$C$57</f>
        <v>1.8199999999999998</v>
      </c>
      <c r="E24" s="249">
        <f t="shared" si="5"/>
        <v>-6.6666666666666874E-2</v>
      </c>
      <c r="G24" s="52">
        <f>Master!$F$54</f>
        <v>0.02</v>
      </c>
      <c r="H24" s="63">
        <f>Shadowlands!$F$57</f>
        <v>0.02</v>
      </c>
      <c r="I24" s="340">
        <f t="shared" si="6"/>
        <v>0</v>
      </c>
      <c r="K24" s="341">
        <f t="shared" si="7"/>
        <v>97.5</v>
      </c>
      <c r="L24" s="342">
        <f t="shared" si="8"/>
        <v>90.999999999999986</v>
      </c>
      <c r="M24" s="237">
        <f t="shared" si="9"/>
        <v>-6.6666666666666763E-2</v>
      </c>
      <c r="O24" s="6"/>
    </row>
    <row r="25" spans="1:15" x14ac:dyDescent="0.35">
      <c r="A25" s="11" t="str">
        <f>Shadowlands!$A$58</f>
        <v>Flash of Light</v>
      </c>
      <c r="B25" s="2"/>
      <c r="C25" s="51">
        <f>Master!$C$55</f>
        <v>1.34</v>
      </c>
      <c r="D25" s="249">
        <f>Shadowlands!$C$58</f>
        <v>1.2</v>
      </c>
      <c r="E25" s="249">
        <f t="shared" si="5"/>
        <v>-0.10447761194029859</v>
      </c>
      <c r="G25" s="52">
        <f>Master!$F$55</f>
        <v>4.3999999999999997E-2</v>
      </c>
      <c r="H25" s="63">
        <f>Shadowlands!$F$58</f>
        <v>4.3999999999999997E-2</v>
      </c>
      <c r="I25" s="340">
        <f t="shared" si="6"/>
        <v>0</v>
      </c>
      <c r="K25" s="341">
        <f t="shared" si="7"/>
        <v>30.454545454545457</v>
      </c>
      <c r="L25" s="342">
        <f t="shared" si="8"/>
        <v>27.272727272727273</v>
      </c>
      <c r="M25" s="237">
        <f t="shared" si="9"/>
        <v>-0.10447761194029859</v>
      </c>
      <c r="O25" s="6"/>
    </row>
    <row r="26" spans="1:15" x14ac:dyDescent="0.35">
      <c r="A26" s="11" t="str">
        <f>Shadowlands!$A$59</f>
        <v>Holy Light</v>
      </c>
      <c r="B26" s="2"/>
      <c r="C26" s="51">
        <f>Master!$C$56</f>
        <v>1.5</v>
      </c>
      <c r="D26" s="249">
        <f>Shadowlands!$C$59</f>
        <v>2.4</v>
      </c>
      <c r="E26" s="249">
        <f t="shared" si="5"/>
        <v>0.59999999999999987</v>
      </c>
      <c r="G26" s="52">
        <f>Master!$F$56</f>
        <v>2.6000000000000002E-2</v>
      </c>
      <c r="H26" s="63">
        <f>Shadowlands!$F$59</f>
        <v>3.2000000000000001E-2</v>
      </c>
      <c r="I26" s="340">
        <f t="shared" si="6"/>
        <v>0.23076923076923062</v>
      </c>
      <c r="K26" s="341">
        <f t="shared" si="7"/>
        <v>57.692307692307686</v>
      </c>
      <c r="L26" s="342">
        <f t="shared" si="8"/>
        <v>75</v>
      </c>
      <c r="M26" s="237">
        <f t="shared" si="9"/>
        <v>0.30000000000000004</v>
      </c>
      <c r="O26" s="6"/>
    </row>
    <row r="27" spans="1:15" x14ac:dyDescent="0.35">
      <c r="A27" s="11" t="str">
        <f>Shadowlands!$A$60</f>
        <v>Light of Dawn [5]</v>
      </c>
      <c r="B27" s="2"/>
      <c r="C27" s="51">
        <f>Master!$C$57</f>
        <v>2.75</v>
      </c>
      <c r="D27" s="249">
        <f>Shadowlands!$C$60</f>
        <v>4.2</v>
      </c>
      <c r="E27" s="249">
        <f t="shared" si="5"/>
        <v>0.52727272727272734</v>
      </c>
      <c r="G27" s="52">
        <f>Master!$F$57</f>
        <v>2.8000000000000001E-2</v>
      </c>
      <c r="H27" s="63" t="str">
        <f>Shadowlands!$F$60</f>
        <v>3 Holy Power</v>
      </c>
      <c r="I27" s="340" t="e">
        <f t="shared" si="6"/>
        <v>#VALUE!</v>
      </c>
      <c r="K27" s="341">
        <f t="shared" si="7"/>
        <v>98.214285714285708</v>
      </c>
      <c r="L27" s="342" t="e">
        <f t="shared" si="8"/>
        <v>#VALUE!</v>
      </c>
      <c r="M27" s="237" t="e">
        <f t="shared" si="9"/>
        <v>#VALUE!</v>
      </c>
      <c r="O27" s="6"/>
    </row>
    <row r="28" spans="1:15" x14ac:dyDescent="0.35">
      <c r="A28" s="11"/>
      <c r="B28" s="2"/>
      <c r="C28" s="51"/>
      <c r="D28" s="249"/>
      <c r="E28" s="249" t="e">
        <f t="shared" si="5"/>
        <v>#DIV/0!</v>
      </c>
      <c r="G28" s="52"/>
      <c r="H28" s="63"/>
      <c r="I28" s="340" t="e">
        <f t="shared" si="6"/>
        <v>#DIV/0!</v>
      </c>
      <c r="K28" s="341" t="e">
        <f t="shared" si="7"/>
        <v>#DIV/0!</v>
      </c>
      <c r="L28" s="342" t="e">
        <f t="shared" si="8"/>
        <v>#DIV/0!</v>
      </c>
      <c r="M28" s="237" t="e">
        <f t="shared" si="9"/>
        <v>#DIV/0!</v>
      </c>
      <c r="O28" s="6"/>
    </row>
    <row r="29" spans="1:15" x14ac:dyDescent="0.35">
      <c r="A29" s="11" t="str">
        <f>Shadowlands!$A$66</f>
        <v>Heal</v>
      </c>
      <c r="B29" s="2"/>
      <c r="C29" s="51">
        <f>Master!$C$62</f>
        <v>1.75</v>
      </c>
      <c r="D29" s="249">
        <f>Shadowlands!$C$66</f>
        <v>2.1</v>
      </c>
      <c r="E29" s="249">
        <f t="shared" si="5"/>
        <v>0.19999999999999996</v>
      </c>
      <c r="G29" s="52">
        <f>Master!$F$62</f>
        <v>1.9E-2</v>
      </c>
      <c r="H29" s="63">
        <f>Shadowlands!$F$66</f>
        <v>2.4E-2</v>
      </c>
      <c r="I29" s="340">
        <f t="shared" si="6"/>
        <v>0.26315789473684226</v>
      </c>
      <c r="K29" s="341">
        <f t="shared" si="7"/>
        <v>92.10526315789474</v>
      </c>
      <c r="L29" s="342">
        <f t="shared" si="8"/>
        <v>87.5</v>
      </c>
      <c r="M29" s="237">
        <f t="shared" si="9"/>
        <v>-5.0000000000000044E-2</v>
      </c>
      <c r="O29" s="6"/>
    </row>
    <row r="30" spans="1:15" x14ac:dyDescent="0.35">
      <c r="A30" s="11" t="str">
        <f>Shadowlands!$A$67</f>
        <v>Flash Heal</v>
      </c>
      <c r="B30" s="2"/>
      <c r="C30" s="51">
        <f>Master!$C$63</f>
        <v>1.35</v>
      </c>
      <c r="D30" s="249">
        <f>Shadowlands!$C$67</f>
        <v>1.35</v>
      </c>
      <c r="E30" s="249">
        <f t="shared" si="5"/>
        <v>0</v>
      </c>
      <c r="G30" s="52">
        <f>Master!$F$63</f>
        <v>0.03</v>
      </c>
      <c r="H30" s="63">
        <f>Shadowlands!$F$67</f>
        <v>3.5999999999999997E-2</v>
      </c>
      <c r="I30" s="340">
        <f t="shared" si="6"/>
        <v>0.19999999999999996</v>
      </c>
      <c r="K30" s="341">
        <f t="shared" si="7"/>
        <v>45.000000000000007</v>
      </c>
      <c r="L30" s="342">
        <f t="shared" si="8"/>
        <v>37.500000000000007</v>
      </c>
      <c r="M30" s="237">
        <f t="shared" si="9"/>
        <v>-0.16666666666666663</v>
      </c>
      <c r="O30" s="6"/>
    </row>
    <row r="31" spans="1:15" x14ac:dyDescent="0.35">
      <c r="A31" s="11" t="str">
        <f>Shadowlands!$A$70</f>
        <v>Prayer of Healing [5]</v>
      </c>
      <c r="B31" s="2"/>
      <c r="C31" s="51">
        <f>Master!$C$66</f>
        <v>3.125</v>
      </c>
      <c r="D31" s="249">
        <f>Shadowlands!$C$70</f>
        <v>3.125</v>
      </c>
      <c r="E31" s="249">
        <f t="shared" si="5"/>
        <v>0</v>
      </c>
      <c r="G31" s="52">
        <f>Master!$F$66</f>
        <v>4.4999999999999998E-2</v>
      </c>
      <c r="H31" s="63">
        <f>Shadowlands!$F$70</f>
        <v>0.05</v>
      </c>
      <c r="I31" s="340">
        <f t="shared" si="6"/>
        <v>0.11111111111111116</v>
      </c>
      <c r="K31" s="341">
        <f t="shared" si="7"/>
        <v>69.444444444444443</v>
      </c>
      <c r="L31" s="342">
        <f t="shared" si="8"/>
        <v>62.5</v>
      </c>
      <c r="M31" s="237">
        <f t="shared" si="9"/>
        <v>-9.9999999999999978E-2</v>
      </c>
      <c r="O31" s="6"/>
    </row>
    <row r="32" spans="1:15" x14ac:dyDescent="0.35">
      <c r="A32" s="11"/>
      <c r="B32" s="2"/>
      <c r="C32" s="51"/>
      <c r="D32" s="249"/>
      <c r="E32" s="249" t="e">
        <f t="shared" si="5"/>
        <v>#DIV/0!</v>
      </c>
      <c r="G32" s="52"/>
      <c r="H32" s="63"/>
      <c r="I32" s="340" t="e">
        <f t="shared" si="6"/>
        <v>#DIV/0!</v>
      </c>
      <c r="K32" s="341" t="e">
        <f t="shared" si="7"/>
        <v>#DIV/0!</v>
      </c>
      <c r="L32" s="342" t="e">
        <f t="shared" si="8"/>
        <v>#DIV/0!</v>
      </c>
      <c r="M32" s="237" t="e">
        <f t="shared" si="9"/>
        <v>#DIV/0!</v>
      </c>
      <c r="O32" s="6"/>
    </row>
    <row r="33" spans="1:15" x14ac:dyDescent="0.35">
      <c r="A33" s="11"/>
      <c r="B33" s="2"/>
      <c r="C33" s="51"/>
      <c r="D33" s="249"/>
      <c r="E33" s="249" t="e">
        <f t="shared" si="5"/>
        <v>#DIV/0!</v>
      </c>
      <c r="G33" s="52"/>
      <c r="H33" s="63"/>
      <c r="I33" s="340" t="e">
        <f t="shared" si="6"/>
        <v>#DIV/0!</v>
      </c>
      <c r="K33" s="341" t="e">
        <f t="shared" si="7"/>
        <v>#DIV/0!</v>
      </c>
      <c r="L33" s="342" t="e">
        <f t="shared" si="8"/>
        <v>#DIV/0!</v>
      </c>
      <c r="M33" s="237" t="e">
        <f t="shared" si="9"/>
        <v>#DIV/0!</v>
      </c>
      <c r="O33" s="6"/>
    </row>
    <row r="34" spans="1:15" x14ac:dyDescent="0.35">
      <c r="A34" s="11"/>
      <c r="B34" s="2"/>
      <c r="C34" s="51"/>
      <c r="D34" s="249"/>
      <c r="E34" s="249" t="e">
        <f t="shared" si="5"/>
        <v>#DIV/0!</v>
      </c>
      <c r="G34" s="52"/>
      <c r="H34" s="63"/>
      <c r="I34" s="340" t="e">
        <f t="shared" si="6"/>
        <v>#DIV/0!</v>
      </c>
      <c r="K34" s="341" t="e">
        <f t="shared" si="7"/>
        <v>#DIV/0!</v>
      </c>
      <c r="L34" s="342" t="e">
        <f t="shared" si="8"/>
        <v>#DIV/0!</v>
      </c>
      <c r="M34" s="237" t="e">
        <f t="shared" si="9"/>
        <v>#DIV/0!</v>
      </c>
      <c r="O34" s="6"/>
    </row>
    <row r="35" spans="1:15" x14ac:dyDescent="0.35">
      <c r="A35" s="11"/>
      <c r="B35" s="2"/>
      <c r="C35" s="51"/>
      <c r="D35" s="249"/>
      <c r="E35" s="249" t="e">
        <f t="shared" si="5"/>
        <v>#DIV/0!</v>
      </c>
      <c r="G35" s="52"/>
      <c r="H35" s="63"/>
      <c r="I35" s="340" t="e">
        <f t="shared" si="6"/>
        <v>#DIV/0!</v>
      </c>
      <c r="K35" s="341" t="e">
        <f t="shared" si="7"/>
        <v>#DIV/0!</v>
      </c>
      <c r="L35" s="342" t="e">
        <f t="shared" si="8"/>
        <v>#DIV/0!</v>
      </c>
      <c r="M35" s="237" t="e">
        <f t="shared" si="9"/>
        <v>#DIV/0!</v>
      </c>
      <c r="O35" s="6"/>
    </row>
    <row r="36" spans="1:15" x14ac:dyDescent="0.35">
      <c r="A36" s="11"/>
      <c r="B36" s="2"/>
      <c r="C36" s="51"/>
      <c r="D36" s="249"/>
      <c r="E36" s="249" t="e">
        <f t="shared" si="5"/>
        <v>#DIV/0!</v>
      </c>
      <c r="G36" s="52"/>
      <c r="H36" s="63"/>
      <c r="I36" s="340" t="e">
        <f t="shared" si="6"/>
        <v>#DIV/0!</v>
      </c>
      <c r="K36" s="341" t="e">
        <f t="shared" si="7"/>
        <v>#DIV/0!</v>
      </c>
      <c r="L36" s="342" t="e">
        <f t="shared" si="8"/>
        <v>#DIV/0!</v>
      </c>
      <c r="M36" s="237" t="e">
        <f t="shared" si="9"/>
        <v>#DIV/0!</v>
      </c>
      <c r="O36" s="6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BDBD-BF49-4288-ADEB-C8FCEE0BCE76}">
  <sheetPr>
    <tabColor rgb="FF9999FF"/>
  </sheetPr>
  <dimension ref="A1:M27"/>
  <sheetViews>
    <sheetView zoomScale="130" zoomScaleNormal="130" workbookViewId="0">
      <selection activeCell="H26" sqref="H26"/>
    </sheetView>
  </sheetViews>
  <sheetFormatPr defaultRowHeight="14.5" x14ac:dyDescent="0.35"/>
  <cols>
    <col min="1" max="1" width="20.6328125" customWidth="1"/>
    <col min="2" max="6" width="10.6328125" customWidth="1"/>
    <col min="7" max="7" width="20.6328125" customWidth="1"/>
    <col min="8" max="10" width="10.6328125" customWidth="1"/>
    <col min="11" max="11" width="5.6328125" customWidth="1"/>
    <col min="12" max="12" width="10.6328125" customWidth="1"/>
    <col min="13" max="13" width="10.08984375" bestFit="1" customWidth="1"/>
  </cols>
  <sheetData>
    <row r="1" spans="1:13" x14ac:dyDescent="0.35">
      <c r="A1" s="391" t="s">
        <v>519</v>
      </c>
      <c r="G1" s="390" t="s">
        <v>518</v>
      </c>
    </row>
    <row r="3" spans="1:13" x14ac:dyDescent="0.35">
      <c r="A3" t="s">
        <v>521</v>
      </c>
      <c r="G3" t="s">
        <v>520</v>
      </c>
      <c r="H3" s="50">
        <v>0.91</v>
      </c>
      <c r="I3" s="100">
        <v>0.16800000000000001</v>
      </c>
      <c r="J3" s="299">
        <f>H3+I3</f>
        <v>1.0780000000000001</v>
      </c>
      <c r="L3" s="50">
        <v>0.04</v>
      </c>
      <c r="M3" s="393">
        <f>J3/L3</f>
        <v>26.950000000000003</v>
      </c>
    </row>
    <row r="4" spans="1:13" x14ac:dyDescent="0.35">
      <c r="H4" t="s">
        <v>522</v>
      </c>
      <c r="I4" t="s">
        <v>523</v>
      </c>
      <c r="J4" t="s">
        <v>246</v>
      </c>
      <c r="L4" t="s">
        <v>373</v>
      </c>
      <c r="M4" t="s">
        <v>274</v>
      </c>
    </row>
    <row r="6" spans="1:13" x14ac:dyDescent="0.35">
      <c r="H6">
        <v>5</v>
      </c>
      <c r="I6">
        <v>5</v>
      </c>
      <c r="J6">
        <v>5</v>
      </c>
      <c r="L6" s="50"/>
    </row>
    <row r="7" spans="1:13" x14ac:dyDescent="0.35">
      <c r="H7" t="s">
        <v>524</v>
      </c>
      <c r="I7" t="s">
        <v>524</v>
      </c>
      <c r="J7" t="s">
        <v>524</v>
      </c>
    </row>
    <row r="9" spans="1:13" x14ac:dyDescent="0.35">
      <c r="H9" s="392">
        <f>H3*H6</f>
        <v>4.55</v>
      </c>
      <c r="I9" s="392">
        <f>I3*I6</f>
        <v>0.84000000000000008</v>
      </c>
      <c r="J9" s="392">
        <f>J3*J6</f>
        <v>5.3900000000000006</v>
      </c>
      <c r="L9" s="50">
        <v>0.04</v>
      </c>
      <c r="M9" s="393">
        <f>J9/L9</f>
        <v>134.75</v>
      </c>
    </row>
    <row r="10" spans="1:13" x14ac:dyDescent="0.35">
      <c r="L10" t="s">
        <v>373</v>
      </c>
      <c r="M10" t="s">
        <v>274</v>
      </c>
    </row>
    <row r="13" spans="1:13" x14ac:dyDescent="0.35">
      <c r="G13" t="s">
        <v>525</v>
      </c>
      <c r="H13">
        <f>100/6</f>
        <v>16.666666666666668</v>
      </c>
    </row>
    <row r="14" spans="1:13" x14ac:dyDescent="0.35">
      <c r="H14" t="s">
        <v>526</v>
      </c>
    </row>
    <row r="16" spans="1:13" x14ac:dyDescent="0.35">
      <c r="H16" t="s">
        <v>527</v>
      </c>
    </row>
    <row r="17" spans="7:9" x14ac:dyDescent="0.35">
      <c r="H17" s="122">
        <f>Master!G7</f>
        <v>0.12121212121212122</v>
      </c>
      <c r="I17">
        <f>Master!M9</f>
        <v>1.4166666666666667</v>
      </c>
    </row>
    <row r="19" spans="7:9" x14ac:dyDescent="0.35">
      <c r="H19">
        <f>H13*I17</f>
        <v>23.611111111111114</v>
      </c>
    </row>
    <row r="20" spans="7:9" x14ac:dyDescent="0.35">
      <c r="H20" t="s">
        <v>529</v>
      </c>
    </row>
    <row r="22" spans="7:9" x14ac:dyDescent="0.35">
      <c r="H22" t="s">
        <v>530</v>
      </c>
    </row>
    <row r="25" spans="7:9" x14ac:dyDescent="0.35">
      <c r="G25" t="s">
        <v>531</v>
      </c>
    </row>
    <row r="26" spans="7:9" x14ac:dyDescent="0.35">
      <c r="G26" t="s">
        <v>532</v>
      </c>
    </row>
    <row r="27" spans="7:9" x14ac:dyDescent="0.35">
      <c r="G27" t="s">
        <v>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5299-912F-4CF6-AC27-1AC86979C3E0}">
  <dimension ref="A1:M51"/>
  <sheetViews>
    <sheetView zoomScale="115" zoomScaleNormal="115" workbookViewId="0">
      <selection activeCell="A8" sqref="A8"/>
    </sheetView>
  </sheetViews>
  <sheetFormatPr defaultRowHeight="14.5" x14ac:dyDescent="0.35"/>
  <cols>
    <col min="1" max="1" width="22.26953125" customWidth="1"/>
    <col min="2" max="2" width="4.7265625" customWidth="1"/>
    <col min="3" max="3" width="15.7265625" customWidth="1"/>
    <col min="4" max="4" width="5.1796875" customWidth="1"/>
    <col min="5" max="5" width="5" customWidth="1"/>
    <col min="6" max="6" width="21.7265625" customWidth="1"/>
    <col min="7" max="7" width="5" customWidth="1"/>
    <col min="8" max="8" width="13.1796875" customWidth="1"/>
    <col min="9" max="9" width="4.54296875" customWidth="1"/>
    <col min="10" max="10" width="4.26953125" customWidth="1"/>
    <col min="11" max="11" width="24" customWidth="1"/>
    <col min="12" max="12" width="5.36328125" customWidth="1"/>
    <col min="13" max="13" width="12.08984375" customWidth="1"/>
  </cols>
  <sheetData>
    <row r="1" spans="1:13" x14ac:dyDescent="0.35">
      <c r="A1" t="s">
        <v>73</v>
      </c>
    </row>
    <row r="2" spans="1:13" x14ac:dyDescent="0.35">
      <c r="A2" t="s">
        <v>96</v>
      </c>
      <c r="F2" t="s">
        <v>95</v>
      </c>
      <c r="K2" t="s">
        <v>97</v>
      </c>
    </row>
    <row r="3" spans="1:13" x14ac:dyDescent="0.35">
      <c r="A3" t="s">
        <v>74</v>
      </c>
      <c r="C3" t="s">
        <v>75</v>
      </c>
      <c r="F3" t="s">
        <v>74</v>
      </c>
      <c r="H3" t="s">
        <v>75</v>
      </c>
      <c r="K3" t="s">
        <v>74</v>
      </c>
      <c r="M3" t="s">
        <v>75</v>
      </c>
    </row>
    <row r="4" spans="1:13" x14ac:dyDescent="0.35">
      <c r="A4" s="6" t="str">
        <f>Master!A49</f>
        <v>Tranquility [20]</v>
      </c>
      <c r="B4" s="6"/>
      <c r="C4" s="6">
        <f>Master!C49</f>
        <v>49</v>
      </c>
      <c r="F4" s="6" t="s">
        <v>83</v>
      </c>
      <c r="G4" s="6"/>
      <c r="H4" s="6">
        <v>24.5</v>
      </c>
      <c r="K4" s="6" t="s">
        <v>82</v>
      </c>
      <c r="L4" s="6"/>
      <c r="M4" s="6">
        <v>49</v>
      </c>
    </row>
    <row r="5" spans="1:13" x14ac:dyDescent="0.35">
      <c r="A5" s="1" t="str">
        <f>Master!A28</f>
        <v>Revival [20]</v>
      </c>
      <c r="B5" s="1"/>
      <c r="C5" s="1">
        <f>Master!C28</f>
        <v>45</v>
      </c>
      <c r="F5" s="71" t="s">
        <v>92</v>
      </c>
      <c r="G5" s="71"/>
      <c r="H5" s="71">
        <v>21.5</v>
      </c>
      <c r="K5" s="71" t="s">
        <v>91</v>
      </c>
      <c r="L5" s="71"/>
      <c r="M5" s="71">
        <v>43</v>
      </c>
    </row>
    <row r="6" spans="1:13" x14ac:dyDescent="0.35">
      <c r="A6" s="71" t="str">
        <f>Master!A70</f>
        <v>Divine Hymn [20]</v>
      </c>
      <c r="B6" s="71"/>
      <c r="C6" s="71">
        <f>Master!C70</f>
        <v>43</v>
      </c>
      <c r="F6" s="1" t="s">
        <v>54</v>
      </c>
      <c r="G6" s="1"/>
      <c r="H6" s="1">
        <v>12.6</v>
      </c>
      <c r="K6" s="1" t="s">
        <v>78</v>
      </c>
      <c r="L6" s="1"/>
      <c r="M6" s="1">
        <v>40</v>
      </c>
    </row>
    <row r="7" spans="1:13" x14ac:dyDescent="0.35">
      <c r="A7" s="4" t="str">
        <f>Master!A38</f>
        <v>Healing Tide Totem [20]</v>
      </c>
      <c r="B7" s="4"/>
      <c r="C7" s="4">
        <f>Master!C38</f>
        <v>28.799999999999997</v>
      </c>
      <c r="F7" s="71" t="s">
        <v>90</v>
      </c>
      <c r="G7" s="71"/>
      <c r="H7" s="71">
        <v>10.5</v>
      </c>
      <c r="K7" s="4" t="s">
        <v>81</v>
      </c>
      <c r="L7" s="4"/>
      <c r="M7" s="4">
        <v>24</v>
      </c>
    </row>
    <row r="8" spans="1:13" x14ac:dyDescent="0.35">
      <c r="A8" s="6" t="str">
        <f>Master!A50</f>
        <v>Tranquility [5]</v>
      </c>
      <c r="B8" s="6"/>
      <c r="C8" s="6">
        <f>Master!C50</f>
        <v>24.5</v>
      </c>
      <c r="F8" s="1" t="s">
        <v>98</v>
      </c>
      <c r="G8" s="1"/>
      <c r="H8" s="1">
        <v>10</v>
      </c>
      <c r="K8" s="1" t="s">
        <v>54</v>
      </c>
      <c r="L8" s="1"/>
      <c r="M8" s="1">
        <v>12.6</v>
      </c>
    </row>
    <row r="9" spans="1:13" x14ac:dyDescent="0.35">
      <c r="A9" s="71" t="str">
        <f>Master!A71</f>
        <v>Divine Hymn [5]</v>
      </c>
      <c r="B9" s="71"/>
      <c r="C9" s="71">
        <f>Master!C71</f>
        <v>21.5</v>
      </c>
      <c r="F9" s="4" t="s">
        <v>99</v>
      </c>
      <c r="G9" s="4"/>
      <c r="H9" s="4">
        <v>7.1999999999999993</v>
      </c>
      <c r="K9" s="71" t="s">
        <v>90</v>
      </c>
      <c r="L9" s="71"/>
      <c r="M9" s="71">
        <v>10.5</v>
      </c>
    </row>
    <row r="10" spans="1:13" x14ac:dyDescent="0.35">
      <c r="A10" s="1" t="str">
        <f>Master!A27</f>
        <v>Revival [5]</v>
      </c>
      <c r="B10" s="1"/>
      <c r="C10" s="1">
        <f>Master!C27</f>
        <v>11.25</v>
      </c>
      <c r="F10" s="67" t="s">
        <v>94</v>
      </c>
      <c r="G10" s="67"/>
      <c r="H10" s="67">
        <v>6.75</v>
      </c>
      <c r="K10" s="1" t="s">
        <v>77</v>
      </c>
      <c r="L10" s="1"/>
      <c r="M10" s="1">
        <v>8.2349999999999994</v>
      </c>
    </row>
    <row r="11" spans="1:13" x14ac:dyDescent="0.35">
      <c r="A11" s="1" t="str">
        <f>Master!A26</f>
        <v>Life Cocoon</v>
      </c>
      <c r="B11" s="1"/>
      <c r="C11" s="1">
        <f>Master!C26</f>
        <v>11</v>
      </c>
      <c r="F11" s="1" t="s">
        <v>76</v>
      </c>
      <c r="G11" s="1"/>
      <c r="H11" s="1">
        <v>6.6749999999999998</v>
      </c>
      <c r="K11" s="67" t="s">
        <v>94</v>
      </c>
      <c r="L11" s="67"/>
      <c r="M11" s="67">
        <v>6.75</v>
      </c>
    </row>
    <row r="12" spans="1:13" x14ac:dyDescent="0.35">
      <c r="A12" s="71" t="str">
        <f>Master!A69</f>
        <v>Holy Word: Sanctify [6]</v>
      </c>
      <c r="B12" s="71"/>
      <c r="C12" s="71">
        <f>Master!C69</f>
        <v>10.5</v>
      </c>
      <c r="F12" s="6" t="s">
        <v>87</v>
      </c>
      <c r="G12" s="6"/>
      <c r="H12" s="6">
        <v>6.3500849999999991</v>
      </c>
      <c r="K12" s="6" t="s">
        <v>87</v>
      </c>
      <c r="L12" s="6"/>
      <c r="M12" s="6">
        <v>6.3500849999999991</v>
      </c>
    </row>
    <row r="13" spans="1:13" x14ac:dyDescent="0.35">
      <c r="A13" s="1" t="str">
        <f>Master!A25</f>
        <v>Essence Font [18]</v>
      </c>
      <c r="B13" s="1"/>
      <c r="C13" s="1">
        <f>Master!C25</f>
        <v>8.2349999999999994</v>
      </c>
      <c r="F13" s="71" t="s">
        <v>45</v>
      </c>
      <c r="G13" s="71"/>
      <c r="H13" s="71">
        <v>5</v>
      </c>
      <c r="K13" s="71" t="s">
        <v>45</v>
      </c>
      <c r="L13" s="71"/>
      <c r="M13" s="71">
        <v>5</v>
      </c>
    </row>
    <row r="14" spans="1:13" x14ac:dyDescent="0.35">
      <c r="A14" s="6" t="str">
        <f>Master!A48</f>
        <v>Efflo [3]</v>
      </c>
      <c r="B14" s="6"/>
      <c r="C14" s="6">
        <f>Master!C48</f>
        <v>7.29</v>
      </c>
      <c r="F14" s="4" t="s">
        <v>52</v>
      </c>
      <c r="G14" s="4"/>
      <c r="H14" s="4">
        <v>4.8</v>
      </c>
      <c r="K14" s="4" t="s">
        <v>52</v>
      </c>
      <c r="L14" s="4"/>
      <c r="M14" s="4">
        <v>4.8</v>
      </c>
    </row>
    <row r="15" spans="1:13" x14ac:dyDescent="0.35">
      <c r="A15" s="4" t="str">
        <f>Master!A39</f>
        <v>Healing Tide Totem [5]</v>
      </c>
      <c r="B15" s="4"/>
      <c r="C15" s="4">
        <f>Master!C39</f>
        <v>7.1999999999999993</v>
      </c>
      <c r="F15" s="4" t="s">
        <v>80</v>
      </c>
      <c r="G15" s="4"/>
      <c r="H15" s="4">
        <v>4.5</v>
      </c>
      <c r="K15" s="1" t="s">
        <v>85</v>
      </c>
      <c r="L15" s="1"/>
      <c r="M15" s="1">
        <v>4.55</v>
      </c>
    </row>
    <row r="16" spans="1:13" x14ac:dyDescent="0.35">
      <c r="A16" s="67" t="str">
        <f>Master!A80</f>
        <v>Shadow Covenant [5]</v>
      </c>
      <c r="B16" s="67"/>
      <c r="C16" s="67">
        <f>Master!C80</f>
        <v>6.75</v>
      </c>
      <c r="F16" s="6" t="s">
        <v>86</v>
      </c>
      <c r="G16" s="6"/>
      <c r="H16" s="6">
        <v>3.57</v>
      </c>
      <c r="K16" s="4" t="s">
        <v>80</v>
      </c>
      <c r="L16" s="4"/>
      <c r="M16" s="4">
        <v>4.5</v>
      </c>
    </row>
    <row r="17" spans="1:13" x14ac:dyDescent="0.35">
      <c r="A17" s="1" t="str">
        <f>Master!A24</f>
        <v>Essence Font [5]</v>
      </c>
      <c r="B17" s="1"/>
      <c r="C17" s="1">
        <f>Master!C24</f>
        <v>6.6749999999999998</v>
      </c>
      <c r="F17" s="1" t="s">
        <v>11</v>
      </c>
      <c r="G17" s="1"/>
      <c r="H17" s="1">
        <v>3.2</v>
      </c>
      <c r="K17" s="6" t="s">
        <v>86</v>
      </c>
      <c r="L17" s="6"/>
      <c r="M17" s="6">
        <v>3.57</v>
      </c>
    </row>
    <row r="18" spans="1:13" x14ac:dyDescent="0.35">
      <c r="A18" s="4" t="str">
        <f>Master!A36</f>
        <v>Healing Rain [6]</v>
      </c>
      <c r="B18" s="4"/>
      <c r="C18" s="4">
        <f>Master!C36</f>
        <v>6.0480000000000009</v>
      </c>
      <c r="F18" s="67" t="s">
        <v>93</v>
      </c>
      <c r="G18" s="67"/>
      <c r="H18" s="67">
        <v>3.125</v>
      </c>
      <c r="K18" s="1" t="s">
        <v>11</v>
      </c>
      <c r="L18" s="1"/>
      <c r="M18" s="1">
        <v>3.2</v>
      </c>
    </row>
    <row r="19" spans="1:13" x14ac:dyDescent="0.35">
      <c r="A19" s="71" t="str">
        <f>Master!A68</f>
        <v>Holy Word: Serenity</v>
      </c>
      <c r="B19" s="71"/>
      <c r="C19" s="71">
        <f>Master!C68</f>
        <v>5</v>
      </c>
      <c r="F19" s="4" t="s">
        <v>79</v>
      </c>
      <c r="G19" s="4"/>
      <c r="H19" s="4">
        <v>2.8499999999999996</v>
      </c>
      <c r="K19" s="1" t="s">
        <v>84</v>
      </c>
      <c r="L19" s="1"/>
      <c r="M19" s="1">
        <v>3.1499999999999995</v>
      </c>
    </row>
    <row r="20" spans="1:13" x14ac:dyDescent="0.35">
      <c r="A20" s="4" t="str">
        <f>Master!A37</f>
        <v>Healing Stream Totem</v>
      </c>
      <c r="B20" s="4"/>
      <c r="C20" s="4">
        <f>Master!C37</f>
        <v>4.8</v>
      </c>
      <c r="F20" s="11" t="s">
        <v>88</v>
      </c>
      <c r="G20" s="11"/>
      <c r="H20" s="11">
        <v>2.75</v>
      </c>
      <c r="K20" s="67" t="s">
        <v>93</v>
      </c>
      <c r="L20" s="67"/>
      <c r="M20" s="67">
        <v>3.125</v>
      </c>
    </row>
    <row r="21" spans="1:13" x14ac:dyDescent="0.35">
      <c r="A21" s="6" t="str">
        <f>Master!A47</f>
        <v>Wild Growth [6]</v>
      </c>
      <c r="B21" s="6"/>
      <c r="C21" s="6">
        <f>Master!C47</f>
        <v>4.1579999999999995</v>
      </c>
      <c r="F21" s="71" t="s">
        <v>89</v>
      </c>
      <c r="G21" s="71"/>
      <c r="H21" s="71">
        <v>2.5</v>
      </c>
      <c r="K21" s="4" t="s">
        <v>79</v>
      </c>
      <c r="L21" s="4"/>
      <c r="M21" s="4">
        <v>2.8499999999999996</v>
      </c>
    </row>
    <row r="22" spans="1:13" x14ac:dyDescent="0.35">
      <c r="A22" s="1" t="str">
        <f>Master!A18</f>
        <v>Soothing Mist</v>
      </c>
      <c r="B22" s="1"/>
      <c r="C22" s="1">
        <f>Master!C18</f>
        <v>3.2</v>
      </c>
      <c r="F22" s="1" t="s">
        <v>13</v>
      </c>
      <c r="G22" s="1"/>
      <c r="H22" s="1">
        <v>2.4750000000000001</v>
      </c>
      <c r="I22" t="s">
        <v>372</v>
      </c>
      <c r="K22" s="11" t="s">
        <v>88</v>
      </c>
      <c r="L22" s="11"/>
      <c r="M22" s="11">
        <v>2.75</v>
      </c>
    </row>
    <row r="23" spans="1:13" x14ac:dyDescent="0.35">
      <c r="A23" s="67" t="str">
        <f>Master!A76</f>
        <v>Power Word: Radiance [5]</v>
      </c>
      <c r="B23" s="67"/>
      <c r="C23" s="67">
        <f>Master!C76</f>
        <v>3.125</v>
      </c>
      <c r="F23" s="1" t="s">
        <v>105</v>
      </c>
      <c r="G23" s="1"/>
      <c r="H23" s="259">
        <v>2.35</v>
      </c>
      <c r="K23" s="71" t="s">
        <v>89</v>
      </c>
      <c r="L23" s="71"/>
      <c r="M23" s="71">
        <v>2.5</v>
      </c>
    </row>
    <row r="24" spans="1:13" x14ac:dyDescent="0.35">
      <c r="A24" s="71" t="str">
        <f>Master!A66</f>
        <v>Prayer of Healing [5]</v>
      </c>
      <c r="B24" s="71"/>
      <c r="C24" s="71">
        <f>Master!C66</f>
        <v>3.125</v>
      </c>
      <c r="F24" s="71" t="s">
        <v>47</v>
      </c>
      <c r="G24" s="71"/>
      <c r="H24" s="71">
        <v>2.1875</v>
      </c>
      <c r="K24" s="1" t="s">
        <v>13</v>
      </c>
      <c r="L24" s="1"/>
      <c r="M24" s="1">
        <v>2.4750000000000001</v>
      </c>
    </row>
    <row r="25" spans="1:13" x14ac:dyDescent="0.35">
      <c r="A25" s="4" t="str">
        <f>Master!A35</f>
        <v>Chain Heal [3]</v>
      </c>
      <c r="B25" s="4"/>
      <c r="C25" s="4">
        <f>Master!C35</f>
        <v>2.94</v>
      </c>
      <c r="F25" s="67" t="s">
        <v>68</v>
      </c>
      <c r="G25" s="67"/>
      <c r="H25" s="67">
        <v>2.13</v>
      </c>
      <c r="K25" s="71" t="s">
        <v>47</v>
      </c>
      <c r="L25" s="71"/>
      <c r="M25" s="71">
        <v>2.1875</v>
      </c>
    </row>
    <row r="26" spans="1:13" x14ac:dyDescent="0.35">
      <c r="A26" s="11" t="str">
        <f>Master!A57</f>
        <v>Light of Dawn [5]</v>
      </c>
      <c r="B26" s="11"/>
      <c r="C26" s="11">
        <f>Master!C57</f>
        <v>2.75</v>
      </c>
      <c r="F26" s="6" t="s">
        <v>33</v>
      </c>
      <c r="G26" s="6"/>
      <c r="H26" s="6">
        <v>2.1</v>
      </c>
      <c r="K26" s="67" t="s">
        <v>68</v>
      </c>
      <c r="L26" s="67"/>
      <c r="M26" s="67">
        <v>2.13</v>
      </c>
    </row>
    <row r="27" spans="1:13" x14ac:dyDescent="0.35">
      <c r="A27" s="1" t="str">
        <f>Master!A22</f>
        <v>Vivify (2 Renews) [2]</v>
      </c>
      <c r="B27" s="1"/>
      <c r="C27" s="258">
        <f>Master!C22</f>
        <v>2.4900000000000002</v>
      </c>
      <c r="F27" s="6" t="s">
        <v>31</v>
      </c>
      <c r="G27" s="6"/>
      <c r="H27" s="6">
        <v>2</v>
      </c>
      <c r="K27" s="6" t="s">
        <v>33</v>
      </c>
      <c r="L27" s="6"/>
      <c r="M27" s="6">
        <v>2.1</v>
      </c>
    </row>
    <row r="28" spans="1:13" x14ac:dyDescent="0.35">
      <c r="A28" s="1" t="str">
        <f>Master!A22</f>
        <v>Vivify (2 Renews) [2]</v>
      </c>
      <c r="B28" s="1"/>
      <c r="C28" s="1">
        <f>Master!C22</f>
        <v>2.4900000000000002</v>
      </c>
      <c r="F28" s="67" t="s">
        <v>70</v>
      </c>
      <c r="G28" s="67"/>
      <c r="H28" s="67">
        <v>1.85</v>
      </c>
      <c r="K28" s="6" t="s">
        <v>31</v>
      </c>
      <c r="L28" s="6"/>
      <c r="M28" s="6">
        <v>2</v>
      </c>
    </row>
    <row r="29" spans="1:13" x14ac:dyDescent="0.35">
      <c r="A29" s="6" t="str">
        <f>Master!A46</f>
        <v>Swiftmend</v>
      </c>
      <c r="B29" s="6"/>
      <c r="C29" s="6">
        <f>Master!C46</f>
        <v>2.4</v>
      </c>
      <c r="F29" s="1" t="s">
        <v>53</v>
      </c>
      <c r="G29" s="1"/>
      <c r="H29" s="1">
        <v>1.75</v>
      </c>
      <c r="K29" s="67" t="s">
        <v>70</v>
      </c>
      <c r="L29" s="67"/>
      <c r="M29" s="67">
        <v>1.85</v>
      </c>
    </row>
    <row r="30" spans="1:13" x14ac:dyDescent="0.35">
      <c r="A30" s="1" t="str">
        <f>Master!A20</f>
        <v>Enveloping Mist</v>
      </c>
      <c r="B30" s="1"/>
      <c r="C30" s="1">
        <f>Master!C20</f>
        <v>2.3759999999999999</v>
      </c>
      <c r="F30" s="71" t="s">
        <v>42</v>
      </c>
      <c r="G30" s="71"/>
      <c r="H30" s="71">
        <v>1.6</v>
      </c>
      <c r="K30" s="1" t="s">
        <v>53</v>
      </c>
      <c r="L30" s="1"/>
      <c r="M30" s="1">
        <v>1.75</v>
      </c>
    </row>
    <row r="31" spans="1:13" x14ac:dyDescent="0.35">
      <c r="A31" s="71" t="str">
        <f>Master!A65</f>
        <v>Prayer of Mending</v>
      </c>
      <c r="B31" s="71"/>
      <c r="C31" s="71">
        <f>Master!C65</f>
        <v>2.1875</v>
      </c>
      <c r="F31" s="67" t="s">
        <v>69</v>
      </c>
      <c r="G31" s="67"/>
      <c r="H31" s="67">
        <v>1.54</v>
      </c>
      <c r="K31" s="71" t="s">
        <v>42</v>
      </c>
      <c r="L31" s="71"/>
      <c r="M31" s="71">
        <v>1.6</v>
      </c>
    </row>
    <row r="32" spans="1:13" x14ac:dyDescent="0.35">
      <c r="A32" s="6" t="str">
        <f>Master!A45</f>
        <v>Lifebloom</v>
      </c>
      <c r="B32" s="6"/>
      <c r="C32" s="6">
        <f>Master!C45</f>
        <v>2.1500000000000004</v>
      </c>
      <c r="F32" s="6" t="s">
        <v>32</v>
      </c>
      <c r="G32" s="6"/>
      <c r="H32" s="6">
        <v>1.5</v>
      </c>
      <c r="K32" s="67" t="s">
        <v>69</v>
      </c>
      <c r="L32" s="67"/>
      <c r="M32" s="67">
        <v>1.54</v>
      </c>
    </row>
    <row r="33" spans="1:13" x14ac:dyDescent="0.35">
      <c r="A33" s="67" t="str">
        <f>Master!A75</f>
        <v>Penance</v>
      </c>
      <c r="B33" s="67"/>
      <c r="C33" s="67">
        <f>Master!C75</f>
        <v>2.13</v>
      </c>
      <c r="F33" s="11" t="s">
        <v>37</v>
      </c>
      <c r="G33" s="11"/>
      <c r="H33" s="11">
        <v>1.5</v>
      </c>
      <c r="K33" s="6" t="s">
        <v>32</v>
      </c>
      <c r="L33" s="6"/>
      <c r="M33" s="6">
        <v>1.5</v>
      </c>
    </row>
    <row r="34" spans="1:13" x14ac:dyDescent="0.35">
      <c r="A34" s="11" t="str">
        <f>Master!A54</f>
        <v>Holy Shock</v>
      </c>
      <c r="B34" s="11"/>
      <c r="C34" s="11">
        <f>Master!C54</f>
        <v>1.9500000000000002</v>
      </c>
      <c r="F34" s="4" t="s">
        <v>20</v>
      </c>
      <c r="G34" s="4"/>
      <c r="H34" s="4">
        <v>1.45</v>
      </c>
      <c r="K34" s="11" t="s">
        <v>37</v>
      </c>
      <c r="L34" s="11"/>
      <c r="M34" s="11">
        <v>1.5</v>
      </c>
    </row>
    <row r="35" spans="1:13" x14ac:dyDescent="0.35">
      <c r="A35" s="67" t="str">
        <f>Master!A78</f>
        <v>Shadow Mend</v>
      </c>
      <c r="B35" s="67"/>
      <c r="C35" s="67">
        <f>Master!C78</f>
        <v>1.8</v>
      </c>
      <c r="F35" s="1" t="s">
        <v>12</v>
      </c>
      <c r="G35" s="1"/>
      <c r="H35" s="1">
        <v>1.4</v>
      </c>
      <c r="K35" s="4" t="s">
        <v>20</v>
      </c>
      <c r="L35" s="4"/>
      <c r="M35" s="4">
        <v>1.45</v>
      </c>
    </row>
    <row r="36" spans="1:13" x14ac:dyDescent="0.35">
      <c r="A36" s="71" t="str">
        <f>Master!A62</f>
        <v>Heal</v>
      </c>
      <c r="B36" s="71"/>
      <c r="C36" s="71">
        <f>Master!C62</f>
        <v>1.75</v>
      </c>
      <c r="F36" s="11" t="s">
        <v>39</v>
      </c>
      <c r="G36" s="11"/>
      <c r="H36" s="11">
        <v>1.4</v>
      </c>
      <c r="K36" s="1" t="s">
        <v>12</v>
      </c>
      <c r="L36" s="1"/>
      <c r="M36" s="1">
        <v>1.4</v>
      </c>
    </row>
    <row r="37" spans="1:13" x14ac:dyDescent="0.35">
      <c r="A37" s="1" t="str">
        <f>Master!A21</f>
        <v>Vivify (1 Renew)</v>
      </c>
      <c r="B37" s="1"/>
      <c r="C37" s="1">
        <f>Master!C21</f>
        <v>1.75</v>
      </c>
      <c r="F37" s="71" t="s">
        <v>43</v>
      </c>
      <c r="G37" s="71"/>
      <c r="H37" s="71">
        <v>1.35</v>
      </c>
      <c r="K37" s="11" t="s">
        <v>39</v>
      </c>
      <c r="L37" s="11"/>
      <c r="M37" s="11">
        <v>1.4</v>
      </c>
    </row>
    <row r="38" spans="1:13" x14ac:dyDescent="0.35">
      <c r="A38" s="4" t="str">
        <f>Master!A32</f>
        <v>Healing Wave</v>
      </c>
      <c r="B38" s="4"/>
      <c r="C38" s="4">
        <f>Master!C32</f>
        <v>1.7050000000000003</v>
      </c>
      <c r="F38" s="71" t="s">
        <v>44</v>
      </c>
      <c r="G38" s="71"/>
      <c r="H38" s="71">
        <v>1.26</v>
      </c>
      <c r="K38" s="71" t="s">
        <v>43</v>
      </c>
      <c r="L38" s="71"/>
      <c r="M38" s="71">
        <v>1.35</v>
      </c>
    </row>
    <row r="39" spans="1:13" x14ac:dyDescent="0.35">
      <c r="A39" s="1" t="str">
        <f>Master!A19</f>
        <v>Renewing Mist</v>
      </c>
      <c r="B39" s="1"/>
      <c r="C39" s="1">
        <f>Master!C19</f>
        <v>1.61</v>
      </c>
      <c r="F39" s="4" t="s">
        <v>23</v>
      </c>
      <c r="G39" s="4"/>
      <c r="H39" s="4">
        <v>1.25</v>
      </c>
      <c r="K39" s="71" t="s">
        <v>44</v>
      </c>
      <c r="L39" s="71"/>
      <c r="M39" s="71">
        <v>1.26</v>
      </c>
    </row>
    <row r="40" spans="1:13" x14ac:dyDescent="0.35">
      <c r="A40" s="4" t="str">
        <f>Master!A34</f>
        <v>Healing Surge</v>
      </c>
      <c r="B40" s="4"/>
      <c r="C40" s="4">
        <f>Master!C34</f>
        <v>1.573</v>
      </c>
      <c r="F40" s="4" t="s">
        <v>21</v>
      </c>
      <c r="G40" s="4"/>
      <c r="H40" s="4">
        <v>1.25</v>
      </c>
      <c r="K40" s="4" t="s">
        <v>23</v>
      </c>
      <c r="L40" s="4"/>
      <c r="M40" s="4">
        <v>1.25</v>
      </c>
    </row>
    <row r="41" spans="1:13" x14ac:dyDescent="0.35">
      <c r="A41" s="67" t="str">
        <f>Master!A77</f>
        <v>Power Word: Shield</v>
      </c>
      <c r="B41" s="67"/>
      <c r="C41" s="67">
        <f>Master!C77</f>
        <v>1.54</v>
      </c>
      <c r="F41" s="11" t="s">
        <v>38</v>
      </c>
      <c r="G41" s="11"/>
      <c r="H41" s="11">
        <v>1.25</v>
      </c>
      <c r="K41" s="4" t="s">
        <v>21</v>
      </c>
      <c r="L41" s="4"/>
      <c r="M41" s="4">
        <v>1.25</v>
      </c>
    </row>
    <row r="42" spans="1:13" x14ac:dyDescent="0.35">
      <c r="A42" s="6" t="str">
        <f>Master!A43</f>
        <v>Regrowth</v>
      </c>
      <c r="B42" s="6"/>
      <c r="C42" s="6">
        <f>Master!C43</f>
        <v>1.5</v>
      </c>
      <c r="F42" s="11" t="s">
        <v>55</v>
      </c>
      <c r="G42" s="11"/>
      <c r="H42" s="11">
        <v>1.25</v>
      </c>
      <c r="K42" s="11" t="s">
        <v>38</v>
      </c>
      <c r="L42" s="11"/>
      <c r="M42" s="11">
        <v>1.25</v>
      </c>
    </row>
    <row r="43" spans="1:13" x14ac:dyDescent="0.35">
      <c r="A43" s="11" t="str">
        <f>Master!A56</f>
        <v>Holy Light</v>
      </c>
      <c r="B43" s="11"/>
      <c r="C43" s="11">
        <f>Master!C56</f>
        <v>1.5</v>
      </c>
      <c r="F43" s="6" t="s">
        <v>30</v>
      </c>
      <c r="G43" s="6"/>
      <c r="H43" s="6">
        <v>1.02</v>
      </c>
      <c r="K43" s="11" t="s">
        <v>55</v>
      </c>
      <c r="L43" s="11"/>
      <c r="M43" s="11">
        <v>1.25</v>
      </c>
    </row>
    <row r="44" spans="1:13" x14ac:dyDescent="0.35">
      <c r="A44" s="4" t="str">
        <f>Master!A33</f>
        <v>Riptide</v>
      </c>
      <c r="B44" s="4"/>
      <c r="C44" s="4">
        <f>Master!C33</f>
        <v>1.4243749999999999</v>
      </c>
      <c r="F44" s="67" t="s">
        <v>71</v>
      </c>
      <c r="G44" s="67"/>
      <c r="H44" s="67">
        <v>0.65</v>
      </c>
      <c r="K44" s="6" t="s">
        <v>30</v>
      </c>
      <c r="L44" s="6"/>
      <c r="M44" s="6">
        <v>1.02</v>
      </c>
    </row>
    <row r="45" spans="1:13" x14ac:dyDescent="0.35">
      <c r="A45" s="71" t="str">
        <f>Master!A64</f>
        <v>Renew</v>
      </c>
      <c r="B45" s="71"/>
      <c r="C45" s="71">
        <f>Master!C64</f>
        <v>1.38</v>
      </c>
      <c r="F45" s="71" t="s">
        <v>67</v>
      </c>
      <c r="G45" s="71"/>
      <c r="H45" s="71">
        <v>0.5</v>
      </c>
      <c r="K45" s="67" t="s">
        <v>71</v>
      </c>
      <c r="L45" s="67"/>
      <c r="M45" s="67">
        <v>0.65</v>
      </c>
    </row>
    <row r="46" spans="1:13" x14ac:dyDescent="0.35">
      <c r="A46" s="71" t="str">
        <f>Master!A63</f>
        <v>Flash Heal</v>
      </c>
      <c r="B46" s="71"/>
      <c r="C46" s="71">
        <f>Master!C63</f>
        <v>1.35</v>
      </c>
      <c r="K46" s="71" t="s">
        <v>67</v>
      </c>
      <c r="L46" s="71"/>
      <c r="M46" s="71">
        <v>0.5</v>
      </c>
    </row>
    <row r="47" spans="1:13" x14ac:dyDescent="0.35">
      <c r="A47" s="11" t="str">
        <f>Master!A58</f>
        <v>Light of the Martyr</v>
      </c>
      <c r="B47" s="11"/>
      <c r="C47" s="11">
        <f>Master!C58</f>
        <v>1.35</v>
      </c>
    </row>
    <row r="48" spans="1:13" x14ac:dyDescent="0.35">
      <c r="A48" s="11" t="str">
        <f>Master!A55</f>
        <v>Flash of Light</v>
      </c>
      <c r="B48" s="11"/>
      <c r="C48" s="11">
        <f>Master!C55</f>
        <v>1.34</v>
      </c>
    </row>
    <row r="49" spans="1:3" x14ac:dyDescent="0.35">
      <c r="A49" s="6" t="str">
        <f>Master!A44</f>
        <v>Rejuvenation</v>
      </c>
      <c r="B49" s="6"/>
      <c r="C49" s="6">
        <f>Master!C44</f>
        <v>1.56</v>
      </c>
    </row>
    <row r="50" spans="1:3" x14ac:dyDescent="0.35">
      <c r="A50" s="67" t="str">
        <f>Master!A79</f>
        <v>Smite</v>
      </c>
      <c r="B50" s="67"/>
      <c r="C50" s="67">
        <f>Master!C79</f>
        <v>0.65</v>
      </c>
    </row>
    <row r="51" spans="1:3" x14ac:dyDescent="0.35">
      <c r="A51" s="71" t="str">
        <f>Master!A67</f>
        <v>Holy Nova [5]</v>
      </c>
      <c r="B51" s="71"/>
      <c r="C51" s="71">
        <f>Master!C67</f>
        <v>0.5</v>
      </c>
    </row>
  </sheetData>
  <sortState xmlns:xlrd2="http://schemas.microsoft.com/office/spreadsheetml/2017/richdata2" ref="A4:C51">
    <sortCondition descending="1" ref="C4:C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AE31-4B08-4AE4-86DD-59323914DC8B}">
  <dimension ref="A1:M50"/>
  <sheetViews>
    <sheetView topLeftCell="A4" zoomScale="115" zoomScaleNormal="115" workbookViewId="0">
      <selection activeCell="K19" sqref="K19"/>
    </sheetView>
  </sheetViews>
  <sheetFormatPr defaultRowHeight="14.5" x14ac:dyDescent="0.35"/>
  <cols>
    <col min="1" max="1" width="22.26953125" customWidth="1"/>
    <col min="2" max="2" width="4.7265625" customWidth="1"/>
    <col min="3" max="3" width="15.7265625" customWidth="1"/>
    <col min="4" max="4" width="5.1796875" customWidth="1"/>
    <col min="5" max="5" width="5" customWidth="1"/>
    <col min="6" max="6" width="21.7265625" customWidth="1"/>
    <col min="7" max="7" width="5" customWidth="1"/>
    <col min="8" max="8" width="13.1796875" customWidth="1"/>
    <col min="9" max="9" width="4.54296875" customWidth="1"/>
    <col min="10" max="10" width="4.26953125" customWidth="1"/>
    <col min="11" max="11" width="24" customWidth="1"/>
    <col min="12" max="12" width="5.36328125" customWidth="1"/>
    <col min="13" max="13" width="12.08984375" customWidth="1"/>
  </cols>
  <sheetData>
    <row r="1" spans="1:13" x14ac:dyDescent="0.35">
      <c r="A1" t="s">
        <v>73</v>
      </c>
    </row>
    <row r="2" spans="1:13" x14ac:dyDescent="0.35">
      <c r="A2" t="s">
        <v>96</v>
      </c>
      <c r="F2" t="s">
        <v>513</v>
      </c>
      <c r="K2" t="s">
        <v>512</v>
      </c>
    </row>
    <row r="3" spans="1:13" x14ac:dyDescent="0.35">
      <c r="A3" t="s">
        <v>74</v>
      </c>
      <c r="C3" t="s">
        <v>75</v>
      </c>
      <c r="F3" t="s">
        <v>74</v>
      </c>
      <c r="H3" t="s">
        <v>75</v>
      </c>
      <c r="K3" t="s">
        <v>74</v>
      </c>
      <c r="M3" t="s">
        <v>75</v>
      </c>
    </row>
    <row r="4" spans="1:13" x14ac:dyDescent="0.35">
      <c r="A4" s="70" t="str">
        <f>Shadowlands!A52</f>
        <v>Tranquility [20]</v>
      </c>
      <c r="B4" s="70"/>
      <c r="C4" s="344">
        <f>Shadowlands!C52</f>
        <v>65.88</v>
      </c>
      <c r="K4" s="6" t="str">
        <f t="shared" ref="K4:M10" si="0">A4</f>
        <v>Tranquility [20]</v>
      </c>
      <c r="L4" s="6"/>
      <c r="M4" s="58">
        <f t="shared" si="0"/>
        <v>65.88</v>
      </c>
    </row>
    <row r="5" spans="1:13" x14ac:dyDescent="0.35">
      <c r="A5" s="1" t="str">
        <f>Shadowlands!A29</f>
        <v>Revival [20]</v>
      </c>
      <c r="B5" s="1"/>
      <c r="C5" s="343">
        <f>Shadowlands!C29</f>
        <v>63</v>
      </c>
      <c r="K5" s="1" t="str">
        <f t="shared" si="0"/>
        <v>Revival [20]</v>
      </c>
      <c r="L5" s="1"/>
      <c r="M5" s="343">
        <f t="shared" si="0"/>
        <v>63</v>
      </c>
    </row>
    <row r="6" spans="1:13" x14ac:dyDescent="0.35">
      <c r="A6" s="71" t="str">
        <f>Shadowlands!A75</f>
        <v>Divine Hymn [20]</v>
      </c>
      <c r="B6" s="71"/>
      <c r="C6" s="346">
        <f>Shadowlands!C75</f>
        <v>43</v>
      </c>
      <c r="K6" s="71" t="str">
        <f t="shared" si="0"/>
        <v>Divine Hymn [20]</v>
      </c>
      <c r="L6" s="71"/>
      <c r="M6" s="346">
        <f t="shared" si="0"/>
        <v>43</v>
      </c>
    </row>
    <row r="7" spans="1:13" x14ac:dyDescent="0.35">
      <c r="A7" s="4" t="str">
        <f>Shadowlands!A41</f>
        <v>Healing Tide Totem [20]</v>
      </c>
      <c r="B7" s="4"/>
      <c r="C7" s="237">
        <f>Shadowlands!C41</f>
        <v>41.999999999999993</v>
      </c>
      <c r="K7" s="4" t="str">
        <f t="shared" si="0"/>
        <v>Healing Tide Totem [20]</v>
      </c>
      <c r="L7" s="4"/>
      <c r="M7" s="237">
        <f t="shared" si="0"/>
        <v>41.999999999999993</v>
      </c>
    </row>
    <row r="8" spans="1:13" x14ac:dyDescent="0.35">
      <c r="A8" s="70" t="str">
        <f>Shadowlands!A53</f>
        <v>Tranquility [5]</v>
      </c>
      <c r="B8" s="70"/>
      <c r="C8" s="344">
        <f>Shadowlands!C53</f>
        <v>32.94</v>
      </c>
      <c r="K8" s="6" t="str">
        <f t="shared" si="0"/>
        <v>Tranquility [5]</v>
      </c>
      <c r="L8" s="6"/>
      <c r="M8" s="58">
        <f t="shared" si="0"/>
        <v>32.94</v>
      </c>
    </row>
    <row r="9" spans="1:13" x14ac:dyDescent="0.35">
      <c r="A9" s="1" t="str">
        <f>Shadowlands!A30</f>
        <v>Invoke Yul'on, the Jade Serpent</v>
      </c>
      <c r="B9" s="1"/>
      <c r="C9" s="343">
        <f>Shadowlands!C30</f>
        <v>22.500000000000004</v>
      </c>
      <c r="K9" s="3" t="str">
        <f t="shared" si="0"/>
        <v>Invoke Yul'on, the Jade Serpent</v>
      </c>
      <c r="L9" s="3"/>
      <c r="M9" s="51">
        <f t="shared" si="0"/>
        <v>22.500000000000004</v>
      </c>
    </row>
    <row r="10" spans="1:13" x14ac:dyDescent="0.35">
      <c r="A10" s="71" t="str">
        <f>Shadowlands!A76</f>
        <v>Divine Hymn [5]</v>
      </c>
      <c r="B10" s="71"/>
      <c r="C10" s="346">
        <f>Shadowlands!C76</f>
        <v>21.5</v>
      </c>
      <c r="K10" s="71" t="str">
        <f t="shared" si="0"/>
        <v>Divine Hymn [5]</v>
      </c>
      <c r="L10" s="71"/>
      <c r="M10" s="346">
        <f t="shared" si="0"/>
        <v>21.5</v>
      </c>
    </row>
    <row r="11" spans="1:13" x14ac:dyDescent="0.35">
      <c r="A11" s="4" t="str">
        <f>Shadowlands!A39</f>
        <v>Healing Rain [6]</v>
      </c>
      <c r="B11" s="4"/>
      <c r="C11" s="237">
        <f>Shadowlands!C39</f>
        <v>12.744000000000002</v>
      </c>
      <c r="K11" s="1" t="str">
        <f t="shared" ref="K11:M11" si="1">A12</f>
        <v>Revival [5]</v>
      </c>
      <c r="L11" s="1">
        <f t="shared" si="1"/>
        <v>0</v>
      </c>
      <c r="M11" s="1">
        <f t="shared" si="1"/>
        <v>15.75</v>
      </c>
    </row>
    <row r="12" spans="1:13" x14ac:dyDescent="0.35">
      <c r="A12" s="1" t="str">
        <f>Shadowlands!A28</f>
        <v>Revival [5]</v>
      </c>
      <c r="B12" s="1"/>
      <c r="C12" s="343">
        <f>Shadowlands!C28</f>
        <v>15.75</v>
      </c>
      <c r="K12" s="1" t="str">
        <f t="shared" ref="K12:M12" si="2">A13</f>
        <v>Life Cocoon</v>
      </c>
      <c r="L12" s="1">
        <f t="shared" si="2"/>
        <v>0</v>
      </c>
      <c r="M12" s="1">
        <f t="shared" si="2"/>
        <v>11</v>
      </c>
    </row>
    <row r="13" spans="1:13" x14ac:dyDescent="0.35">
      <c r="A13" s="1" t="str">
        <f>Shadowlands!A27</f>
        <v>Life Cocoon</v>
      </c>
      <c r="B13" s="1"/>
      <c r="C13" s="343">
        <f>Shadowlands!C27</f>
        <v>11</v>
      </c>
      <c r="K13" s="71" t="str">
        <f t="shared" ref="K13:M13" si="3">A14</f>
        <v>Holy Word: Sanctify [6]</v>
      </c>
      <c r="L13" s="71">
        <f t="shared" si="3"/>
        <v>0</v>
      </c>
      <c r="M13" s="71">
        <f t="shared" si="3"/>
        <v>10.5</v>
      </c>
    </row>
    <row r="14" spans="1:13" x14ac:dyDescent="0.35">
      <c r="A14" s="71" t="str">
        <f>Shadowlands!A74</f>
        <v>Holy Word: Sanctify [6]</v>
      </c>
      <c r="B14" s="71"/>
      <c r="C14" s="346">
        <f>Shadowlands!C74</f>
        <v>10.5</v>
      </c>
      <c r="K14" t="str">
        <f t="shared" ref="K14:M14" si="4">A15</f>
        <v>Healing Tide Totem [5]</v>
      </c>
      <c r="L14">
        <f t="shared" si="4"/>
        <v>0</v>
      </c>
      <c r="M14">
        <f t="shared" si="4"/>
        <v>10.499999999999998</v>
      </c>
    </row>
    <row r="15" spans="1:13" x14ac:dyDescent="0.35">
      <c r="A15" s="4" t="str">
        <f>Shadowlands!A42</f>
        <v>Healing Tide Totem [5]</v>
      </c>
      <c r="B15" s="4"/>
      <c r="C15" s="237">
        <f>Shadowlands!C42</f>
        <v>10.499999999999998</v>
      </c>
    </row>
    <row r="16" spans="1:13" x14ac:dyDescent="0.35">
      <c r="A16" s="1" t="str">
        <f>Shadowlands!A26</f>
        <v>Essence Font [18]</v>
      </c>
      <c r="B16" s="1"/>
      <c r="C16" s="343">
        <f>Shadowlands!C26</f>
        <v>11.52</v>
      </c>
    </row>
    <row r="17" spans="1:3" x14ac:dyDescent="0.35">
      <c r="A17" s="70" t="str">
        <f>Shadowlands!A51</f>
        <v>Efflo [3]</v>
      </c>
      <c r="B17" s="70"/>
      <c r="C17" s="344">
        <f>Shadowlands!C51</f>
        <v>10.485000000000001</v>
      </c>
    </row>
    <row r="18" spans="1:3" x14ac:dyDescent="0.35">
      <c r="A18" s="4" t="str">
        <f>Shadowlands!A40</f>
        <v>Healing Stream Totem</v>
      </c>
      <c r="B18" s="4"/>
      <c r="C18" s="237">
        <f>Shadowlands!C40</f>
        <v>7.05</v>
      </c>
    </row>
    <row r="19" spans="1:3" x14ac:dyDescent="0.35">
      <c r="A19" s="1" t="str">
        <f>Shadowlands!A25</f>
        <v>Essence Font [5]</v>
      </c>
      <c r="B19" s="1"/>
      <c r="C19" s="343">
        <f>Shadowlands!C25</f>
        <v>9.3360000000000003</v>
      </c>
    </row>
    <row r="20" spans="1:3" x14ac:dyDescent="0.35">
      <c r="A20" s="4" t="str">
        <f>Shadowlands!A38</f>
        <v>Chain Heal [3]</v>
      </c>
      <c r="B20" s="4"/>
      <c r="C20" s="237">
        <f>Shadowlands!C38</f>
        <v>5.3655000000000008</v>
      </c>
    </row>
    <row r="21" spans="1:3" x14ac:dyDescent="0.35">
      <c r="A21" s="71" t="str">
        <f>Shadowlands!A73</f>
        <v>Holy Word: Serenity</v>
      </c>
      <c r="B21" s="71"/>
      <c r="C21" s="346">
        <f>Shadowlands!C73</f>
        <v>5</v>
      </c>
    </row>
    <row r="22" spans="1:3" x14ac:dyDescent="0.35">
      <c r="A22" s="1" t="str">
        <f>Shadowlands!A18</f>
        <v>Soothing Mist</v>
      </c>
      <c r="B22" s="1"/>
      <c r="C22" s="343">
        <f>Shadowlands!C18</f>
        <v>4.4000000000000004</v>
      </c>
    </row>
    <row r="23" spans="1:3" x14ac:dyDescent="0.35">
      <c r="A23" s="70" t="str">
        <f>Shadowlands!A50</f>
        <v>Wild Growth [6]</v>
      </c>
      <c r="B23" s="70"/>
      <c r="C23" s="344">
        <f>Shadowlands!C50</f>
        <v>5.46</v>
      </c>
    </row>
    <row r="24" spans="1:3" x14ac:dyDescent="0.35">
      <c r="A24" s="71" t="str">
        <f>Shadowlands!A71</f>
        <v>Circle of Healing</v>
      </c>
      <c r="B24" s="71"/>
      <c r="C24" s="346">
        <f>Shadowlands!C71</f>
        <v>3.75</v>
      </c>
    </row>
    <row r="25" spans="1:3" x14ac:dyDescent="0.35">
      <c r="A25" s="4" t="str">
        <f>Shadowlands!A37</f>
        <v>Earth Shield</v>
      </c>
      <c r="B25" s="4"/>
      <c r="C25" s="237">
        <f>Shadowlands!C37</f>
        <v>3.6135000000000002</v>
      </c>
    </row>
    <row r="26" spans="1:3" x14ac:dyDescent="0.35">
      <c r="A26" s="4" t="str">
        <f>Shadowlands!A34</f>
        <v>Healing Wave</v>
      </c>
      <c r="B26" s="4"/>
      <c r="C26" s="237">
        <f>Shadowlands!C34</f>
        <v>3.29</v>
      </c>
    </row>
    <row r="27" spans="1:3" x14ac:dyDescent="0.35">
      <c r="A27" s="1" t="str">
        <f>Shadowlands!A24</f>
        <v>Vivify (3 Renews) [3]</v>
      </c>
      <c r="B27" s="1"/>
      <c r="C27" s="343">
        <f>Shadowlands!C24</f>
        <v>4.53</v>
      </c>
    </row>
    <row r="28" spans="1:3" x14ac:dyDescent="0.35">
      <c r="A28" s="71" t="str">
        <f>Shadowlands!A70</f>
        <v>Prayer of Healing [5]</v>
      </c>
      <c r="B28" s="71"/>
      <c r="C28" s="346">
        <f>Shadowlands!C70</f>
        <v>3.125</v>
      </c>
    </row>
    <row r="29" spans="1:3" x14ac:dyDescent="0.35">
      <c r="A29" s="4" t="str">
        <f>Shadowlands!A36</f>
        <v>Healing Surge</v>
      </c>
      <c r="B29" s="4"/>
      <c r="C29" s="237">
        <f>Shadowlands!C36</f>
        <v>2.7280000000000002</v>
      </c>
    </row>
    <row r="30" spans="1:3" x14ac:dyDescent="0.35">
      <c r="A30" s="1" t="str">
        <f>Shadowlands!A21</f>
        <v>Enveloping Mist</v>
      </c>
      <c r="B30" s="1"/>
      <c r="C30" s="343">
        <f>Shadowlands!C21</f>
        <v>3.6</v>
      </c>
    </row>
    <row r="31" spans="1:3" x14ac:dyDescent="0.35">
      <c r="A31" s="11" t="str">
        <f>Shadowlands!A60</f>
        <v>Light of Dawn [5]</v>
      </c>
      <c r="B31" s="11"/>
      <c r="C31" s="345">
        <f>Shadowlands!C60</f>
        <v>4.2</v>
      </c>
    </row>
    <row r="32" spans="1:3" x14ac:dyDescent="0.35">
      <c r="A32" s="1" t="str">
        <f>Shadowlands!A23</f>
        <v>Vivify (2 Renews) [2]</v>
      </c>
      <c r="B32" s="1"/>
      <c r="C32" s="343">
        <f>Shadowlands!C23</f>
        <v>3.49</v>
      </c>
    </row>
    <row r="33" spans="1:3" x14ac:dyDescent="0.35">
      <c r="A33" s="70" t="str">
        <f>Shadowlands!A49</f>
        <v>Swiftmend</v>
      </c>
      <c r="B33" s="70"/>
      <c r="C33" s="344">
        <f>Shadowlands!C49</f>
        <v>3.45</v>
      </c>
    </row>
    <row r="34" spans="1:3" x14ac:dyDescent="0.35">
      <c r="A34" s="71" t="str">
        <f>Shadowlands!A69</f>
        <v>Prayer of Mending</v>
      </c>
      <c r="B34" s="71"/>
      <c r="C34" s="346">
        <f>Shadowlands!C69</f>
        <v>2.1875</v>
      </c>
    </row>
    <row r="35" spans="1:3" x14ac:dyDescent="0.35">
      <c r="A35" s="70" t="str">
        <f>Shadowlands!A48</f>
        <v>Lifebloom</v>
      </c>
      <c r="B35" s="70"/>
      <c r="C35" s="344">
        <f>Shadowlands!C48</f>
        <v>3.0999999999999996</v>
      </c>
    </row>
    <row r="36" spans="1:3" x14ac:dyDescent="0.35">
      <c r="A36" s="71" t="str">
        <f>Shadowlands!A66</f>
        <v>Heal</v>
      </c>
      <c r="B36" s="71"/>
      <c r="C36" s="346">
        <f>Shadowlands!C66</f>
        <v>2.1</v>
      </c>
    </row>
    <row r="37" spans="1:3" x14ac:dyDescent="0.35">
      <c r="A37" s="11" t="str">
        <f>Shadowlands!A61</f>
        <v>Word of Glory</v>
      </c>
      <c r="B37" s="11"/>
      <c r="C37" s="345">
        <f>Shadowlands!C61</f>
        <v>2</v>
      </c>
    </row>
    <row r="38" spans="1:3" x14ac:dyDescent="0.35">
      <c r="A38" s="1" t="str">
        <f>Shadowlands!A22</f>
        <v>Vivify (1 Renew)</v>
      </c>
      <c r="B38" s="1"/>
      <c r="C38" s="343">
        <f>Shadowlands!C22</f>
        <v>2.4500000000000002</v>
      </c>
    </row>
    <row r="39" spans="1:3" x14ac:dyDescent="0.35">
      <c r="A39" s="1" t="str">
        <f>Shadowlands!A20</f>
        <v>Renewing Mist</v>
      </c>
      <c r="B39" s="1"/>
      <c r="C39" s="343">
        <f>Shadowlands!C20</f>
        <v>2.25</v>
      </c>
    </row>
    <row r="40" spans="1:3" x14ac:dyDescent="0.35">
      <c r="A40" s="11" t="str">
        <f>Shadowlands!A59</f>
        <v>Holy Light</v>
      </c>
      <c r="B40" s="11"/>
      <c r="C40" s="345">
        <f>Shadowlands!C59</f>
        <v>2.4</v>
      </c>
    </row>
    <row r="41" spans="1:3" x14ac:dyDescent="0.35">
      <c r="A41" s="70" t="str">
        <f>Shadowlands!A46</f>
        <v>Regrowth</v>
      </c>
      <c r="B41" s="70"/>
      <c r="C41" s="344">
        <f>Shadowlands!C46</f>
        <v>2.1619999999999999</v>
      </c>
    </row>
    <row r="42" spans="1:3" x14ac:dyDescent="0.35">
      <c r="A42" s="4" t="str">
        <f>Shadowlands!A35</f>
        <v>Riptide</v>
      </c>
      <c r="B42" s="4"/>
      <c r="C42" s="237">
        <f>Shadowlands!C35</f>
        <v>1.4243749999999999</v>
      </c>
    </row>
    <row r="43" spans="1:3" x14ac:dyDescent="0.35">
      <c r="A43" s="71" t="str">
        <f>Shadowlands!A68</f>
        <v>Renew</v>
      </c>
      <c r="B43" s="71"/>
      <c r="C43" s="346">
        <f>Shadowlands!C68</f>
        <v>1.38</v>
      </c>
    </row>
    <row r="44" spans="1:3" x14ac:dyDescent="0.35">
      <c r="A44" s="11" t="str">
        <f>Shadowlands!A62</f>
        <v>Light of the Martyr</v>
      </c>
      <c r="B44" s="11"/>
      <c r="C44" s="345">
        <f>Shadowlands!C62</f>
        <v>2.1</v>
      </c>
    </row>
    <row r="45" spans="1:3" x14ac:dyDescent="0.35">
      <c r="A45" s="71" t="str">
        <f>Shadowlands!A67</f>
        <v>Flash Heal</v>
      </c>
      <c r="B45" s="71"/>
      <c r="C45" s="346">
        <f>Shadowlands!C67</f>
        <v>1.35</v>
      </c>
    </row>
    <row r="46" spans="1:3" x14ac:dyDescent="0.35">
      <c r="A46" s="11" t="str">
        <f>Shadowlands!A57</f>
        <v>Holy Shock</v>
      </c>
      <c r="B46" s="11"/>
      <c r="C46" s="345">
        <f>Shadowlands!C57</f>
        <v>1.8199999999999998</v>
      </c>
    </row>
    <row r="47" spans="1:3" x14ac:dyDescent="0.35">
      <c r="A47" s="11" t="str">
        <f>Shadowlands!A58</f>
        <v>Flash of Light</v>
      </c>
      <c r="B47" s="11"/>
      <c r="C47" s="345">
        <f>Shadowlands!C58</f>
        <v>1.2</v>
      </c>
    </row>
    <row r="48" spans="1:3" x14ac:dyDescent="0.35">
      <c r="A48" s="70" t="str">
        <f>Shadowlands!A47</f>
        <v>Rejuvenation</v>
      </c>
      <c r="B48" s="70"/>
      <c r="C48" s="344">
        <f>Shadowlands!C47</f>
        <v>1.04</v>
      </c>
    </row>
    <row r="49" spans="1:3" x14ac:dyDescent="0.35">
      <c r="A49" s="1" t="str">
        <f>Shadowlands!A19</f>
        <v>Expel Harm</v>
      </c>
      <c r="B49" s="1"/>
      <c r="C49" s="343">
        <f>Shadowlands!C19</f>
        <v>1.01</v>
      </c>
    </row>
    <row r="50" spans="1:3" x14ac:dyDescent="0.35">
      <c r="A50" s="71" t="str">
        <f>Shadowlands!A72</f>
        <v>Holy Nova [5]</v>
      </c>
      <c r="B50" s="71"/>
      <c r="C50" s="346">
        <f>Shadowlands!C72</f>
        <v>0.5</v>
      </c>
    </row>
  </sheetData>
  <sortState xmlns:xlrd2="http://schemas.microsoft.com/office/spreadsheetml/2017/richdata2" ref="A4:C50">
    <sortCondition descending="1" ref="C4:C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4848-4F15-46F4-828D-62C51CD3132D}">
  <dimension ref="A1:K41"/>
  <sheetViews>
    <sheetView zoomScale="130" zoomScaleNormal="130" workbookViewId="0">
      <selection activeCell="B18" sqref="B18"/>
    </sheetView>
  </sheetViews>
  <sheetFormatPr defaultRowHeight="14.5" x14ac:dyDescent="0.35"/>
  <cols>
    <col min="1" max="1" width="25.90625" customWidth="1"/>
    <col min="2" max="2" width="18.1796875" customWidth="1"/>
    <col min="3" max="3" width="10.453125" customWidth="1"/>
    <col min="10" max="10" width="23.7265625" customWidth="1"/>
    <col min="11" max="11" width="13.7265625" customWidth="1"/>
  </cols>
  <sheetData>
    <row r="1" spans="1:11" x14ac:dyDescent="0.35">
      <c r="A1" t="s">
        <v>100</v>
      </c>
    </row>
    <row r="2" spans="1:11" x14ac:dyDescent="0.35">
      <c r="A2" t="s">
        <v>96</v>
      </c>
    </row>
    <row r="3" spans="1:11" x14ac:dyDescent="0.35">
      <c r="A3" t="s">
        <v>74</v>
      </c>
      <c r="B3" t="s">
        <v>6</v>
      </c>
    </row>
    <row r="4" spans="1:11" x14ac:dyDescent="0.35">
      <c r="A4" s="67" t="str">
        <f>Master!A80</f>
        <v>Shadow Covenant [5]</v>
      </c>
      <c r="B4" s="67">
        <f>Master!G80</f>
        <v>241.07142857142858</v>
      </c>
      <c r="J4" s="77" t="str">
        <f>Master!A38</f>
        <v>Healing Tide Totem [20]</v>
      </c>
      <c r="K4" s="78">
        <f>Master!G38</f>
        <v>2571.4285714285711</v>
      </c>
    </row>
    <row r="5" spans="1:11" x14ac:dyDescent="0.35">
      <c r="A5" s="4" t="str">
        <f>Master!A37</f>
        <v>Healing Stream Totem</v>
      </c>
      <c r="B5" s="53">
        <f>Master!G37</f>
        <v>218.18181818181819</v>
      </c>
      <c r="J5" s="79" t="str">
        <f>Master!A49</f>
        <v>Tranquility [20]</v>
      </c>
      <c r="K5" s="80">
        <f>Master!G49</f>
        <v>1331.5217391304348</v>
      </c>
    </row>
    <row r="6" spans="1:11" x14ac:dyDescent="0.35">
      <c r="A6" s="70" t="str">
        <f>Master!A48</f>
        <v>Efflo [3]</v>
      </c>
      <c r="B6" s="75">
        <f>Master!G48</f>
        <v>214.41176470588235</v>
      </c>
      <c r="J6" s="81" t="str">
        <f>Master!A70</f>
        <v>Divine Hymn [20]</v>
      </c>
      <c r="K6" s="82">
        <f>Master!G70</f>
        <v>977.27272727272714</v>
      </c>
    </row>
    <row r="7" spans="1:11" x14ac:dyDescent="0.35">
      <c r="A7" s="4" t="str">
        <f>Master!A36</f>
        <v>Healing Rain [6]</v>
      </c>
      <c r="B7" s="53">
        <f>Master!G36</f>
        <v>140</v>
      </c>
      <c r="J7" s="83" t="str">
        <f>Master!A28</f>
        <v>Revival [20]</v>
      </c>
      <c r="K7" s="84">
        <f>Master!G28</f>
        <v>1028.8065843621398</v>
      </c>
    </row>
    <row r="8" spans="1:11" x14ac:dyDescent="0.35">
      <c r="A8" s="67" t="str">
        <f>Master!A79</f>
        <v>Smite</v>
      </c>
      <c r="B8" s="67">
        <f>Master!G79</f>
        <v>130</v>
      </c>
      <c r="J8" s="79" t="str">
        <f>Master!A50</f>
        <v>Tranquility [5]</v>
      </c>
      <c r="K8" s="80">
        <f>Master!G50</f>
        <v>665.76086956521738</v>
      </c>
    </row>
    <row r="9" spans="1:11" x14ac:dyDescent="0.35">
      <c r="A9" s="71" t="str">
        <f>Master!A68</f>
        <v>Holy Word: Serenity</v>
      </c>
      <c r="B9" s="76">
        <f>Master!G68</f>
        <v>125</v>
      </c>
      <c r="J9" s="77" t="str">
        <f>Master!A39</f>
        <v>Healing Tide Totem [5]</v>
      </c>
      <c r="K9" s="78">
        <f>Master!G39</f>
        <v>642.85714285714278</v>
      </c>
    </row>
    <row r="10" spans="1:11" x14ac:dyDescent="0.35">
      <c r="A10" s="1" t="str">
        <f>Master!A25</f>
        <v>Essence Font [18]</v>
      </c>
      <c r="B10" s="74">
        <f>Master!G25</f>
        <v>114.375</v>
      </c>
      <c r="J10" s="81" t="str">
        <f>Master!A71</f>
        <v>Divine Hymn [5]</v>
      </c>
      <c r="K10" s="82">
        <f>Master!G71</f>
        <v>488.63636363636357</v>
      </c>
    </row>
    <row r="11" spans="1:11" x14ac:dyDescent="0.35">
      <c r="A11" s="71" t="str">
        <f>Master!A65</f>
        <v>Prayer of Mending</v>
      </c>
      <c r="B11" s="76">
        <f>Master!G65</f>
        <v>109.375</v>
      </c>
      <c r="J11" s="83" t="str">
        <f>Master!A26</f>
        <v>Life Cocoon</v>
      </c>
      <c r="K11" s="84">
        <f>Master!G26</f>
        <v>458.33333333333331</v>
      </c>
    </row>
    <row r="12" spans="1:11" x14ac:dyDescent="0.35">
      <c r="A12" s="67" t="str">
        <f>Master!A75</f>
        <v>Penance</v>
      </c>
      <c r="B12" s="67">
        <f>Master!G75</f>
        <v>106.49999999999999</v>
      </c>
      <c r="J12" s="83" t="str">
        <f>Master!A27</f>
        <v>Revival [5]</v>
      </c>
      <c r="K12" s="84">
        <f>Master!G27</f>
        <v>257.20164609053495</v>
      </c>
    </row>
    <row r="13" spans="1:11" x14ac:dyDescent="0.35">
      <c r="A13" s="1" t="str">
        <f>Master!A18</f>
        <v>Soothing Mist</v>
      </c>
      <c r="B13" s="74">
        <f>Master!G18</f>
        <v>100</v>
      </c>
      <c r="J13" s="81" t="str">
        <f>Master!A69</f>
        <v>Holy Word: Sanctify [6]</v>
      </c>
      <c r="K13" s="82">
        <f>Master!G69</f>
        <v>210</v>
      </c>
    </row>
    <row r="14" spans="1:11" x14ac:dyDescent="0.35">
      <c r="A14" s="4" t="str">
        <f>Master!A32</f>
        <v>Healing Wave</v>
      </c>
      <c r="B14" s="53">
        <f>Master!G32</f>
        <v>99.707602339181321</v>
      </c>
    </row>
    <row r="15" spans="1:11" x14ac:dyDescent="0.35">
      <c r="A15" s="11" t="str">
        <f>Master!A57</f>
        <v>Light of Dawn [5]</v>
      </c>
      <c r="B15" s="11">
        <f>Master!G57</f>
        <v>98.214285714285708</v>
      </c>
    </row>
    <row r="16" spans="1:11" x14ac:dyDescent="0.35">
      <c r="A16" s="11" t="str">
        <f>Master!A54</f>
        <v>Holy Shock</v>
      </c>
      <c r="B16" s="11">
        <f>Master!G54</f>
        <v>97.5</v>
      </c>
    </row>
    <row r="17" spans="1:2" x14ac:dyDescent="0.35">
      <c r="A17" s="70" t="str">
        <f>Master!A45</f>
        <v>Lifebloom</v>
      </c>
      <c r="B17" s="75">
        <f>Master!G45</f>
        <v>95.98214285714289</v>
      </c>
    </row>
    <row r="18" spans="1:2" x14ac:dyDescent="0.35">
      <c r="A18" s="1" t="str">
        <f>Master!A24</f>
        <v>Essence Font [5]</v>
      </c>
      <c r="B18" s="74">
        <f>Master!G24</f>
        <v>92.708333333333343</v>
      </c>
    </row>
    <row r="19" spans="1:2" x14ac:dyDescent="0.35">
      <c r="A19" s="71" t="str">
        <f>Master!A62</f>
        <v>Heal</v>
      </c>
      <c r="B19" s="76">
        <f>Master!G62</f>
        <v>92.10526315789474</v>
      </c>
    </row>
    <row r="20" spans="1:2" x14ac:dyDescent="0.35">
      <c r="A20" s="11" t="str">
        <f>Master!A58</f>
        <v>Light of the Martyr</v>
      </c>
      <c r="B20" s="11">
        <f>Master!G58</f>
        <v>90.000000000000014</v>
      </c>
    </row>
    <row r="21" spans="1:2" x14ac:dyDescent="0.35">
      <c r="A21" s="4" t="str">
        <f>Master!A33</f>
        <v>Riptide</v>
      </c>
      <c r="B21" s="53">
        <f>Master!G33</f>
        <v>89.0234375</v>
      </c>
    </row>
    <row r="22" spans="1:2" x14ac:dyDescent="0.35">
      <c r="A22" s="83" t="str">
        <f>Master!A23</f>
        <v>Vivify (3 Renews) [3]</v>
      </c>
      <c r="B22" s="84">
        <f>Master!G23</f>
        <v>92.285714285714263</v>
      </c>
    </row>
    <row r="23" spans="1:2" x14ac:dyDescent="0.35">
      <c r="A23" s="70" t="str">
        <f>Master!A46</f>
        <v>Swiftmend</v>
      </c>
      <c r="B23" s="75">
        <f>Master!G46</f>
        <v>85.714285714285708</v>
      </c>
    </row>
    <row r="24" spans="1:2" x14ac:dyDescent="0.35">
      <c r="A24" s="71" t="str">
        <f>Master!A64</f>
        <v>Renew</v>
      </c>
      <c r="B24" s="76">
        <f>Master!G64</f>
        <v>76.666666666666671</v>
      </c>
    </row>
    <row r="25" spans="1:2" x14ac:dyDescent="0.35">
      <c r="A25" s="70" t="str">
        <f>Master!A47</f>
        <v>Wild Growth [6]</v>
      </c>
      <c r="B25" s="75">
        <f>Master!G47</f>
        <v>74.249999999999986</v>
      </c>
    </row>
    <row r="26" spans="1:2" x14ac:dyDescent="0.35">
      <c r="A26" s="71" t="str">
        <f>Master!A66</f>
        <v>Prayer of Healing [5]</v>
      </c>
      <c r="B26" s="76">
        <f>Master!G66</f>
        <v>69.444444444444443</v>
      </c>
    </row>
    <row r="27" spans="1:2" x14ac:dyDescent="0.35">
      <c r="A27" s="1" t="str">
        <f>Master!A22</f>
        <v>Vivify (2 Renews) [2]</v>
      </c>
      <c r="B27" s="74">
        <f>Master!G22</f>
        <v>71.142857142857139</v>
      </c>
    </row>
    <row r="28" spans="1:2" x14ac:dyDescent="0.35">
      <c r="A28" s="67" t="str">
        <f>Master!A77</f>
        <v>Power Word: Shield</v>
      </c>
      <c r="B28" s="67">
        <f>Master!G77</f>
        <v>61.6</v>
      </c>
    </row>
    <row r="29" spans="1:2" x14ac:dyDescent="0.35">
      <c r="A29" s="67" t="str">
        <f>Master!A78</f>
        <v>Shadow Mend</v>
      </c>
      <c r="B29" s="67">
        <f>Master!G78</f>
        <v>60.000000000000007</v>
      </c>
    </row>
    <row r="30" spans="1:2" x14ac:dyDescent="0.35">
      <c r="A30" s="4" t="str">
        <f>Master!A35</f>
        <v>Chain Heal [3]</v>
      </c>
      <c r="B30" s="53">
        <f>Master!G35</f>
        <v>58.8</v>
      </c>
    </row>
    <row r="31" spans="1:2" x14ac:dyDescent="0.35">
      <c r="A31" s="11" t="str">
        <f>Master!A56</f>
        <v>Holy Light</v>
      </c>
      <c r="B31" s="11">
        <f>Master!G56</f>
        <v>57.692307692307686</v>
      </c>
    </row>
    <row r="32" spans="1:2" x14ac:dyDescent="0.35">
      <c r="A32" s="70" t="str">
        <f>Master!A43</f>
        <v>Regrowth</v>
      </c>
      <c r="B32" s="75">
        <f>Master!G43</f>
        <v>53.571428571428562</v>
      </c>
    </row>
    <row r="33" spans="1:2" x14ac:dyDescent="0.35">
      <c r="A33" s="70" t="str">
        <f>Master!A44</f>
        <v>Rejuvenation</v>
      </c>
      <c r="B33" s="75">
        <f>Master!G44</f>
        <v>74.285714285714292</v>
      </c>
    </row>
    <row r="34" spans="1:2" x14ac:dyDescent="0.35">
      <c r="A34" s="1" t="str">
        <f>Master!A19</f>
        <v>Renewing Mist</v>
      </c>
      <c r="B34" s="74">
        <f>Master!G19</f>
        <v>64.400000000000006</v>
      </c>
    </row>
    <row r="35" spans="1:2" x14ac:dyDescent="0.35">
      <c r="A35" s="67" t="str">
        <f>Master!A76</f>
        <v>Power Word: Radiance [5]</v>
      </c>
      <c r="B35" s="67">
        <f>Master!G76</f>
        <v>48.076923076923073</v>
      </c>
    </row>
    <row r="36" spans="1:2" x14ac:dyDescent="0.35">
      <c r="A36" s="83" t="str">
        <f>Master!A21</f>
        <v>Vivify (1 Renew)</v>
      </c>
      <c r="B36" s="84">
        <f>Master!G21</f>
        <v>49.999999999999993</v>
      </c>
    </row>
    <row r="37" spans="1:2" x14ac:dyDescent="0.35">
      <c r="A37" s="71" t="str">
        <f>Master!A63</f>
        <v>Flash Heal</v>
      </c>
      <c r="B37" s="76">
        <f>Master!G63</f>
        <v>45.000000000000007</v>
      </c>
    </row>
    <row r="38" spans="1:2" x14ac:dyDescent="0.35">
      <c r="A38" s="4" t="str">
        <f>Master!A34</f>
        <v>Healing Surge</v>
      </c>
      <c r="B38" s="53">
        <f>Master!G34</f>
        <v>43.573407202216067</v>
      </c>
    </row>
    <row r="39" spans="1:2" x14ac:dyDescent="0.35">
      <c r="A39" s="1" t="str">
        <f>Master!A20</f>
        <v>Enveloping Mist</v>
      </c>
      <c r="B39" s="74">
        <f>Master!G20</f>
        <v>45.692307692307693</v>
      </c>
    </row>
    <row r="40" spans="1:2" x14ac:dyDescent="0.35">
      <c r="A40" s="71" t="str">
        <f>Master!A67</f>
        <v>Holy Nova [5]</v>
      </c>
      <c r="B40" s="76">
        <f>Master!G67</f>
        <v>31.25</v>
      </c>
    </row>
    <row r="41" spans="1:2" x14ac:dyDescent="0.35">
      <c r="A41" s="11" t="str">
        <f>Master!A55</f>
        <v>Flash of Light</v>
      </c>
      <c r="B41" s="11">
        <f>Master!G55</f>
        <v>30.454545454545457</v>
      </c>
    </row>
  </sheetData>
  <sortState xmlns:xlrd2="http://schemas.microsoft.com/office/spreadsheetml/2017/richdata2" ref="A4:B41">
    <sortCondition descending="1" ref="B4:B4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A4E4-0377-4C08-87A2-061E42DC8EFB}">
  <dimension ref="A1:B50"/>
  <sheetViews>
    <sheetView zoomScale="130" zoomScaleNormal="130" workbookViewId="0">
      <selection activeCell="A13" sqref="A13"/>
    </sheetView>
  </sheetViews>
  <sheetFormatPr defaultRowHeight="14.5" x14ac:dyDescent="0.35"/>
  <cols>
    <col min="1" max="1" width="19.81640625" customWidth="1"/>
    <col min="2" max="2" width="15.54296875" customWidth="1"/>
  </cols>
  <sheetData>
    <row r="1" spans="1:2" x14ac:dyDescent="0.35">
      <c r="A1" t="s">
        <v>101</v>
      </c>
    </row>
    <row r="2" spans="1:2" x14ac:dyDescent="0.35">
      <c r="A2" t="s">
        <v>96</v>
      </c>
    </row>
    <row r="3" spans="1:2" x14ac:dyDescent="0.35">
      <c r="A3" t="s">
        <v>74</v>
      </c>
      <c r="B3" t="s">
        <v>101</v>
      </c>
    </row>
    <row r="4" spans="1:2" x14ac:dyDescent="0.35">
      <c r="A4" s="1" t="str">
        <f>Master!A28</f>
        <v>Revival [20]</v>
      </c>
      <c r="B4" s="85">
        <f>Master!J28</f>
        <v>31.764705882352938</v>
      </c>
    </row>
    <row r="5" spans="1:2" x14ac:dyDescent="0.35">
      <c r="A5" s="1" t="str">
        <f>Master!A27</f>
        <v>Revival [5]</v>
      </c>
      <c r="B5" s="85">
        <f>Master!J27</f>
        <v>7.9411764705882346</v>
      </c>
    </row>
    <row r="6" spans="1:2" x14ac:dyDescent="0.35">
      <c r="A6" s="70" t="str">
        <f>Master!A49</f>
        <v>Tranquility [20]</v>
      </c>
      <c r="B6" s="87">
        <f>Master!J49</f>
        <v>6.4852941176470589</v>
      </c>
    </row>
    <row r="7" spans="1:2" x14ac:dyDescent="0.35">
      <c r="A7" s="71" t="str">
        <f>Master!A70</f>
        <v>Divine Hymn [20]</v>
      </c>
      <c r="B7" s="89">
        <f>Master!J70</f>
        <v>5.6911764705882355</v>
      </c>
    </row>
    <row r="8" spans="1:2" x14ac:dyDescent="0.35">
      <c r="A8" s="70" t="str">
        <f>Master!A50</f>
        <v>Tranquility [5]</v>
      </c>
      <c r="B8" s="87">
        <f>Master!J50</f>
        <v>3.2426470588235294</v>
      </c>
    </row>
    <row r="9" spans="1:2" x14ac:dyDescent="0.35">
      <c r="A9" s="71" t="str">
        <f>Master!A71</f>
        <v>Divine Hymn [5]</v>
      </c>
      <c r="B9" s="89">
        <f>Master!J71</f>
        <v>2.8455882352941178</v>
      </c>
    </row>
    <row r="10" spans="1:2" x14ac:dyDescent="0.35">
      <c r="A10" s="1" t="str">
        <f>Master!A23</f>
        <v>Vivify (3 Renews) [3]</v>
      </c>
      <c r="B10" s="85">
        <f>Master!J23</f>
        <v>2.2799999999999994</v>
      </c>
    </row>
    <row r="11" spans="1:2" x14ac:dyDescent="0.35">
      <c r="A11" s="69" t="str">
        <f>Master!A38</f>
        <v>Healing Tide Totem [20]</v>
      </c>
      <c r="B11" s="86">
        <f>Master!J38</f>
        <v>1.9199999999999997</v>
      </c>
    </row>
    <row r="12" spans="1:2" x14ac:dyDescent="0.35">
      <c r="A12" s="70" t="str">
        <f>Master!A46</f>
        <v>Swiftmend</v>
      </c>
      <c r="B12" s="87">
        <f>Master!J46</f>
        <v>1.6941176470588233</v>
      </c>
    </row>
    <row r="13" spans="1:2" x14ac:dyDescent="0.35">
      <c r="A13" s="1" t="str">
        <f>Master!A22</f>
        <v>Vivify (2 Renews) [2]</v>
      </c>
      <c r="B13" s="85">
        <f>Master!J22</f>
        <v>1.7576470588235296</v>
      </c>
    </row>
    <row r="14" spans="1:2" x14ac:dyDescent="0.35">
      <c r="A14" s="71" t="str">
        <f>Master!A66</f>
        <v>Prayer of Healing [5]</v>
      </c>
      <c r="B14" s="89">
        <f>Master!J66</f>
        <v>1.6544117647058825</v>
      </c>
    </row>
    <row r="15" spans="1:2" x14ac:dyDescent="0.35">
      <c r="A15" s="67" t="str">
        <f>Master!A78</f>
        <v>Shadow Mend</v>
      </c>
      <c r="B15" s="90">
        <f>Master!J78</f>
        <v>1.2705882352941176</v>
      </c>
    </row>
    <row r="16" spans="1:2" x14ac:dyDescent="0.35">
      <c r="A16" s="69" t="str">
        <f>Master!A35</f>
        <v>Chain Heal [3]</v>
      </c>
      <c r="B16" s="86">
        <f>Master!J35</f>
        <v>1.2451764705882353</v>
      </c>
    </row>
    <row r="17" spans="1:2" x14ac:dyDescent="0.35">
      <c r="A17" s="1" t="str">
        <f>Master!A21</f>
        <v>Vivify (1 Renew)</v>
      </c>
      <c r="B17" s="85">
        <f>Master!J21</f>
        <v>1.2352941176470587</v>
      </c>
    </row>
    <row r="18" spans="1:2" x14ac:dyDescent="0.35">
      <c r="A18" s="67" t="str">
        <f>Master!A75</f>
        <v>Penance</v>
      </c>
      <c r="B18" s="90">
        <f>Master!J75</f>
        <v>1.1276470588235294</v>
      </c>
    </row>
    <row r="19" spans="1:2" x14ac:dyDescent="0.35">
      <c r="A19" s="1" t="str">
        <f>Master!A25</f>
        <v>Essence Font [18]</v>
      </c>
      <c r="B19" s="85">
        <f>Master!J25</f>
        <v>1.0899264705882352</v>
      </c>
    </row>
    <row r="20" spans="1:2" x14ac:dyDescent="0.35">
      <c r="A20" s="69" t="str">
        <f>Master!A34</f>
        <v>Healing Surge</v>
      </c>
      <c r="B20" s="86">
        <f>Master!J34</f>
        <v>1.1103529411764705</v>
      </c>
    </row>
    <row r="21" spans="1:2" x14ac:dyDescent="0.35">
      <c r="A21" s="71" t="str">
        <f>Master!A63</f>
        <v>Flash Heal</v>
      </c>
      <c r="B21" s="89">
        <f>Master!J63</f>
        <v>0.95294117647058829</v>
      </c>
    </row>
    <row r="22" spans="1:2" x14ac:dyDescent="0.35">
      <c r="A22" s="11" t="str">
        <f>Master!A58</f>
        <v>Light of the Martyr</v>
      </c>
      <c r="B22" s="88">
        <f>Master!J58</f>
        <v>0.95294117647058829</v>
      </c>
    </row>
    <row r="23" spans="1:2" x14ac:dyDescent="0.35">
      <c r="A23" s="11" t="str">
        <f>Master!A55</f>
        <v>Flash of Light</v>
      </c>
      <c r="B23" s="88">
        <f>Master!J55</f>
        <v>0.94588235294117651</v>
      </c>
    </row>
    <row r="24" spans="1:2" x14ac:dyDescent="0.35">
      <c r="A24" s="1" t="str">
        <f>Master!A24</f>
        <v>Essence Font [5]</v>
      </c>
      <c r="B24" s="85">
        <f>Master!J24</f>
        <v>0.88345588235294115</v>
      </c>
    </row>
    <row r="25" spans="1:2" x14ac:dyDescent="0.35">
      <c r="A25" s="71" t="str">
        <f>Master!A62</f>
        <v>Heal</v>
      </c>
      <c r="B25" s="89">
        <f>Master!J62</f>
        <v>0.74117647058823533</v>
      </c>
    </row>
    <row r="26" spans="1:2" x14ac:dyDescent="0.35">
      <c r="A26" s="69" t="str">
        <f>Master!A32</f>
        <v>Healing Wave</v>
      </c>
      <c r="B26" s="86">
        <f>Master!J32</f>
        <v>0.72211764705882364</v>
      </c>
    </row>
    <row r="27" spans="1:2" x14ac:dyDescent="0.35">
      <c r="A27" s="11" t="str">
        <f>Master!A56</f>
        <v>Holy Light</v>
      </c>
      <c r="B27" s="88">
        <f>Master!J56</f>
        <v>0.63529411764705879</v>
      </c>
    </row>
    <row r="28" spans="1:2" x14ac:dyDescent="0.35">
      <c r="A28" s="67" t="str">
        <f>Master!A77</f>
        <v>Power Word: Shield</v>
      </c>
      <c r="B28" s="90">
        <f>Master!J77</f>
        <v>0.61599999999999999</v>
      </c>
    </row>
    <row r="29" spans="1:2" x14ac:dyDescent="0.35">
      <c r="A29" s="70" t="str">
        <f>Master!A47</f>
        <v>Wild Growth [6]</v>
      </c>
      <c r="B29" s="87">
        <f>Master!J47</f>
        <v>0.59399999999999997</v>
      </c>
    </row>
    <row r="30" spans="1:2" x14ac:dyDescent="0.35">
      <c r="A30" s="67" t="str">
        <f>Master!A80</f>
        <v>Shadow Covenant [5]</v>
      </c>
      <c r="B30" s="90">
        <f>Master!J80</f>
        <v>0.5625</v>
      </c>
    </row>
    <row r="31" spans="1:2" x14ac:dyDescent="0.35">
      <c r="A31" s="69" t="str">
        <f>Master!A36</f>
        <v>Healing Rain [6]</v>
      </c>
      <c r="B31" s="86">
        <f>Master!J36</f>
        <v>0.60480000000000012</v>
      </c>
    </row>
    <row r="32" spans="1:2" x14ac:dyDescent="0.35">
      <c r="A32" s="67" t="str">
        <f>Master!A79</f>
        <v>Smite</v>
      </c>
      <c r="B32" s="90">
        <f>Master!J79</f>
        <v>0.45882352941176469</v>
      </c>
    </row>
    <row r="33" spans="1:2" x14ac:dyDescent="0.35">
      <c r="A33" s="69" t="str">
        <f>Master!A39</f>
        <v>Healing Tide Totem [5]</v>
      </c>
      <c r="B33" s="86">
        <f>Master!J39</f>
        <v>0.47999999999999993</v>
      </c>
    </row>
    <row r="34" spans="1:2" x14ac:dyDescent="0.35">
      <c r="A34" s="1" t="str">
        <f>Master!A18</f>
        <v>Soothing Mist</v>
      </c>
      <c r="B34" s="85">
        <f>Master!J18</f>
        <v>0.42352941176470593</v>
      </c>
    </row>
    <row r="35" spans="1:2" x14ac:dyDescent="0.35">
      <c r="A35" s="71" t="str">
        <f>Master!A67</f>
        <v>Holy Nova [5]</v>
      </c>
      <c r="B35" s="89">
        <f>Master!J67</f>
        <v>0.3529411764705882</v>
      </c>
    </row>
    <row r="36" spans="1:2" x14ac:dyDescent="0.35">
      <c r="A36" s="1" t="str">
        <f>Master!A20</f>
        <v>Enveloping Mist</v>
      </c>
      <c r="B36" s="85">
        <f>Master!J20</f>
        <v>0.39599999999999996</v>
      </c>
    </row>
    <row r="37" spans="1:2" x14ac:dyDescent="0.35">
      <c r="A37" s="11" t="str">
        <f>Master!A57</f>
        <v>Light of Dawn [5]</v>
      </c>
      <c r="B37" s="88">
        <f>Master!J57</f>
        <v>0.24264705882352941</v>
      </c>
    </row>
    <row r="38" spans="1:2" x14ac:dyDescent="0.35">
      <c r="A38" s="70" t="str">
        <f>Master!A48</f>
        <v>Efflo [3]</v>
      </c>
      <c r="B38" s="87">
        <f>Master!J48</f>
        <v>0.24299999999999999</v>
      </c>
    </row>
    <row r="39" spans="1:2" x14ac:dyDescent="0.35">
      <c r="A39" s="11" t="str">
        <f>Master!A54</f>
        <v>Holy Shock</v>
      </c>
      <c r="B39" s="88">
        <f>Master!J54</f>
        <v>0.22941176470588237</v>
      </c>
    </row>
    <row r="40" spans="1:2" x14ac:dyDescent="0.35">
      <c r="A40" s="71" t="str">
        <f>Master!A65</f>
        <v>Prayer of Mending</v>
      </c>
      <c r="B40" s="89">
        <f>Master!J65</f>
        <v>0.19301470588235292</v>
      </c>
    </row>
    <row r="41" spans="1:2" x14ac:dyDescent="0.35">
      <c r="A41" s="71" t="str">
        <f>Master!A69</f>
        <v>Holy Word: Sanctify [6]</v>
      </c>
      <c r="B41" s="89">
        <f>Master!J69</f>
        <v>0.17499999999999999</v>
      </c>
    </row>
    <row r="42" spans="1:2" x14ac:dyDescent="0.35">
      <c r="A42" s="69" t="str">
        <f>Master!A37</f>
        <v>Healing Stream Totem</v>
      </c>
      <c r="B42" s="86">
        <f>Master!J37</f>
        <v>0.16</v>
      </c>
    </row>
    <row r="43" spans="1:2" x14ac:dyDescent="0.35">
      <c r="A43" s="67" t="str">
        <f>Master!A76</f>
        <v>Power Word: Radiance [5]</v>
      </c>
      <c r="B43" s="90">
        <f>Master!J76</f>
        <v>0.15625</v>
      </c>
    </row>
    <row r="44" spans="1:2" x14ac:dyDescent="0.35">
      <c r="A44" s="70" t="str">
        <f>Master!A45</f>
        <v>Lifebloom</v>
      </c>
      <c r="B44" s="87">
        <f>Master!J45</f>
        <v>0.14333333333333337</v>
      </c>
    </row>
    <row r="45" spans="1:2" x14ac:dyDescent="0.35">
      <c r="A45" s="70" t="str">
        <f>Master!A43</f>
        <v>Regrowth</v>
      </c>
      <c r="B45" s="87">
        <f>Master!J43</f>
        <v>0.125</v>
      </c>
    </row>
    <row r="46" spans="1:2" x14ac:dyDescent="0.35">
      <c r="A46" s="71" t="str">
        <f>Master!A64</f>
        <v>Renew</v>
      </c>
      <c r="B46" s="89">
        <f>Master!J64</f>
        <v>9.1999999999999998E-2</v>
      </c>
    </row>
    <row r="47" spans="1:2" x14ac:dyDescent="0.35">
      <c r="A47" s="71" t="str">
        <f>Master!A68</f>
        <v>Holy Word: Serenity</v>
      </c>
      <c r="B47" s="89">
        <f>Master!J68</f>
        <v>8.3333333333333329E-2</v>
      </c>
    </row>
    <row r="48" spans="1:2" x14ac:dyDescent="0.35">
      <c r="A48" s="69" t="str">
        <f>Master!A33</f>
        <v>Riptide</v>
      </c>
      <c r="B48" s="86">
        <f>Master!J33</f>
        <v>7.9131944444444435E-2</v>
      </c>
    </row>
    <row r="49" spans="1:2" x14ac:dyDescent="0.35">
      <c r="A49" s="70" t="str">
        <f>Master!A44</f>
        <v>Rejuvenation</v>
      </c>
      <c r="B49" s="87">
        <f>Master!J44</f>
        <v>0.10400000000000001</v>
      </c>
    </row>
    <row r="50" spans="1:2" x14ac:dyDescent="0.35">
      <c r="A50" s="1" t="str">
        <f>Master!A19</f>
        <v>Renewing Mist</v>
      </c>
      <c r="B50" s="85">
        <f>Master!J19</f>
        <v>8.0500000000000002E-2</v>
      </c>
    </row>
  </sheetData>
  <sortState xmlns:xlrd2="http://schemas.microsoft.com/office/spreadsheetml/2017/richdata2" ref="A4:B50">
    <sortCondition descending="1" ref="B4:B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A8C2-F391-4D99-BDA6-7DB11A877BF6}">
  <dimension ref="A1:Q50"/>
  <sheetViews>
    <sheetView zoomScale="96" zoomScaleNormal="96" workbookViewId="0">
      <selection activeCell="A46" sqref="A46"/>
    </sheetView>
  </sheetViews>
  <sheetFormatPr defaultRowHeight="14.5" x14ac:dyDescent="0.35"/>
  <cols>
    <col min="1" max="5" width="20.6328125" customWidth="1"/>
    <col min="6" max="6" width="2.36328125" customWidth="1"/>
    <col min="7" max="7" width="3.08984375" customWidth="1"/>
    <col min="8" max="9" width="20.6328125" customWidth="1"/>
    <col min="10" max="10" width="2.6328125" customWidth="1"/>
    <col min="11" max="11" width="20.6328125" customWidth="1"/>
    <col min="12" max="12" width="2.26953125" customWidth="1"/>
    <col min="13" max="13" width="20.6328125" customWidth="1"/>
    <col min="14" max="14" width="1.7265625" customWidth="1"/>
    <col min="15" max="15" width="20.6328125" customWidth="1"/>
    <col min="16" max="16" width="1.90625" customWidth="1"/>
    <col min="17" max="19" width="20.6328125" customWidth="1"/>
  </cols>
  <sheetData>
    <row r="1" spans="1:17" x14ac:dyDescent="0.35">
      <c r="A1" s="377" t="s">
        <v>230</v>
      </c>
      <c r="B1" s="377"/>
      <c r="C1" s="377"/>
    </row>
    <row r="2" spans="1:17" x14ac:dyDescent="0.35">
      <c r="A2" s="377" t="s">
        <v>3</v>
      </c>
      <c r="B2" s="377"/>
      <c r="C2" s="377"/>
    </row>
    <row r="4" spans="1:17" ht="15" thickBot="1" x14ac:dyDescent="0.4"/>
    <row r="5" spans="1:17" x14ac:dyDescent="0.35">
      <c r="A5" s="158" t="s">
        <v>231</v>
      </c>
      <c r="B5" s="159"/>
      <c r="C5" s="159"/>
      <c r="D5" s="159"/>
      <c r="E5" s="160"/>
      <c r="I5" s="161" t="s">
        <v>11</v>
      </c>
      <c r="K5" s="162" t="s">
        <v>12</v>
      </c>
      <c r="M5" s="163" t="s">
        <v>13</v>
      </c>
      <c r="O5" s="164" t="s">
        <v>277</v>
      </c>
      <c r="Q5" s="165" t="s">
        <v>136</v>
      </c>
    </row>
    <row r="6" spans="1:17" x14ac:dyDescent="0.35">
      <c r="A6" s="166"/>
      <c r="B6" s="167" t="s">
        <v>232</v>
      </c>
      <c r="C6" s="67" t="s">
        <v>233</v>
      </c>
      <c r="D6" s="168" t="s">
        <v>234</v>
      </c>
      <c r="E6" s="169" t="s">
        <v>235</v>
      </c>
      <c r="H6" s="170" t="s">
        <v>236</v>
      </c>
      <c r="I6" s="171">
        <f>Master!C18</f>
        <v>3.2</v>
      </c>
      <c r="K6" s="172">
        <f>Master!C19</f>
        <v>1.61</v>
      </c>
      <c r="M6" s="173">
        <f>(Master!C20 + 31.5% ) * (7/6)</f>
        <v>3.1395</v>
      </c>
      <c r="O6" s="174">
        <f>Master!C22</f>
        <v>2.4900000000000002</v>
      </c>
      <c r="Q6" s="175">
        <f>Master!C25</f>
        <v>8.2349999999999994</v>
      </c>
    </row>
    <row r="7" spans="1:17" x14ac:dyDescent="0.35">
      <c r="A7" s="176" t="s">
        <v>237</v>
      </c>
      <c r="B7" s="177">
        <f>Master!B6</f>
        <v>1400</v>
      </c>
      <c r="C7" s="67" t="s">
        <v>278</v>
      </c>
      <c r="D7" s="233">
        <v>0.4</v>
      </c>
      <c r="E7" s="178">
        <f>B7*(1+D7)</f>
        <v>1959.9999999999998</v>
      </c>
      <c r="H7" s="179" t="s">
        <v>237</v>
      </c>
      <c r="I7" s="180">
        <f>I6*E7</f>
        <v>6272</v>
      </c>
      <c r="K7" s="181">
        <f>K6*E7</f>
        <v>3155.6</v>
      </c>
      <c r="M7" s="182">
        <f>M6*E7</f>
        <v>6153.4199999999992</v>
      </c>
      <c r="O7" s="183">
        <f>O6*E7</f>
        <v>4880.3999999999996</v>
      </c>
      <c r="Q7" s="184">
        <f>Q6*E7</f>
        <v>16140.599999999997</v>
      </c>
    </row>
    <row r="8" spans="1:17" x14ac:dyDescent="0.35">
      <c r="A8" s="176" t="s">
        <v>26</v>
      </c>
      <c r="B8" s="177">
        <f>Master!B7</f>
        <v>400</v>
      </c>
      <c r="C8" s="67">
        <f>Master!E7</f>
        <v>33</v>
      </c>
      <c r="D8" s="233">
        <f>B8/C8/100</f>
        <v>0.12121212121212122</v>
      </c>
      <c r="E8" s="185" t="s">
        <v>238</v>
      </c>
      <c r="H8" s="179" t="s">
        <v>239</v>
      </c>
      <c r="I8" s="186">
        <f>8/(1+D8)</f>
        <v>7.135135135135136</v>
      </c>
      <c r="K8" s="181">
        <f>(K6/10) * (20 / (2/(1+D8)))*E7</f>
        <v>3538.0969696969687</v>
      </c>
      <c r="M8" s="182">
        <f>(M6/6)    *     (6 / (1/(1+D8)))  *   E7</f>
        <v>6899.2890909090893</v>
      </c>
      <c r="O8" s="187">
        <f>1.5/(1+D8)</f>
        <v>1.3378378378378379</v>
      </c>
      <c r="Q8" s="188">
        <f>3/(1+D8)</f>
        <v>2.6756756756756759</v>
      </c>
    </row>
    <row r="9" spans="1:17" x14ac:dyDescent="0.35">
      <c r="A9" s="176" t="s">
        <v>240</v>
      </c>
      <c r="B9" s="177">
        <f>Master!B8</f>
        <v>750</v>
      </c>
      <c r="C9" s="67">
        <f>Master!E8</f>
        <v>40</v>
      </c>
      <c r="D9" s="233">
        <f>B9/C9/100</f>
        <v>0.1875</v>
      </c>
      <c r="E9" s="178">
        <f>E7*(D9 + 1)</f>
        <v>2327.4999999999995</v>
      </c>
      <c r="H9" s="179" t="s">
        <v>241</v>
      </c>
      <c r="I9" s="180">
        <f>I7*(1+D9)</f>
        <v>7448</v>
      </c>
      <c r="K9" s="181">
        <f>K8*(D9+1)</f>
        <v>4201.4901515151505</v>
      </c>
      <c r="M9" s="182">
        <f>M8*(1+D9)</f>
        <v>8192.9057954545442</v>
      </c>
      <c r="O9" s="183">
        <f>O7*(1+D9)</f>
        <v>5795.4749999999995</v>
      </c>
      <c r="Q9" s="184">
        <f>Q7*(1+D9)</f>
        <v>19166.962499999998</v>
      </c>
    </row>
    <row r="10" spans="1:17" x14ac:dyDescent="0.35">
      <c r="A10" s="176" t="s">
        <v>242</v>
      </c>
      <c r="B10" s="177">
        <f>Master!B9</f>
        <v>50</v>
      </c>
      <c r="C10" s="67">
        <f>Master!E9</f>
        <v>35</v>
      </c>
      <c r="D10" s="233">
        <f>(B10/C10/100) + 5%</f>
        <v>6.4285714285714293E-2</v>
      </c>
      <c r="E10" s="178">
        <f>(E7 * (2*D10))</f>
        <v>252</v>
      </c>
      <c r="H10" s="179" t="s">
        <v>243</v>
      </c>
      <c r="I10" s="180">
        <f>(I7*2*D10) + (I7 * (1-D10))</f>
        <v>6675.2000000000007</v>
      </c>
      <c r="K10" s="181">
        <f>(K9*D10*2) + (K9*(1-D10))</f>
        <v>4471.5859469696961</v>
      </c>
      <c r="M10" s="182">
        <f>(M9*2*D10) + (M9*(1-D10))</f>
        <v>8719.5925965909082</v>
      </c>
      <c r="O10" s="183">
        <f>(O7*2*D10) + (O7*(1-D10))</f>
        <v>5194.1399999999994</v>
      </c>
      <c r="Q10" s="184">
        <f>(Q7*2*D10) + (Q7 * (1-D10))</f>
        <v>17178.209999999995</v>
      </c>
    </row>
    <row r="11" spans="1:17" x14ac:dyDescent="0.35">
      <c r="D11" s="100"/>
      <c r="H11" s="179" t="s">
        <v>279</v>
      </c>
      <c r="I11" s="180">
        <f>(E12)*((2*D10)+(1*(1-D10)))</f>
        <v>1200.7509242083966</v>
      </c>
      <c r="K11" s="181">
        <f>I11</f>
        <v>1200.7509242083966</v>
      </c>
      <c r="M11" s="182">
        <f>I11*1.3</f>
        <v>1560.9762014709156</v>
      </c>
      <c r="O11" s="183">
        <f>I11</f>
        <v>1200.7509242083966</v>
      </c>
      <c r="Q11" s="189">
        <v>0</v>
      </c>
    </row>
    <row r="12" spans="1:17" x14ac:dyDescent="0.35">
      <c r="A12" s="176" t="s">
        <v>244</v>
      </c>
      <c r="B12" s="177">
        <v>200</v>
      </c>
      <c r="C12" s="67">
        <v>8.3330000000000002</v>
      </c>
      <c r="D12" s="233">
        <f>(B12/C12/100) + 24%</f>
        <v>0.48000960038401536</v>
      </c>
      <c r="E12" s="178">
        <f>D12*E7*(1+D9) + (11)</f>
        <v>1128.2223448937955</v>
      </c>
      <c r="I12" s="194" t="s">
        <v>11</v>
      </c>
      <c r="K12" s="181" t="s">
        <v>12</v>
      </c>
      <c r="M12" s="182" t="s">
        <v>13</v>
      </c>
      <c r="O12" s="183" t="s">
        <v>15</v>
      </c>
      <c r="Q12" s="184" t="s">
        <v>136</v>
      </c>
    </row>
    <row r="13" spans="1:17" ht="15" thickBot="1" x14ac:dyDescent="0.4">
      <c r="A13" s="190" t="s">
        <v>134</v>
      </c>
      <c r="B13" s="191">
        <v>100000</v>
      </c>
      <c r="C13" s="192"/>
      <c r="D13" s="192"/>
      <c r="E13" s="193"/>
      <c r="H13" s="195" t="s">
        <v>246</v>
      </c>
      <c r="I13" s="180">
        <f>(I9*(2*D10)) + I9*(1-D10) + I11</f>
        <v>9127.5509242083972</v>
      </c>
      <c r="K13" s="181">
        <f>K8*(1+D9) * ((2*D10) + (1-D10)) + K11</f>
        <v>5672.3368711780931</v>
      </c>
      <c r="M13" s="182">
        <f>M8*(1+D9) * ((2*D10) + (1-D10)) + M11</f>
        <v>10280.568798061824</v>
      </c>
      <c r="O13" s="183">
        <f>(O9*(2*D10)) + O9*(1-D10) + O11</f>
        <v>7368.7921742083963</v>
      </c>
      <c r="Q13" s="184">
        <f>(Q9*(2*D10)) + Q9*(1-D10) + Q11</f>
        <v>20399.124374999999</v>
      </c>
    </row>
    <row r="14" spans="1:17" ht="15" thickBot="1" x14ac:dyDescent="0.4">
      <c r="H14" s="196" t="s">
        <v>247</v>
      </c>
      <c r="I14" s="197">
        <f>I13/I8</f>
        <v>1279.2400916504191</v>
      </c>
      <c r="J14" s="198"/>
      <c r="K14" s="331">
        <f>K13/24</f>
        <v>236.34736963242054</v>
      </c>
      <c r="L14" s="198"/>
      <c r="M14" s="199">
        <f>M13/6</f>
        <v>1713.428133010304</v>
      </c>
      <c r="N14" s="198"/>
      <c r="O14" s="200">
        <f>O13/O8</f>
        <v>5507.986069610316</v>
      </c>
      <c r="P14" s="198"/>
      <c r="Q14" s="201">
        <f>Q13/8</f>
        <v>2549.8905468749999</v>
      </c>
    </row>
    <row r="16" spans="1:17" x14ac:dyDescent="0.35">
      <c r="H16" s="202" t="s">
        <v>134</v>
      </c>
      <c r="I16" s="203">
        <f>Master!F18</f>
        <v>3.2000000000000001E-2</v>
      </c>
      <c r="J16" s="136"/>
      <c r="K16" s="203">
        <f>Master!F19</f>
        <v>2.5000000000000001E-2</v>
      </c>
      <c r="L16" s="136"/>
      <c r="M16" s="203">
        <f>Master!F20</f>
        <v>5.1999999999999998E-2</v>
      </c>
      <c r="N16" s="136"/>
      <c r="O16" s="203">
        <f>Master!F22</f>
        <v>3.5000000000000003E-2</v>
      </c>
      <c r="P16" s="136"/>
      <c r="Q16" s="203">
        <f>Master!F25</f>
        <v>7.1999999999999995E-2</v>
      </c>
    </row>
    <row r="17" spans="1:17" x14ac:dyDescent="0.35">
      <c r="A17" s="347" t="s">
        <v>280</v>
      </c>
      <c r="B17" s="347"/>
      <c r="H17" s="204" t="s">
        <v>248</v>
      </c>
      <c r="I17" s="205">
        <f>I13/(I16*B13)</f>
        <v>2.8523596638151241</v>
      </c>
      <c r="J17" s="206"/>
      <c r="K17" s="205">
        <f>K13/(K16*B13)</f>
        <v>2.2689347484712372</v>
      </c>
      <c r="L17" s="206"/>
      <c r="M17" s="205">
        <f>M13/(M16*B13)</f>
        <v>1.9770324611657355</v>
      </c>
      <c r="N17" s="206"/>
      <c r="O17" s="205">
        <f>O13/(O16*B13)</f>
        <v>2.1053691926309699</v>
      </c>
      <c r="P17" s="206"/>
      <c r="Q17" s="205">
        <f>Q13/(Q16*B13)</f>
        <v>2.8332117187500003</v>
      </c>
    </row>
    <row r="18" spans="1:17" ht="15" thickBot="1" x14ac:dyDescent="0.4">
      <c r="A18" t="s">
        <v>231</v>
      </c>
      <c r="B18" t="s">
        <v>217</v>
      </c>
      <c r="C18" t="s">
        <v>150</v>
      </c>
      <c r="D18" t="s">
        <v>15</v>
      </c>
      <c r="E18" t="s">
        <v>136</v>
      </c>
      <c r="H18" s="192"/>
      <c r="I18" s="192"/>
      <c r="J18" s="192"/>
      <c r="K18" s="192"/>
      <c r="L18" s="192"/>
      <c r="M18" s="192"/>
      <c r="N18" s="192"/>
      <c r="O18" s="192"/>
      <c r="P18" s="192"/>
      <c r="Q18" s="192"/>
    </row>
    <row r="19" spans="1:17" x14ac:dyDescent="0.35">
      <c r="A19" t="s">
        <v>285</v>
      </c>
      <c r="B19" s="234">
        <v>25916</v>
      </c>
      <c r="C19" s="234">
        <v>43310</v>
      </c>
      <c r="D19" s="234">
        <v>37161</v>
      </c>
      <c r="E19" s="234">
        <v>109322</v>
      </c>
    </row>
    <row r="20" spans="1:17" ht="15" thickBot="1" x14ac:dyDescent="0.4">
      <c r="A20" t="s">
        <v>281</v>
      </c>
      <c r="B20" s="234">
        <v>30014</v>
      </c>
      <c r="C20" s="234">
        <v>50614</v>
      </c>
      <c r="D20" s="234">
        <v>37161</v>
      </c>
      <c r="E20" s="234">
        <v>109322</v>
      </c>
    </row>
    <row r="21" spans="1:17" x14ac:dyDescent="0.35">
      <c r="A21" t="s">
        <v>282</v>
      </c>
      <c r="B21" s="234">
        <v>30235</v>
      </c>
      <c r="C21" s="234">
        <v>50529</v>
      </c>
      <c r="D21" s="234">
        <v>43355</v>
      </c>
      <c r="E21" s="234">
        <v>127551</v>
      </c>
      <c r="I21" s="207" t="s">
        <v>249</v>
      </c>
      <c r="K21" s="208" t="s">
        <v>250</v>
      </c>
      <c r="M21" s="163" t="s">
        <v>251</v>
      </c>
      <c r="O21" s="164" t="s">
        <v>252</v>
      </c>
      <c r="Q21" s="165" t="s">
        <v>18</v>
      </c>
    </row>
    <row r="22" spans="1:17" x14ac:dyDescent="0.35">
      <c r="A22" t="s">
        <v>283</v>
      </c>
      <c r="B22" s="236">
        <v>30737</v>
      </c>
      <c r="C22" s="234">
        <v>51367</v>
      </c>
      <c r="D22" s="234">
        <v>44074</v>
      </c>
      <c r="E22" s="235">
        <v>129659</v>
      </c>
      <c r="H22" s="170" t="s">
        <v>236</v>
      </c>
      <c r="I22" s="209">
        <v>2</v>
      </c>
      <c r="K22" s="210">
        <f>Master!C28</f>
        <v>45</v>
      </c>
      <c r="M22" s="211">
        <f>((0.45)*(3)) / (M24) * (25)</f>
        <v>25.227272727272727</v>
      </c>
      <c r="O22" s="174">
        <f>16% * 20</f>
        <v>3.2</v>
      </c>
      <c r="Q22" s="175">
        <f>8.25%*13*6</f>
        <v>6.4350000000000005</v>
      </c>
    </row>
    <row r="23" spans="1:17" x14ac:dyDescent="0.35">
      <c r="A23" t="s">
        <v>284</v>
      </c>
      <c r="B23" s="235">
        <v>34213</v>
      </c>
      <c r="C23" s="235">
        <v>54096</v>
      </c>
      <c r="D23" s="235">
        <v>45458</v>
      </c>
      <c r="E23" s="234">
        <v>109322</v>
      </c>
      <c r="H23" s="179" t="s">
        <v>237</v>
      </c>
      <c r="I23" s="212">
        <f>I22*E7</f>
        <v>3919.9999999999995</v>
      </c>
      <c r="K23" s="213">
        <f>K22*E7</f>
        <v>88199.999999999985</v>
      </c>
      <c r="M23" s="182">
        <f>M22*E7</f>
        <v>49445.454545454537</v>
      </c>
      <c r="O23" s="183">
        <f>E7*O22</f>
        <v>6272</v>
      </c>
      <c r="Q23" s="184">
        <f>Q22*E7</f>
        <v>12612.6</v>
      </c>
    </row>
    <row r="24" spans="1:17" x14ac:dyDescent="0.35">
      <c r="H24" s="179" t="s">
        <v>26</v>
      </c>
      <c r="I24" s="214">
        <f>1/(1+D8)</f>
        <v>0.891891891891892</v>
      </c>
      <c r="K24" s="213">
        <v>0</v>
      </c>
      <c r="M24" s="215">
        <f>1.5/(1+D8)</f>
        <v>1.3378378378378379</v>
      </c>
      <c r="O24" s="187">
        <f>20/(1+D8)</f>
        <v>17.837837837837839</v>
      </c>
      <c r="Q24" s="188">
        <f>9/(1+D8)</f>
        <v>8.0270270270270281</v>
      </c>
    </row>
    <row r="25" spans="1:17" x14ac:dyDescent="0.35">
      <c r="H25" s="179" t="s">
        <v>240</v>
      </c>
      <c r="I25" s="212">
        <f>I23*(D9+1)</f>
        <v>4654.9999999999991</v>
      </c>
      <c r="K25" s="213">
        <f>K23*(D9+1)</f>
        <v>104737.49999999999</v>
      </c>
      <c r="M25" s="182">
        <f>M23*(1+D9)</f>
        <v>58716.477272727265</v>
      </c>
      <c r="O25" s="183">
        <f>O23*(1+D9)</f>
        <v>7448</v>
      </c>
      <c r="Q25" s="184">
        <f>Q23*(1+D9)</f>
        <v>14977.4625</v>
      </c>
    </row>
    <row r="26" spans="1:17" x14ac:dyDescent="0.35">
      <c r="C26" s="198"/>
      <c r="D26" s="216"/>
      <c r="H26" s="179" t="s">
        <v>242</v>
      </c>
      <c r="I26" s="212">
        <f>I25*(1+D10)</f>
        <v>4954.2499999999991</v>
      </c>
      <c r="K26" s="213">
        <f>(2*K23*D10) + (K23*(1-D10))</f>
        <v>93869.999999999985</v>
      </c>
      <c r="M26" s="182">
        <f>M25*(1+D10)</f>
        <v>62491.107954545449</v>
      </c>
      <c r="O26" s="183">
        <f>O25*(1+D10)</f>
        <v>7926.8</v>
      </c>
      <c r="Q26" s="184">
        <f>(Q23*2*D10) + (Q23 * (1-D10))</f>
        <v>13423.410000000002</v>
      </c>
    </row>
    <row r="27" spans="1:17" x14ac:dyDescent="0.35">
      <c r="A27" t="s">
        <v>483</v>
      </c>
      <c r="C27" s="198"/>
      <c r="D27" s="216"/>
      <c r="H27" s="179" t="s">
        <v>245</v>
      </c>
      <c r="I27" s="212">
        <f>I11</f>
        <v>1200.7509242083966</v>
      </c>
      <c r="K27" s="213">
        <v>0</v>
      </c>
      <c r="M27" s="182">
        <v>0</v>
      </c>
      <c r="O27" s="183">
        <v>0</v>
      </c>
      <c r="Q27" s="189">
        <v>0</v>
      </c>
    </row>
    <row r="28" spans="1:17" x14ac:dyDescent="0.35">
      <c r="A28" t="s">
        <v>484</v>
      </c>
      <c r="C28" s="198"/>
      <c r="D28" s="216"/>
      <c r="I28" s="217" t="s">
        <v>249</v>
      </c>
      <c r="K28" s="213" t="s">
        <v>250</v>
      </c>
      <c r="M28" s="182" t="s">
        <v>253</v>
      </c>
      <c r="O28" s="183" t="s">
        <v>254</v>
      </c>
      <c r="Q28" s="184" t="s">
        <v>18</v>
      </c>
    </row>
    <row r="29" spans="1:17" x14ac:dyDescent="0.35">
      <c r="A29" t="s">
        <v>485</v>
      </c>
      <c r="C29" s="198"/>
      <c r="D29" s="216"/>
      <c r="H29" s="195" t="s">
        <v>246</v>
      </c>
      <c r="I29" s="212">
        <f>(I25*(2*D30)) + I25*(1-D30) + I27</f>
        <v>5855.7509242083961</v>
      </c>
      <c r="K29" s="213">
        <f>K25 * ((2*D10) + (1-D10))</f>
        <v>111470.62499999999</v>
      </c>
      <c r="M29" s="182">
        <f>M26</f>
        <v>62491.107954545449</v>
      </c>
      <c r="O29" s="183">
        <f>O26</f>
        <v>7926.8</v>
      </c>
      <c r="Q29" s="184">
        <f>(Q25*(2*D10)) + Q25*(1-D10) + Q27</f>
        <v>15940.299375000001</v>
      </c>
    </row>
    <row r="30" spans="1:17" ht="15" thickBot="1" x14ac:dyDescent="0.4">
      <c r="C30" s="198"/>
      <c r="D30" s="216"/>
      <c r="H30" s="196" t="s">
        <v>247</v>
      </c>
      <c r="I30" s="218">
        <f>I29/I24</f>
        <v>6565.5389150215342</v>
      </c>
      <c r="J30" s="198"/>
      <c r="K30" s="219"/>
      <c r="L30" s="198"/>
      <c r="M30" s="182">
        <f>M29/6</f>
        <v>10415.184659090908</v>
      </c>
      <c r="N30" s="198"/>
      <c r="O30" s="220">
        <f>O29/20*(20/O24)</f>
        <v>444.38121212121212</v>
      </c>
      <c r="P30" s="198"/>
      <c r="Q30" s="221">
        <f>Q29/Q24</f>
        <v>1985.8285416666665</v>
      </c>
    </row>
    <row r="31" spans="1:17" x14ac:dyDescent="0.35">
      <c r="C31" s="198"/>
      <c r="D31" s="216"/>
    </row>
    <row r="32" spans="1:17" x14ac:dyDescent="0.35">
      <c r="C32" s="198"/>
      <c r="D32" s="216"/>
      <c r="H32" s="202" t="s">
        <v>134</v>
      </c>
      <c r="I32" s="222">
        <v>1.4999999999999999E-2</v>
      </c>
      <c r="J32" s="100"/>
      <c r="K32" s="222"/>
      <c r="L32" s="100"/>
      <c r="M32" s="222"/>
      <c r="N32" s="100"/>
      <c r="O32" s="222">
        <f>3.2%/8</f>
        <v>4.0000000000000001E-3</v>
      </c>
      <c r="P32" s="100"/>
      <c r="Q32" s="222">
        <v>3.5000000000000003E-2</v>
      </c>
    </row>
    <row r="33" spans="1:17" x14ac:dyDescent="0.35">
      <c r="C33" s="198"/>
      <c r="D33" s="216"/>
      <c r="H33" s="204" t="s">
        <v>248</v>
      </c>
      <c r="I33" s="205">
        <f>I29/(I32*B13)</f>
        <v>3.903833949472264</v>
      </c>
      <c r="J33" s="206"/>
      <c r="K33" s="205"/>
      <c r="L33" s="206"/>
      <c r="M33" s="205"/>
      <c r="N33" s="206"/>
      <c r="O33" s="205">
        <f>O29/O32</f>
        <v>1981700</v>
      </c>
      <c r="P33" s="206"/>
      <c r="Q33" s="205">
        <f>Q29/(Q32*B13)</f>
        <v>4.55437125</v>
      </c>
    </row>
    <row r="34" spans="1:17" x14ac:dyDescent="0.35">
      <c r="C34" s="198"/>
      <c r="D34" s="216"/>
    </row>
    <row r="35" spans="1:17" ht="15" thickBot="1" x14ac:dyDescent="0.4">
      <c r="C35" s="198"/>
      <c r="D35" s="216"/>
      <c r="H35" s="192"/>
      <c r="I35" s="192"/>
      <c r="J35" s="192"/>
      <c r="K35" s="192"/>
      <c r="L35" s="192"/>
      <c r="M35" s="192"/>
      <c r="N35" s="192"/>
      <c r="O35" s="192"/>
      <c r="P35" s="192"/>
      <c r="Q35" s="192"/>
    </row>
    <row r="36" spans="1:17" x14ac:dyDescent="0.35">
      <c r="C36" s="198"/>
    </row>
    <row r="37" spans="1:17" ht="15" thickBot="1" x14ac:dyDescent="0.4">
      <c r="B37">
        <f>(K6/10) * (20 / (2/(1+D8)))*E7</f>
        <v>3538.0969696969687</v>
      </c>
      <c r="H37" t="s">
        <v>255</v>
      </c>
      <c r="I37" t="s">
        <v>256</v>
      </c>
    </row>
    <row r="38" spans="1:17" x14ac:dyDescent="0.35">
      <c r="A38" s="347" t="s">
        <v>534</v>
      </c>
      <c r="B38" s="347"/>
      <c r="C38" s="347"/>
      <c r="I38" s="223" t="s">
        <v>257</v>
      </c>
      <c r="K38" s="224" t="s">
        <v>258</v>
      </c>
      <c r="M38" s="225" t="s">
        <v>259</v>
      </c>
      <c r="O38" s="226" t="s">
        <v>260</v>
      </c>
      <c r="Q38" s="227"/>
    </row>
    <row r="39" spans="1:17" x14ac:dyDescent="0.35">
      <c r="A39" s="394" t="s">
        <v>535</v>
      </c>
      <c r="B39" s="394"/>
      <c r="C39" s="394"/>
      <c r="H39" s="170" t="s">
        <v>236</v>
      </c>
      <c r="I39" s="209">
        <f>I22+I6</f>
        <v>5.2</v>
      </c>
      <c r="K39" s="210">
        <f>M6+(I6*1.3)</f>
        <v>7.2995000000000001</v>
      </c>
      <c r="M39" s="211">
        <f>(M6*(7/6))+((I6)*1.4)</f>
        <v>8.1427499999999995</v>
      </c>
      <c r="O39" s="174">
        <f>Q6+K6</f>
        <v>9.8449999999999989</v>
      </c>
      <c r="Q39" s="175"/>
    </row>
    <row r="40" spans="1:17" x14ac:dyDescent="0.35">
      <c r="A40" s="347" t="s">
        <v>536</v>
      </c>
      <c r="B40" s="347"/>
      <c r="C40" s="347"/>
      <c r="D40" s="347"/>
      <c r="H40" s="179" t="s">
        <v>237</v>
      </c>
      <c r="I40" s="212" t="e">
        <f>#REF!*I39</f>
        <v>#REF!</v>
      </c>
      <c r="K40" s="213">
        <f>K39*E7</f>
        <v>14307.019999999999</v>
      </c>
      <c r="M40" s="182">
        <f>M39*E7</f>
        <v>15959.789999999997</v>
      </c>
      <c r="O40" s="183">
        <f>E7*O39</f>
        <v>19296.199999999997</v>
      </c>
      <c r="Q40" s="184">
        <f>Q39*B55</f>
        <v>0</v>
      </c>
    </row>
    <row r="41" spans="1:17" x14ac:dyDescent="0.35">
      <c r="A41" s="347" t="s">
        <v>537</v>
      </c>
      <c r="B41" s="347"/>
      <c r="C41" s="347"/>
      <c r="D41" s="347"/>
      <c r="H41" s="179" t="s">
        <v>26</v>
      </c>
      <c r="I41" s="214">
        <f>I8+I24</f>
        <v>8.0270270270270281</v>
      </c>
      <c r="K41" s="213">
        <f>M8+(1.3*M24)</f>
        <v>6901.0282800982786</v>
      </c>
      <c r="M41" s="182">
        <f>(M8*(7/6))+(1.4* ((0.64 / (0.5/(1+D8)) * 7) * E7) )</f>
        <v>35615.560909090898</v>
      </c>
      <c r="O41" s="183">
        <f>K8+Q7</f>
        <v>19678.696969696965</v>
      </c>
      <c r="Q41" s="188">
        <f>3/(1+D52)</f>
        <v>3</v>
      </c>
    </row>
    <row r="42" spans="1:17" x14ac:dyDescent="0.35">
      <c r="H42" s="179" t="s">
        <v>240</v>
      </c>
      <c r="I42" s="212" t="e">
        <f>I40*(D9+1)</f>
        <v>#REF!</v>
      </c>
      <c r="K42" s="213">
        <f>K41*(1+D9)</f>
        <v>8194.9710826167066</v>
      </c>
      <c r="M42" s="182">
        <f>M41*(1+D9)</f>
        <v>42293.478579545445</v>
      </c>
      <c r="O42" s="183">
        <f>O40*(1+D53)</f>
        <v>19296.199999999997</v>
      </c>
      <c r="Q42" s="184">
        <f>Q40*(1+D53)</f>
        <v>0</v>
      </c>
    </row>
    <row r="43" spans="1:17" x14ac:dyDescent="0.35">
      <c r="H43" s="179" t="s">
        <v>242</v>
      </c>
      <c r="I43" s="212" t="e">
        <f>I42*(D10+1)</f>
        <v>#REF!</v>
      </c>
      <c r="K43" s="213">
        <f>K42*(1+D10)</f>
        <v>8721.7906522134945</v>
      </c>
      <c r="M43" s="182">
        <f>M42*(1+D10)</f>
        <v>45012.345059659077</v>
      </c>
      <c r="O43" s="183">
        <f>(O40*2*D54) + (O40*(1-D54))</f>
        <v>19296.199999999997</v>
      </c>
      <c r="Q43" s="184">
        <f>(Q40*2*D54) + (Q40 * (1-D54))</f>
        <v>0</v>
      </c>
    </row>
    <row r="44" spans="1:17" x14ac:dyDescent="0.35">
      <c r="H44" s="179" t="s">
        <v>245</v>
      </c>
      <c r="I44" s="212">
        <f>I27*2</f>
        <v>2401.5018484167931</v>
      </c>
      <c r="K44" s="213">
        <f>I44*1.3</f>
        <v>3121.9524029418312</v>
      </c>
      <c r="M44" s="182">
        <f>I44*1.4</f>
        <v>3362.10258778351</v>
      </c>
      <c r="O44" s="183">
        <f>I11*2</f>
        <v>2401.5018484167931</v>
      </c>
      <c r="Q44" s="189">
        <v>0</v>
      </c>
    </row>
    <row r="45" spans="1:17" x14ac:dyDescent="0.35">
      <c r="I45" s="217"/>
      <c r="K45" s="213"/>
      <c r="M45" s="182"/>
      <c r="O45" s="183"/>
      <c r="Q45" s="184"/>
    </row>
    <row r="46" spans="1:17" x14ac:dyDescent="0.35">
      <c r="H46" s="195" t="s">
        <v>246</v>
      </c>
      <c r="I46" s="212" t="e">
        <f>(I42*(2*D54)) + I42*(1-D54) + I44</f>
        <v>#REF!</v>
      </c>
      <c r="K46" s="213">
        <f>K43+K44</f>
        <v>11843.743055155326</v>
      </c>
      <c r="M46" s="182">
        <f>M43+M44</f>
        <v>48374.44764744259</v>
      </c>
      <c r="O46" s="183">
        <f>(O42*(2*D54)) + O42*(1-D54) + O44</f>
        <v>21697.701848416789</v>
      </c>
      <c r="Q46" s="184">
        <f>(Q42*(2*D54)) + Q42*(1-D54) + Q44</f>
        <v>0</v>
      </c>
    </row>
    <row r="47" spans="1:17" ht="15" thickBot="1" x14ac:dyDescent="0.4">
      <c r="H47" s="170" t="s">
        <v>247</v>
      </c>
      <c r="I47" s="228" t="e">
        <f>I46/I41</f>
        <v>#REF!</v>
      </c>
      <c r="J47" s="198"/>
      <c r="K47" s="229">
        <f>K46/6</f>
        <v>1973.957175859221</v>
      </c>
      <c r="L47" s="198"/>
      <c r="M47" s="182">
        <f>M46/7</f>
        <v>6910.6353782060842</v>
      </c>
      <c r="N47" s="198"/>
      <c r="O47" s="183">
        <f>O46/(3*I8)</f>
        <v>1013.6552631204812</v>
      </c>
      <c r="P47" s="198"/>
      <c r="Q47" s="230"/>
    </row>
    <row r="48" spans="1:17" x14ac:dyDescent="0.35">
      <c r="P48" s="100"/>
    </row>
    <row r="49" spans="8:17" x14ac:dyDescent="0.35">
      <c r="H49" s="202" t="s">
        <v>134</v>
      </c>
      <c r="I49" s="222">
        <v>0.02</v>
      </c>
      <c r="J49" s="100"/>
      <c r="K49" s="222">
        <f>M16</f>
        <v>5.1999999999999998E-2</v>
      </c>
      <c r="L49" s="100"/>
      <c r="M49" s="222">
        <f>K49</f>
        <v>5.1999999999999998E-2</v>
      </c>
      <c r="N49" s="100"/>
      <c r="O49" s="222">
        <f>Q16+K16</f>
        <v>9.7000000000000003E-2</v>
      </c>
      <c r="P49" s="231"/>
      <c r="Q49" s="222" t="e">
        <f>(79200/B60)</f>
        <v>#DIV/0!</v>
      </c>
    </row>
    <row r="50" spans="8:17" x14ac:dyDescent="0.35">
      <c r="H50" s="204" t="s">
        <v>248</v>
      </c>
      <c r="I50" s="205" t="e">
        <f>I46/(I49*B13)</f>
        <v>#REF!</v>
      </c>
      <c r="J50" s="206"/>
      <c r="K50" s="205">
        <f>K46/(K49*B13)</f>
        <v>2.2776428952221779</v>
      </c>
      <c r="L50" s="206"/>
      <c r="M50" s="205">
        <f>M46/(M49*B13)</f>
        <v>9.3027783937389597</v>
      </c>
      <c r="N50" s="206"/>
      <c r="O50" s="205">
        <f>O46/(O49*B13)</f>
        <v>2.2368764792182256</v>
      </c>
      <c r="P50" s="232"/>
      <c r="Q50" s="205" t="e">
        <f>Q46/(Q49*B60)</f>
        <v>#DIV/0!</v>
      </c>
    </row>
  </sheetData>
  <mergeCells count="6">
    <mergeCell ref="A41:D41"/>
    <mergeCell ref="A40:D40"/>
    <mergeCell ref="A1:C1"/>
    <mergeCell ref="A2:C2"/>
    <mergeCell ref="A17:B17"/>
    <mergeCell ref="A38:C38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S z p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v S z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0 s 6 U w o i k e 4 D g A A A B E A A A A T A B w A R m 9 y b X V s Y X M v U 2 V j d G l v b j E u b S C i G A A o o B Q A A A A A A A A A A A A A A A A A A A A A A A A A A A A r T k 0 u y c z P U w i G 0 I b W A F B L A Q I t A B Q A A g A I A L 0 s 6 U z a B M c n p w A A A P g A A A A S A A A A A A A A A A A A A A A A A A A A A A B D b 2 5 m a W c v U G F j a 2 F n Z S 5 4 b W x Q S w E C L Q A U A A I A C A C 9 L O l M D 8 r p q 6 Q A A A D p A A A A E w A A A A A A A A A A A A A A A A D z A A A A W 0 N v b n R l b n R f V H l w Z X N d L n h t b F B L A Q I t A B Q A A g A I A L 0 s 6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L z r L Q L A c S Y M c e b f d 1 1 9 / A A A A A A I A A A A A A B B m A A A A A Q A A I A A A A J J 3 F f C 9 V V 8 J e t E B g + S 7 F h N O J t d W / + h 3 9 L L v n e X z R n t Q A A A A A A 6 A A A A A A g A A I A A A A L i p M 6 m a g N q x M f H a 4 L S B G D m R F M 6 j T 6 I D g D y t / 9 r H 2 2 N H U A A A A H 9 + t Z m j B C 8 y n m v I 5 / N 1 Z H 1 m S 2 k t y y m I M C J R F K a X b i U A B / F z Y c t c V i 9 r u X K l o c s v W E w t g W 8 E 2 g k Y S p s d n w o w d 5 u f 6 B L n + E P E q q b m R X z l A i u k Q A A A A E b o D d N f Z X H A R K S x P u 3 L o / u n n w T 0 T v 2 v C o t h / 7 j H j 1 w w + j T E W x h K H L d S Y 5 c S l w 4 l c C t f J y w 1 y 0 J c I W p 0 t r 4 U g 6 o = < / D a t a M a s h u p > 
</file>

<file path=customXml/itemProps1.xml><?xml version="1.0" encoding="utf-8"?>
<ds:datastoreItem xmlns:ds="http://schemas.openxmlformats.org/officeDocument/2006/customXml" ds:itemID="{52AB07DB-57FB-4247-B09D-E0A01E5415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Shadowlands</vt:lpstr>
      <vt:lpstr>Changes</vt:lpstr>
      <vt:lpstr>Covenants</vt:lpstr>
      <vt:lpstr>Heal</vt:lpstr>
      <vt:lpstr>Sha Heal</vt:lpstr>
      <vt:lpstr>HpM</vt:lpstr>
      <vt:lpstr>HpT</vt:lpstr>
      <vt:lpstr>Mistweaver</vt:lpstr>
      <vt:lpstr>Vivify Anaylsis</vt:lpstr>
      <vt:lpstr>Innervate</vt:lpstr>
      <vt:lpstr>Surging vs Vivify</vt:lpstr>
      <vt:lpstr>Rising Mist</vt:lpstr>
      <vt:lpstr>MW Mana</vt:lpstr>
      <vt:lpstr>MW Talent T1</vt:lpstr>
      <vt:lpstr>Mistweaver Bis Azerite</vt:lpstr>
      <vt:lpstr>Mistweaver Azerite</vt:lpstr>
      <vt:lpstr>Way of the Crane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Nading</dc:creator>
  <cp:lastModifiedBy>Jacob Nading</cp:lastModifiedBy>
  <dcterms:created xsi:type="dcterms:W3CDTF">2017-08-03T15:21:13Z</dcterms:created>
  <dcterms:modified xsi:type="dcterms:W3CDTF">2020-11-19T06:05:45Z</dcterms:modified>
</cp:coreProperties>
</file>