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4942742598ac3f/Desktop/FINA2222/fina2222 project Sanyam ^M Abhay ^M Son ^M Tyrone/"/>
    </mc:Choice>
  </mc:AlternateContent>
  <xr:revisionPtr revIDLastSave="20" documentId="13_ncr:1_{E76C9D1D-1A6B-4B53-88E6-49EA7EDFA8D7}" xr6:coauthVersionLast="47" xr6:coauthVersionMax="47" xr10:uidLastSave="{0ECD1970-7F1E-43C8-9D3A-E9030C6D75A6}"/>
  <bookViews>
    <workbookView minimized="1" xWindow="4245" yWindow="2318" windowWidth="9255" windowHeight="9307" activeTab="3" xr2:uid="{83BA8D06-C85C-46B6-9586-53E522666D0B}"/>
  </bookViews>
  <sheets>
    <sheet name="Inputs" sheetId="3" r:id="rId1"/>
    <sheet name="Q1" sheetId="5" r:id="rId2"/>
    <sheet name="Q2" sheetId="6" r:id="rId3"/>
    <sheet name="Q3" sheetId="7" r:id="rId4"/>
    <sheet name="Income_statement" sheetId="1" r:id="rId5"/>
    <sheet name="Balance_sheet" sheetId="2" r:id="rId6"/>
    <sheet name="Cash_flow" sheetId="10" r:id="rId7"/>
    <sheet name="Credit_risk" sheetId="8" r:id="rId8"/>
    <sheet name="Ownershi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5" l="1"/>
  <c r="H24" i="5"/>
  <c r="B35" i="7"/>
  <c r="D25" i="7"/>
  <c r="D14" i="7"/>
  <c r="B14" i="7"/>
  <c r="C14" i="7" l="1"/>
  <c r="C12" i="7"/>
  <c r="C10" i="7"/>
  <c r="E11" i="6"/>
  <c r="E10" i="6"/>
  <c r="E13" i="6"/>
  <c r="C20" i="7"/>
  <c r="B25" i="7"/>
  <c r="B24" i="7"/>
  <c r="D24" i="7"/>
  <c r="C24" i="7"/>
  <c r="C23" i="5"/>
  <c r="E21" i="5"/>
  <c r="D35" i="7"/>
  <c r="B34" i="7"/>
  <c r="D34" i="7"/>
  <c r="C34" i="7"/>
  <c r="B33" i="7"/>
  <c r="D33" i="7"/>
  <c r="B32" i="7"/>
  <c r="D32" i="7"/>
  <c r="B31" i="7"/>
  <c r="D31" i="7"/>
  <c r="B30" i="7"/>
  <c r="D30" i="7"/>
  <c r="C30" i="7"/>
  <c r="B29" i="7"/>
  <c r="D29" i="7"/>
  <c r="D19" i="7"/>
  <c r="C29" i="7"/>
  <c r="C19" i="7"/>
  <c r="D21" i="7"/>
  <c r="E22" i="5"/>
  <c r="B20" i="7"/>
  <c r="D20" i="7"/>
  <c r="B19" i="7" l="1"/>
  <c r="B21" i="7" s="1"/>
  <c r="B22" i="7" s="1"/>
  <c r="B23" i="7" s="1"/>
  <c r="C21" i="7"/>
  <c r="D22" i="7"/>
  <c r="D23" i="7" s="1"/>
  <c r="D9" i="7" l="1"/>
  <c r="C9" i="7"/>
  <c r="B9" i="7"/>
  <c r="B13" i="7"/>
  <c r="D13" i="7"/>
  <c r="C8" i="7"/>
  <c r="D8" i="7" s="1"/>
  <c r="C22" i="7"/>
  <c r="C23" i="7" s="1"/>
  <c r="C13" i="7"/>
  <c r="B16" i="6"/>
  <c r="E16" i="6"/>
  <c r="F8" i="6"/>
  <c r="F11" i="6" s="1"/>
  <c r="E8" i="6"/>
  <c r="B8" i="6"/>
  <c r="G28" i="2"/>
  <c r="F14" i="6"/>
  <c r="E14" i="6"/>
  <c r="F9" i="6"/>
  <c r="E9" i="6"/>
  <c r="B13" i="6"/>
  <c r="B8" i="7" l="1"/>
  <c r="B10" i="7" s="1"/>
  <c r="B11" i="7" s="1"/>
  <c r="B12" i="7" s="1"/>
  <c r="D10" i="7"/>
  <c r="C25" i="7"/>
  <c r="C31" i="7"/>
  <c r="C32" i="7" s="1"/>
  <c r="C33" i="7" s="1"/>
  <c r="C35" i="7" s="1"/>
  <c r="D11" i="7"/>
  <c r="D12" i="7" s="1"/>
  <c r="F10" i="6"/>
  <c r="F12" i="6"/>
  <c r="E12" i="6"/>
  <c r="B14" i="6"/>
  <c r="C11" i="7" l="1"/>
  <c r="B12" i="6"/>
  <c r="B11" i="6"/>
  <c r="B10" i="6"/>
  <c r="B9" i="6"/>
  <c r="B17" i="5"/>
  <c r="D16" i="5"/>
  <c r="B9" i="5"/>
  <c r="F18" i="5" s="1"/>
  <c r="F19" i="5" s="1"/>
  <c r="F22" i="5"/>
  <c r="D25" i="5"/>
  <c r="E25" i="5" s="1"/>
  <c r="D22" i="5"/>
  <c r="C22" i="5"/>
  <c r="F17" i="5"/>
  <c r="E17" i="5"/>
  <c r="D17" i="5"/>
  <c r="C17" i="5"/>
  <c r="B26" i="5"/>
  <c r="B24" i="5"/>
  <c r="B19" i="5" s="1"/>
  <c r="B22" i="5"/>
  <c r="B15" i="6" l="1"/>
  <c r="F25" i="5"/>
  <c r="F24" i="5" s="1"/>
  <c r="C18" i="5"/>
  <c r="C19" i="5" s="1"/>
  <c r="C24" i="5" s="1"/>
  <c r="E18" i="5"/>
  <c r="E19" i="5" s="1"/>
  <c r="E24" i="5" s="1"/>
  <c r="D18" i="5"/>
  <c r="D19" i="5" s="1"/>
  <c r="D24" i="5" s="1"/>
  <c r="B23" i="5"/>
  <c r="F13" i="6" l="1"/>
  <c r="E26" i="5"/>
  <c r="C26" i="5"/>
  <c r="D23" i="5"/>
  <c r="E23" i="5" s="1"/>
  <c r="D26" i="5"/>
  <c r="F23" i="5"/>
  <c r="F26" i="5"/>
  <c r="E15" i="6" l="1"/>
  <c r="F16" i="6"/>
  <c r="F15" i="6"/>
  <c r="E8" i="1"/>
  <c r="D8" i="1"/>
  <c r="C8" i="1"/>
</calcChain>
</file>

<file path=xl/sharedStrings.xml><?xml version="1.0" encoding="utf-8"?>
<sst xmlns="http://schemas.openxmlformats.org/spreadsheetml/2006/main" count="219" uniqueCount="173">
  <si>
    <t>Period End Date</t>
  </si>
  <si>
    <t>31-Dec-2023 </t>
  </si>
  <si>
    <t>31-Dec-2022 </t>
  </si>
  <si>
    <t>31-Dec-2021 </t>
  </si>
  <si>
    <t>Assets (€ Millions)</t>
  </si>
  <si>
    <t>Cash and Short Term Investments</t>
  </si>
  <si>
    <t>--</t>
  </si>
  <si>
    <t>Accounts Receivable - Trade, Net</t>
  </si>
  <si>
    <t>Total Receivables, Net</t>
  </si>
  <si>
    <t>Total Inventory</t>
  </si>
  <si>
    <t>Prepaid Expenses</t>
  </si>
  <si>
    <t>Other Current Assets, Total</t>
  </si>
  <si>
    <t>Total Current Assets</t>
  </si>
  <si>
    <t>Property/Plant/Equipment, Total - Net</t>
  </si>
  <si>
    <t>Goodwill, Net</t>
  </si>
  <si>
    <t>Intangibles, Net</t>
  </si>
  <si>
    <t>Long Term Investments</t>
  </si>
  <si>
    <t>Note Receivable - Long Term</t>
  </si>
  <si>
    <t>Other Long Term Assets, Total</t>
  </si>
  <si>
    <t>Total Assets</t>
  </si>
  <si>
    <t>Liabilities (€ Millions)</t>
  </si>
  <si>
    <t>Accounts Payable</t>
  </si>
  <si>
    <t>Accrued Expenses</t>
  </si>
  <si>
    <t>Notes Payable/Short Term Debt</t>
  </si>
  <si>
    <t>Current Port. of LT Debt/Capital Leases</t>
  </si>
  <si>
    <t>Other Current liabilities, Total</t>
  </si>
  <si>
    <t>Total Current Liabilities</t>
  </si>
  <si>
    <t>Total Long Term Debt</t>
  </si>
  <si>
    <t>Deferred Income Tax</t>
  </si>
  <si>
    <t>Minority Interest</t>
  </si>
  <si>
    <t>Other Liabilities, Total</t>
  </si>
  <si>
    <t>Total Liabilities</t>
  </si>
  <si>
    <t>Shareholders Equity (€ Millions)</t>
  </si>
  <si>
    <t>Common Stock, Total</t>
  </si>
  <si>
    <t>Additional Paid-In Capital</t>
  </si>
  <si>
    <t>Retained Earnings (Accumulated Deficit)</t>
  </si>
  <si>
    <t>Unrealized Gain (Loss)</t>
  </si>
  <si>
    <t>Other Equity, Total</t>
  </si>
  <si>
    <t>Total Equity</t>
  </si>
  <si>
    <t>Total Liabilities &amp; Shareholders' Equity</t>
  </si>
  <si>
    <t>Revenue</t>
  </si>
  <si>
    <t>Total Operating Expense</t>
  </si>
  <si>
    <t>Net Income Before Taxes</t>
  </si>
  <si>
    <t>Provision for Income Taxes</t>
  </si>
  <si>
    <t>Net Income After Taxes</t>
  </si>
  <si>
    <t>Net Income</t>
  </si>
  <si>
    <t>Interest Expense (Income)</t>
  </si>
  <si>
    <t>Figures in Millions of Euros</t>
  </si>
  <si>
    <t>Income statement for Volkswagen AG</t>
  </si>
  <si>
    <t>Corporate Tax Rate</t>
  </si>
  <si>
    <t>Current Share Price</t>
  </si>
  <si>
    <t>Num Shares Outstanding</t>
  </si>
  <si>
    <t>Beta (equity)</t>
  </si>
  <si>
    <t>Risk premium (= rm - rf)</t>
  </si>
  <si>
    <t>rD (yield on A corporate debt)</t>
  </si>
  <si>
    <t>rf (risk free rate = Germany 15-yr bond yield)</t>
  </si>
  <si>
    <t>VOWG company: Capital Structure, Valuation, and Cost of Capital (as of 8 January 2024)</t>
  </si>
  <si>
    <t>Company Name</t>
  </si>
  <si>
    <t>BMWG.DE</t>
  </si>
  <si>
    <t>Bayerische Motoren Werke AG</t>
  </si>
  <si>
    <t>MBGn.DE</t>
  </si>
  <si>
    <t>Mercedes-Benz Group AG</t>
  </si>
  <si>
    <t>RENA.PA</t>
  </si>
  <si>
    <t>Renault SA</t>
  </si>
  <si>
    <t>A-</t>
  </si>
  <si>
    <t>STLAM.MI</t>
  </si>
  <si>
    <t>Stellantis NV</t>
  </si>
  <si>
    <t>VOWG.DE</t>
  </si>
  <si>
    <t>Volkswagen AG</t>
  </si>
  <si>
    <t>All  values are in millions except for share price and percentages</t>
  </si>
  <si>
    <t>a. Interest tax shield</t>
  </si>
  <si>
    <t>New debt (in million $s)</t>
  </si>
  <si>
    <t>PV(Int Tax Shields) in million $s</t>
  </si>
  <si>
    <t>b. Effect of additional debt on the value of TPW and price per share</t>
  </si>
  <si>
    <t>Two scenarios post-recapitalization</t>
  </si>
  <si>
    <t>Pre-recapitalization</t>
  </si>
  <si>
    <t>At announcement</t>
  </si>
  <si>
    <t>Debt  issuance</t>
  </si>
  <si>
    <t>1. Repurchase shares</t>
  </si>
  <si>
    <t>2. Pay special dividend</t>
  </si>
  <si>
    <t>New cash</t>
  </si>
  <si>
    <t>Original mkt value of assets (=D+E)</t>
  </si>
  <si>
    <t>Interest tax shield (ITS) for new debt</t>
  </si>
  <si>
    <t>Total mkt value of assets</t>
  </si>
  <si>
    <t>Shares repurchased</t>
  </si>
  <si>
    <t>Num. shares outstanding</t>
  </si>
  <si>
    <t>Stock Price</t>
  </si>
  <si>
    <t>Mkt value of equity (E)</t>
  </si>
  <si>
    <t>Debt (D)</t>
  </si>
  <si>
    <t>Net Debt (D)</t>
  </si>
  <si>
    <t>BLANK</t>
  </si>
  <si>
    <t>Net D/(Net D+E)</t>
  </si>
  <si>
    <t>E/(Net D+E)</t>
  </si>
  <si>
    <t>rE</t>
  </si>
  <si>
    <t xml:space="preserve"> rD</t>
  </si>
  <si>
    <t>pre-tax WACC (rU)</t>
  </si>
  <si>
    <t>WACC</t>
  </si>
  <si>
    <t>Before Recapitalization</t>
  </si>
  <si>
    <t xml:space="preserve">Worst Case </t>
  </si>
  <si>
    <t>Most Likely (normal)</t>
  </si>
  <si>
    <t xml:space="preserve">Best Case  </t>
  </si>
  <si>
    <t>Interest Expense</t>
  </si>
  <si>
    <t>Taxable Income</t>
  </si>
  <si>
    <t>Taxes (@30%)</t>
  </si>
  <si>
    <t>Shares Outstanding</t>
  </si>
  <si>
    <t>EPS (Earnings Per Share)</t>
  </si>
  <si>
    <t>After Recapitalization with share repurchase</t>
  </si>
  <si>
    <t>Taxes</t>
  </si>
  <si>
    <t>After Recapitalization with dividend</t>
  </si>
  <si>
    <t>Create your graph below</t>
  </si>
  <si>
    <t>Earnings before interest and income tax (EBIT)</t>
  </si>
  <si>
    <t>EBIT</t>
  </si>
  <si>
    <t>Probability of default</t>
  </si>
  <si>
    <t>BB</t>
  </si>
  <si>
    <t>BBB+</t>
  </si>
  <si>
    <t>BBB</t>
  </si>
  <si>
    <t>Model implied rating</t>
  </si>
  <si>
    <t xml:space="preserve">Identifier </t>
  </si>
  <si>
    <t>Total LT Debt/Enterprise Value</t>
  </si>
  <si>
    <t>Personal Tax Rate on dividend income</t>
  </si>
  <si>
    <t xml:space="preserve">Personal Tax Rate on capital gains </t>
  </si>
  <si>
    <t>In Germany:</t>
  </si>
  <si>
    <t>Source: https://taxsummaries.pwc.com/germany/individual/income-determination</t>
  </si>
  <si>
    <t>Ownership by location (Investors = number; % O/S = percentage ownership)</t>
  </si>
  <si>
    <t xml:space="preserve">Note: Investment managers include pension funds, banks and trusts, hedge funds, investment advisors, insurance companies, </t>
  </si>
  <si>
    <t>Ownership structure  (Investors = number; % O/S = percentage ownership)</t>
  </si>
  <si>
    <t>Cash Flow-Operating Activities (€ Millions)</t>
  </si>
  <si>
    <t>Net Income/Starting Line</t>
  </si>
  <si>
    <t>Depreciation/Depletion</t>
  </si>
  <si>
    <t>Amortization</t>
  </si>
  <si>
    <t>Non-Cash Items</t>
  </si>
  <si>
    <t>Changes in Working Capital</t>
  </si>
  <si>
    <t>Cash from Operating Activities</t>
  </si>
  <si>
    <t>Cash Flow-Investing Activities (€ Millions)</t>
  </si>
  <si>
    <t>Capital Expenditures</t>
  </si>
  <si>
    <t>Other Investing Cash Flow Items, Total</t>
  </si>
  <si>
    <t>Cash from Investing Activities</t>
  </si>
  <si>
    <t>Cash Flow-Financing Activities (€ Millions)</t>
  </si>
  <si>
    <t>Financing Cash Flow Items</t>
  </si>
  <si>
    <t>Total Cash Dividends Paid</t>
  </si>
  <si>
    <t>Issuance (Retirement) of Stock, Net</t>
  </si>
  <si>
    <t>Issuance (Retirement) of Debt, Net</t>
  </si>
  <si>
    <t>Cash from Financing Activities</t>
  </si>
  <si>
    <t>Foreign Exchange Effects</t>
  </si>
  <si>
    <t>Net Change in Cash</t>
  </si>
  <si>
    <t>Free Cash Flow</t>
  </si>
  <si>
    <t>Cash flow statement for Volkswagen AG</t>
  </si>
  <si>
    <r>
      <t>Free Cash Flow</t>
    </r>
    <r>
      <rPr>
        <sz val="11"/>
        <color theme="8" tint="-0.249977111117893"/>
        <rFont val="Garamond"/>
        <family val="1"/>
      </rPr>
      <t> represents Cash From Operating Activities for the time period minus Capital Expenditures for the same period.</t>
    </r>
  </si>
  <si>
    <t>For certain shareholders, particularly those who hold shares as part of a business, only 60% of the dividends are subject to personal income tax, effectively offering some relief from double taxation. While Germany does not have a full imputation system, the partial imputation approach provides a measure of relief to avoid full double taxation on dividends</t>
  </si>
  <si>
    <t>Location</t>
  </si>
  <si>
    <t>investors</t>
  </si>
  <si>
    <t>% O/s</t>
  </si>
  <si>
    <t>Position (M)</t>
  </si>
  <si>
    <t>Value ($, M)</t>
  </si>
  <si>
    <t>Europe</t>
  </si>
  <si>
    <t>Middle east</t>
  </si>
  <si>
    <t>North America</t>
  </si>
  <si>
    <t>Asia/Pacific</t>
  </si>
  <si>
    <t>Africa</t>
  </si>
  <si>
    <t>grand total</t>
  </si>
  <si>
    <t>A</t>
  </si>
  <si>
    <t>B</t>
  </si>
  <si>
    <t>C = A-B</t>
  </si>
  <si>
    <t>na</t>
  </si>
  <si>
    <t>Net debt</t>
  </si>
  <si>
    <t>Difference in share price between repurchase and dividend</t>
  </si>
  <si>
    <t>Dividend received per share</t>
  </si>
  <si>
    <r>
      <t>This input table supports the</t>
    </r>
    <r>
      <rPr>
        <b/>
        <sz val="11"/>
        <color indexed="10"/>
        <rFont val="Times New Roman"/>
        <family val="1"/>
      </rPr>
      <t xml:space="preserve"> </t>
    </r>
    <r>
      <rPr>
        <b/>
        <sz val="11"/>
        <rFont val="Times New Roman"/>
        <family val="1"/>
      </rPr>
      <t>analysis of the case on</t>
    </r>
  </si>
  <si>
    <r>
      <t xml:space="preserve">All values are in </t>
    </r>
    <r>
      <rPr>
        <b/>
        <sz val="12"/>
        <color theme="7" tint="-0.249977111117893"/>
        <rFont val="Times New Roman"/>
        <family val="1"/>
      </rPr>
      <t>millions</t>
    </r>
    <r>
      <rPr>
        <sz val="12"/>
        <color theme="7" tint="-0.249977111117893"/>
        <rFont val="Times New Roman"/>
        <family val="1"/>
      </rPr>
      <t xml:space="preserve"> except for share price and percentages</t>
    </r>
  </si>
  <si>
    <t>E8 - E9</t>
  </si>
  <si>
    <t>0.3 x E10</t>
  </si>
  <si>
    <t>E10 - E11</t>
  </si>
  <si>
    <t>D12/D13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</si>
</sst>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_-&quot;$&quot;* #,##0_-;\-&quot;$&quot;* #,##0_-;_-&quot;$&quot;* &quot;-&quot;??_-;_-@_-"/>
    <numFmt numFmtId="168" formatCode="0.000"/>
    <numFmt numFmtId="169" formatCode="0.000%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Garamond"/>
      <family val="1"/>
    </font>
    <font>
      <sz val="10"/>
      <color rgb="FF000000"/>
      <name val="Garamond"/>
      <family val="1"/>
    </font>
    <font>
      <sz val="11"/>
      <color theme="1"/>
      <name val="Garamond"/>
      <family val="1"/>
    </font>
    <font>
      <b/>
      <i/>
      <sz val="10"/>
      <color rgb="FF000000"/>
      <name val="Garamond"/>
      <family val="1"/>
    </font>
    <font>
      <sz val="12"/>
      <name val="Garamond"/>
      <family val="1"/>
    </font>
    <font>
      <b/>
      <sz val="11"/>
      <color theme="1"/>
      <name val="Garamond"/>
      <family val="1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Garamond"/>
      <family val="1"/>
    </font>
    <font>
      <b/>
      <sz val="11"/>
      <color rgb="FF000000"/>
      <name val="Garamond"/>
      <family val="1"/>
    </font>
    <font>
      <sz val="11"/>
      <color rgb="FFFF0000"/>
      <name val="Garamond"/>
      <family val="1"/>
    </font>
    <font>
      <b/>
      <sz val="11"/>
      <color rgb="FFFF0000"/>
      <name val="Garamond"/>
      <family val="1"/>
    </font>
    <font>
      <b/>
      <sz val="11"/>
      <color theme="8" tint="-0.249977111117893"/>
      <name val="Garamond"/>
      <family val="1"/>
    </font>
    <font>
      <sz val="11"/>
      <color theme="8" tint="-0.249977111117893"/>
      <name val="Garamond"/>
      <family val="1"/>
    </font>
    <font>
      <sz val="11"/>
      <color theme="1"/>
      <name val="Times New Roman"/>
      <family val="1"/>
    </font>
    <font>
      <b/>
      <sz val="12"/>
      <color indexed="12"/>
      <name val="Times New Roman"/>
      <family val="1"/>
    </font>
    <font>
      <sz val="12"/>
      <color rgb="FFFF0000"/>
      <name val="Times New Roman"/>
      <family val="1"/>
    </font>
    <font>
      <sz val="12"/>
      <color rgb="FF002060"/>
      <name val="Times New Roman"/>
      <family val="1"/>
    </font>
    <font>
      <sz val="12"/>
      <color theme="5" tint="-0.49998474074526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indexed="10"/>
      <name val="Times New Roman"/>
      <family val="1"/>
    </font>
    <font>
      <b/>
      <sz val="11"/>
      <color theme="1"/>
      <name val="Times New Roman"/>
      <family val="1"/>
    </font>
    <font>
      <sz val="9"/>
      <color rgb="FF002733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u/>
      <sz val="11"/>
      <color theme="10"/>
      <name val="Times New Roman"/>
      <family val="1"/>
    </font>
    <font>
      <i/>
      <sz val="11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7030A0"/>
      <name val="Times New Roman"/>
      <family val="1"/>
    </font>
    <font>
      <sz val="12"/>
      <color indexed="8"/>
      <name val="Times New Roman"/>
      <family val="1"/>
    </font>
    <font>
      <b/>
      <u/>
      <sz val="12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rgb="FF00B0F0"/>
      <name val="Times New Roman"/>
      <family val="1"/>
    </font>
    <font>
      <sz val="12"/>
      <color rgb="FF00B0F0"/>
      <name val="Times New Roman"/>
      <family val="1"/>
    </font>
    <font>
      <b/>
      <sz val="12"/>
      <color rgb="FF00B0F0"/>
      <name val="Times New Roman"/>
      <family val="1"/>
    </font>
    <font>
      <b/>
      <u/>
      <sz val="12"/>
      <color theme="5"/>
      <name val="Times New Roman"/>
      <family val="1"/>
    </font>
    <font>
      <b/>
      <sz val="12"/>
      <color theme="5"/>
      <name val="Times New Roman"/>
      <family val="1"/>
    </font>
    <font>
      <sz val="12"/>
      <color theme="7" tint="-0.249977111117893"/>
      <name val="Times New Roman"/>
      <family val="1"/>
    </font>
    <font>
      <b/>
      <sz val="12"/>
      <color theme="7" tint="-0.249977111117893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ABC4EA"/>
        <bgColor rgb="FF000000"/>
      </patternFill>
    </fill>
    <fill>
      <patternFill patternType="solid">
        <fgColor rgb="FFF5F6FA"/>
        <bgColor rgb="FF000000"/>
      </patternFill>
    </fill>
    <fill>
      <patternFill patternType="solid">
        <fgColor rgb="FFC8D7DE"/>
        <bgColor rgb="FF000000"/>
      </patternFill>
    </fill>
    <fill>
      <patternFill patternType="solid">
        <fgColor rgb="FFE9EFF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</fills>
  <borders count="2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C1C1C1"/>
      </bottom>
      <diagonal/>
    </border>
    <border>
      <left/>
      <right/>
      <top style="thin">
        <color indexed="64"/>
      </top>
      <bottom style="medium">
        <color rgb="FFE5EBF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</cellStyleXfs>
  <cellXfs count="214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3" fontId="3" fillId="5" borderId="0" xfId="0" applyNumberFormat="1" applyFont="1" applyFill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3" fontId="3" fillId="0" borderId="8" xfId="0" applyNumberFormat="1" applyFont="1" applyBorder="1" applyAlignment="1">
      <alignment horizontal="right" wrapText="1"/>
    </xf>
    <xf numFmtId="0" fontId="3" fillId="0" borderId="0" xfId="0" applyFont="1" applyAlignment="1">
      <alignment horizontal="left"/>
    </xf>
    <xf numFmtId="3" fontId="4" fillId="0" borderId="0" xfId="0" applyNumberFormat="1" applyFont="1"/>
    <xf numFmtId="3" fontId="3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3" fontId="2" fillId="0" borderId="3" xfId="0" applyNumberFormat="1" applyFont="1" applyBorder="1" applyAlignment="1">
      <alignment horizontal="right" wrapText="1"/>
    </xf>
    <xf numFmtId="0" fontId="4" fillId="0" borderId="0" xfId="0" applyFont="1"/>
    <xf numFmtId="0" fontId="2" fillId="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righ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2" xfId="0" applyFont="1" applyFill="1" applyBorder="1" applyAlignment="1">
      <alignment horizontal="left"/>
    </xf>
    <xf numFmtId="3" fontId="3" fillId="5" borderId="3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left"/>
    </xf>
    <xf numFmtId="0" fontId="3" fillId="5" borderId="3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/>
    <xf numFmtId="0" fontId="10" fillId="10" borderId="0" xfId="0" applyFont="1" applyFill="1" applyAlignment="1">
      <alignment vertical="center"/>
    </xf>
    <xf numFmtId="0" fontId="11" fillId="7" borderId="0" xfId="0" quotePrefix="1" applyFont="1" applyFill="1"/>
    <xf numFmtId="0" fontId="10" fillId="7" borderId="0" xfId="0" applyFont="1" applyFill="1"/>
    <xf numFmtId="0" fontId="11" fillId="7" borderId="0" xfId="0" applyFont="1" applyFill="1"/>
    <xf numFmtId="10" fontId="0" fillId="0" borderId="0" xfId="0" applyNumberFormat="1"/>
    <xf numFmtId="0" fontId="8" fillId="0" borderId="0" xfId="0" applyFont="1" applyAlignment="1">
      <alignment horizontal="center" wrapText="1"/>
    </xf>
    <xf numFmtId="4" fontId="9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9" borderId="0" xfId="0" applyFont="1" applyFill="1"/>
    <xf numFmtId="4" fontId="9" fillId="9" borderId="0" xfId="0" applyNumberFormat="1" applyFont="1" applyFill="1" applyAlignment="1">
      <alignment horizontal="center"/>
    </xf>
    <xf numFmtId="10" fontId="0" fillId="9" borderId="0" xfId="0" applyNumberForma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7" fillId="0" borderId="0" xfId="0" applyFont="1"/>
    <xf numFmtId="0" fontId="14" fillId="11" borderId="26" xfId="0" applyFont="1" applyFill="1" applyBorder="1" applyAlignment="1">
      <alignment horizontal="right"/>
    </xf>
    <xf numFmtId="0" fontId="13" fillId="12" borderId="2" xfId="0" applyFont="1" applyFill="1" applyBorder="1" applyAlignment="1">
      <alignment horizontal="right"/>
    </xf>
    <xf numFmtId="0" fontId="13" fillId="12" borderId="3" xfId="0" applyFont="1" applyFill="1" applyBorder="1" applyAlignment="1">
      <alignment horizontal="right"/>
    </xf>
    <xf numFmtId="0" fontId="13" fillId="13" borderId="0" xfId="0" applyFont="1" applyFill="1" applyAlignment="1">
      <alignment horizontal="left"/>
    </xf>
    <xf numFmtId="0" fontId="13" fillId="0" borderId="2" xfId="0" applyFont="1" applyBorder="1" applyAlignment="1">
      <alignment horizontal="left"/>
    </xf>
    <xf numFmtId="3" fontId="13" fillId="0" borderId="3" xfId="0" applyNumberFormat="1" applyFont="1" applyBorder="1" applyAlignment="1">
      <alignment horizontal="right" wrapText="1"/>
    </xf>
    <xf numFmtId="0" fontId="13" fillId="14" borderId="2" xfId="0" applyFont="1" applyFill="1" applyBorder="1" applyAlignment="1">
      <alignment horizontal="left"/>
    </xf>
    <xf numFmtId="3" fontId="13" fillId="14" borderId="3" xfId="0" applyNumberFormat="1" applyFont="1" applyFill="1" applyBorder="1" applyAlignment="1">
      <alignment horizontal="right" wrapText="1"/>
    </xf>
    <xf numFmtId="0" fontId="13" fillId="14" borderId="3" xfId="0" applyFont="1" applyFill="1" applyBorder="1" applyAlignment="1">
      <alignment horizontal="right" wrapText="1"/>
    </xf>
    <xf numFmtId="3" fontId="15" fillId="14" borderId="3" xfId="0" applyNumberFormat="1" applyFont="1" applyFill="1" applyBorder="1" applyAlignment="1">
      <alignment horizontal="right" wrapText="1"/>
    </xf>
    <xf numFmtId="0" fontId="14" fillId="0" borderId="2" xfId="0" applyFont="1" applyBorder="1" applyAlignment="1">
      <alignment horizontal="left"/>
    </xf>
    <xf numFmtId="3" fontId="14" fillId="0" borderId="3" xfId="0" applyNumberFormat="1" applyFont="1" applyBorder="1" applyAlignment="1">
      <alignment horizontal="right" wrapText="1"/>
    </xf>
    <xf numFmtId="0" fontId="13" fillId="0" borderId="3" xfId="0" applyFont="1" applyBorder="1" applyAlignment="1">
      <alignment horizontal="left" wrapText="1"/>
    </xf>
    <xf numFmtId="3" fontId="16" fillId="0" borderId="3" xfId="0" applyNumberFormat="1" applyFont="1" applyBorder="1" applyAlignment="1">
      <alignment horizontal="right" wrapText="1"/>
    </xf>
    <xf numFmtId="0" fontId="15" fillId="14" borderId="3" xfId="0" applyFont="1" applyFill="1" applyBorder="1" applyAlignment="1">
      <alignment horizontal="right" wrapText="1"/>
    </xf>
    <xf numFmtId="3" fontId="15" fillId="0" borderId="3" xfId="0" applyNumberFormat="1" applyFont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0" fontId="13" fillId="0" borderId="3" xfId="0" applyFont="1" applyBorder="1" applyAlignment="1">
      <alignment horizontal="right" wrapText="1"/>
    </xf>
    <xf numFmtId="0" fontId="14" fillId="0" borderId="0" xfId="0" applyFont="1"/>
    <xf numFmtId="0" fontId="17" fillId="0" borderId="0" xfId="0" applyFont="1"/>
    <xf numFmtId="0" fontId="0" fillId="15" borderId="0" xfId="0" applyFill="1"/>
    <xf numFmtId="0" fontId="0" fillId="16" borderId="0" xfId="0" applyFill="1"/>
    <xf numFmtId="10" fontId="0" fillId="16" borderId="0" xfId="0" applyNumberFormat="1" applyFill="1"/>
    <xf numFmtId="4" fontId="0" fillId="16" borderId="0" xfId="0" applyNumberFormat="1" applyFill="1"/>
    <xf numFmtId="0" fontId="3" fillId="9" borderId="2" xfId="0" applyFont="1" applyFill="1" applyBorder="1" applyAlignment="1">
      <alignment horizontal="left"/>
    </xf>
    <xf numFmtId="0" fontId="3" fillId="17" borderId="2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right"/>
    </xf>
    <xf numFmtId="0" fontId="3" fillId="5" borderId="6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3" fillId="0" borderId="0" xfId="0" applyFont="1"/>
    <xf numFmtId="0" fontId="10" fillId="7" borderId="0" xfId="5" applyFont="1" applyFill="1"/>
    <xf numFmtId="9" fontId="10" fillId="7" borderId="0" xfId="3" applyFont="1" applyFill="1" applyBorder="1"/>
    <xf numFmtId="0" fontId="10" fillId="7" borderId="0" xfId="5" applyFont="1" applyFill="1" applyAlignment="1">
      <alignment horizontal="right" wrapText="1"/>
    </xf>
    <xf numFmtId="0" fontId="19" fillId="0" borderId="0" xfId="0" applyFont="1"/>
    <xf numFmtId="0" fontId="11" fillId="7" borderId="0" xfId="5" quotePrefix="1" applyFont="1" applyFill="1" applyAlignment="1">
      <alignment horizontal="left"/>
    </xf>
    <xf numFmtId="5" fontId="20" fillId="7" borderId="0" xfId="4" applyNumberFormat="1" applyFont="1" applyFill="1" applyBorder="1"/>
    <xf numFmtId="0" fontId="11" fillId="7" borderId="0" xfId="5" applyFont="1" applyFill="1" applyAlignment="1">
      <alignment horizontal="left"/>
    </xf>
    <xf numFmtId="166" fontId="11" fillId="7" borderId="10" xfId="5" applyNumberFormat="1" applyFont="1" applyFill="1" applyBorder="1" applyAlignment="1">
      <alignment horizontal="right"/>
    </xf>
    <xf numFmtId="166" fontId="21" fillId="7" borderId="10" xfId="5" applyNumberFormat="1" applyFont="1" applyFill="1" applyBorder="1" applyAlignment="1">
      <alignment horizontal="right"/>
    </xf>
    <xf numFmtId="0" fontId="21" fillId="7" borderId="0" xfId="5" applyFont="1" applyFill="1" applyAlignment="1">
      <alignment horizontal="center"/>
    </xf>
    <xf numFmtId="0" fontId="10" fillId="7" borderId="11" xfId="5" applyFont="1" applyFill="1" applyBorder="1"/>
    <xf numFmtId="0" fontId="10" fillId="7" borderId="12" xfId="5" applyFont="1" applyFill="1" applyBorder="1" applyAlignment="1">
      <alignment horizontal="center" vertical="center"/>
    </xf>
    <xf numFmtId="0" fontId="10" fillId="7" borderId="13" xfId="5" applyFont="1" applyFill="1" applyBorder="1"/>
    <xf numFmtId="0" fontId="10" fillId="7" borderId="10" xfId="5" applyFont="1" applyFill="1" applyBorder="1" applyAlignment="1">
      <alignment horizontal="center"/>
    </xf>
    <xf numFmtId="0" fontId="11" fillId="7" borderId="0" xfId="5" applyFont="1" applyFill="1" applyAlignment="1">
      <alignment horizontal="left" vertical="center" wrapText="1"/>
    </xf>
    <xf numFmtId="0" fontId="10" fillId="7" borderId="10" xfId="5" applyFont="1" applyFill="1" applyBorder="1" applyAlignment="1">
      <alignment horizontal="center" vertical="top" wrapText="1"/>
    </xf>
    <xf numFmtId="0" fontId="10" fillId="7" borderId="10" xfId="5" applyFont="1" applyFill="1" applyBorder="1" applyAlignment="1">
      <alignment horizontal="center" vertical="center" wrapText="1"/>
    </xf>
    <xf numFmtId="0" fontId="22" fillId="7" borderId="10" xfId="5" applyFont="1" applyFill="1" applyBorder="1" applyAlignment="1">
      <alignment horizontal="center" vertical="center" wrapText="1"/>
    </xf>
    <xf numFmtId="0" fontId="23" fillId="7" borderId="10" xfId="5" applyFont="1" applyFill="1" applyBorder="1" applyAlignment="1">
      <alignment horizontal="center" vertical="center" wrapText="1"/>
    </xf>
    <xf numFmtId="0" fontId="11" fillId="7" borderId="0" xfId="5" applyFont="1" applyFill="1" applyAlignment="1">
      <alignment horizontal="left" wrapText="1"/>
    </xf>
    <xf numFmtId="0" fontId="10" fillId="0" borderId="10" xfId="0" applyFont="1" applyBorder="1" applyAlignment="1">
      <alignment horizontal="right" wrapText="1"/>
    </xf>
    <xf numFmtId="166" fontId="10" fillId="0" borderId="10" xfId="0" applyNumberFormat="1" applyFont="1" applyBorder="1" applyAlignment="1">
      <alignment horizontal="right" wrapText="1"/>
    </xf>
    <xf numFmtId="166" fontId="10" fillId="0" borderId="10" xfId="1" applyNumberFormat="1" applyFont="1" applyBorder="1" applyAlignment="1">
      <alignment horizontal="right" wrapText="1"/>
    </xf>
    <xf numFmtId="0" fontId="11" fillId="7" borderId="14" xfId="5" applyFont="1" applyFill="1" applyBorder="1" applyAlignment="1">
      <alignment horizontal="left"/>
    </xf>
    <xf numFmtId="166" fontId="10" fillId="0" borderId="15" xfId="1" applyNumberFormat="1" applyFont="1" applyBorder="1" applyAlignment="1">
      <alignment horizontal="right" wrapText="1"/>
    </xf>
    <xf numFmtId="0" fontId="11" fillId="0" borderId="0" xfId="5" applyFont="1" applyAlignment="1">
      <alignment horizontal="left" wrapText="1"/>
    </xf>
    <xf numFmtId="166" fontId="10" fillId="0" borderId="16" xfId="1" applyNumberFormat="1" applyFont="1" applyBorder="1" applyAlignment="1">
      <alignment horizontal="right" wrapText="1"/>
    </xf>
    <xf numFmtId="166" fontId="21" fillId="0" borderId="10" xfId="1" applyNumberFormat="1" applyFont="1" applyBorder="1" applyAlignment="1">
      <alignment horizontal="right" wrapText="1"/>
    </xf>
    <xf numFmtId="166" fontId="11" fillId="0" borderId="10" xfId="1" applyNumberFormat="1" applyFont="1" applyBorder="1" applyAlignment="1">
      <alignment horizontal="right" vertical="center"/>
    </xf>
    <xf numFmtId="166" fontId="10" fillId="0" borderId="10" xfId="1" applyNumberFormat="1" applyFont="1" applyBorder="1" applyAlignment="1">
      <alignment horizontal="right" vertical="center"/>
    </xf>
    <xf numFmtId="168" fontId="11" fillId="7" borderId="0" xfId="5" applyNumberFormat="1" applyFont="1" applyFill="1" applyAlignment="1">
      <alignment horizontal="left" wrapText="1"/>
    </xf>
    <xf numFmtId="164" fontId="10" fillId="0" borderId="10" xfId="1" applyFont="1" applyBorder="1" applyAlignment="1">
      <alignment horizontal="right" vertical="center" wrapText="1"/>
    </xf>
    <xf numFmtId="2" fontId="10" fillId="0" borderId="10" xfId="1" applyNumberFormat="1" applyFont="1" applyBorder="1" applyAlignment="1">
      <alignment horizontal="right" vertical="center" wrapText="1"/>
    </xf>
    <xf numFmtId="164" fontId="10" fillId="0" borderId="10" xfId="1" applyFont="1" applyBorder="1" applyAlignment="1">
      <alignment horizontal="right" wrapText="1"/>
    </xf>
    <xf numFmtId="164" fontId="10" fillId="0" borderId="10" xfId="1" applyFont="1" applyFill="1" applyBorder="1" applyAlignment="1">
      <alignment horizontal="right" wrapText="1"/>
    </xf>
    <xf numFmtId="166" fontId="11" fillId="0" borderId="20" xfId="1" applyNumberFormat="1" applyFont="1" applyFill="1" applyBorder="1" applyAlignment="1">
      <alignment horizontal="left" vertical="center"/>
    </xf>
    <xf numFmtId="168" fontId="24" fillId="0" borderId="0" xfId="0" applyNumberFormat="1" applyFont="1"/>
    <xf numFmtId="0" fontId="11" fillId="0" borderId="17" xfId="5" applyFont="1" applyBorder="1" applyAlignment="1">
      <alignment horizontal="left"/>
    </xf>
    <xf numFmtId="0" fontId="21" fillId="0" borderId="10" xfId="0" applyFont="1" applyBorder="1" applyAlignment="1">
      <alignment horizontal="right" wrapText="1"/>
    </xf>
    <xf numFmtId="0" fontId="25" fillId="0" borderId="0" xfId="0" applyFont="1"/>
    <xf numFmtId="43" fontId="24" fillId="0" borderId="0" xfId="0" applyNumberFormat="1" applyFont="1"/>
    <xf numFmtId="0" fontId="26" fillId="6" borderId="0" xfId="2" quotePrefix="1" applyFont="1" applyFill="1" applyAlignment="1">
      <alignment horizontal="center" wrapText="1"/>
    </xf>
    <xf numFmtId="0" fontId="26" fillId="6" borderId="0" xfId="2" applyFont="1" applyFill="1" applyAlignment="1">
      <alignment horizontal="center"/>
    </xf>
    <xf numFmtId="0" fontId="26" fillId="6" borderId="0" xfId="2" applyFont="1" applyFill="1" applyAlignment="1">
      <alignment horizontal="center"/>
    </xf>
    <xf numFmtId="37" fontId="28" fillId="6" borderId="10" xfId="2" applyNumberFormat="1" applyFont="1" applyFill="1" applyBorder="1" applyAlignment="1">
      <alignment horizontal="right"/>
    </xf>
    <xf numFmtId="9" fontId="19" fillId="6" borderId="10" xfId="3" applyFont="1" applyFill="1" applyBorder="1" applyAlignment="1">
      <alignment horizontal="right"/>
    </xf>
    <xf numFmtId="44" fontId="19" fillId="6" borderId="10" xfId="4" applyFont="1" applyFill="1" applyBorder="1" applyAlignment="1">
      <alignment horizontal="right"/>
    </xf>
    <xf numFmtId="0" fontId="28" fillId="6" borderId="10" xfId="2" applyFont="1" applyFill="1" applyBorder="1" applyAlignment="1">
      <alignment horizontal="right"/>
    </xf>
    <xf numFmtId="165" fontId="19" fillId="6" borderId="10" xfId="1" applyNumberFormat="1" applyFont="1" applyFill="1" applyBorder="1" applyAlignment="1">
      <alignment horizontal="right"/>
    </xf>
    <xf numFmtId="3" fontId="29" fillId="0" borderId="0" xfId="0" applyNumberFormat="1" applyFont="1"/>
    <xf numFmtId="3" fontId="19" fillId="0" borderId="0" xfId="0" applyNumberFormat="1" applyFont="1"/>
    <xf numFmtId="164" fontId="30" fillId="6" borderId="10" xfId="1" applyFont="1" applyFill="1" applyBorder="1" applyAlignment="1">
      <alignment horizontal="right"/>
    </xf>
    <xf numFmtId="10" fontId="30" fillId="6" borderId="10" xfId="3" applyNumberFormat="1" applyFont="1" applyFill="1" applyBorder="1" applyAlignment="1">
      <alignment horizontal="right"/>
    </xf>
    <xf numFmtId="0" fontId="31" fillId="6" borderId="0" xfId="2" applyFont="1" applyFill="1"/>
    <xf numFmtId="0" fontId="30" fillId="6" borderId="0" xfId="2" applyFont="1" applyFill="1"/>
    <xf numFmtId="0" fontId="2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169" fontId="19" fillId="0" borderId="0" xfId="0" applyNumberFormat="1" applyFont="1"/>
    <xf numFmtId="0" fontId="32" fillId="0" borderId="0" xfId="6" applyFont="1"/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left" wrapText="1"/>
    </xf>
    <xf numFmtId="0" fontId="11" fillId="7" borderId="0" xfId="5" applyFont="1" applyFill="1"/>
    <xf numFmtId="0" fontId="10" fillId="0" borderId="11" xfId="5" applyFont="1" applyBorder="1" applyAlignment="1">
      <alignment horizontal="center"/>
    </xf>
    <xf numFmtId="0" fontId="10" fillId="8" borderId="18" xfId="5" applyFont="1" applyFill="1" applyBorder="1"/>
    <xf numFmtId="0" fontId="10" fillId="8" borderId="19" xfId="5" applyFont="1" applyFill="1" applyBorder="1"/>
    <xf numFmtId="0" fontId="10" fillId="7" borderId="12" xfId="5" applyFont="1" applyFill="1" applyBorder="1" applyAlignment="1">
      <alignment horizontal="center"/>
    </xf>
    <xf numFmtId="0" fontId="10" fillId="7" borderId="13" xfId="5" applyFont="1" applyFill="1" applyBorder="1" applyAlignment="1">
      <alignment horizontal="center"/>
    </xf>
    <xf numFmtId="0" fontId="25" fillId="7" borderId="0" xfId="5" applyFont="1" applyFill="1"/>
    <xf numFmtId="0" fontId="10" fillId="7" borderId="11" xfId="5" applyFont="1" applyFill="1" applyBorder="1" applyAlignment="1">
      <alignment horizontal="center" vertical="top" wrapText="1"/>
    </xf>
    <xf numFmtId="0" fontId="10" fillId="8" borderId="20" xfId="5" applyFont="1" applyFill="1" applyBorder="1"/>
    <xf numFmtId="0" fontId="10" fillId="8" borderId="21" xfId="5" applyFont="1" applyFill="1" applyBorder="1"/>
    <xf numFmtId="0" fontId="22" fillId="7" borderId="22" xfId="5" applyFont="1" applyFill="1" applyBorder="1" applyAlignment="1">
      <alignment horizontal="center" vertical="center" wrapText="1"/>
    </xf>
    <xf numFmtId="0" fontId="23" fillId="7" borderId="23" xfId="5" applyFont="1" applyFill="1" applyBorder="1" applyAlignment="1">
      <alignment horizontal="center" vertical="center" wrapText="1"/>
    </xf>
    <xf numFmtId="0" fontId="11" fillId="9" borderId="0" xfId="5" applyFont="1" applyFill="1" applyAlignment="1">
      <alignment horizontal="right"/>
    </xf>
    <xf numFmtId="166" fontId="24" fillId="0" borderId="24" xfId="1" applyNumberFormat="1" applyFont="1" applyFill="1" applyBorder="1" applyAlignment="1">
      <alignment horizontal="right"/>
    </xf>
    <xf numFmtId="0" fontId="10" fillId="8" borderId="20" xfId="5" applyFont="1" applyFill="1" applyBorder="1" applyAlignment="1">
      <alignment horizontal="center" wrapText="1"/>
    </xf>
    <xf numFmtId="0" fontId="10" fillId="8" borderId="21" xfId="5" applyFont="1" applyFill="1" applyBorder="1" applyAlignment="1">
      <alignment horizontal="center" wrapText="1"/>
    </xf>
    <xf numFmtId="166" fontId="22" fillId="0" borderId="10" xfId="1" applyNumberFormat="1" applyFont="1" applyFill="1" applyBorder="1" applyAlignment="1">
      <alignment horizontal="center" vertical="top"/>
    </xf>
    <xf numFmtId="0" fontId="11" fillId="0" borderId="17" xfId="5" applyFont="1" applyBorder="1" applyAlignment="1">
      <alignment horizontal="right" wrapText="1"/>
    </xf>
    <xf numFmtId="166" fontId="24" fillId="7" borderId="25" xfId="1" applyNumberFormat="1" applyFont="1" applyFill="1" applyBorder="1" applyAlignment="1">
      <alignment horizontal="center"/>
    </xf>
    <xf numFmtId="0" fontId="11" fillId="8" borderId="0" xfId="5" applyFont="1" applyFill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166" fontId="22" fillId="7" borderId="10" xfId="5" applyNumberFormat="1" applyFont="1" applyFill="1" applyBorder="1" applyAlignment="1">
      <alignment horizontal="center"/>
    </xf>
    <xf numFmtId="166" fontId="23" fillId="7" borderId="10" xfId="5" applyNumberFormat="1" applyFont="1" applyFill="1" applyBorder="1" applyAlignment="1">
      <alignment horizontal="center"/>
    </xf>
    <xf numFmtId="0" fontId="11" fillId="0" borderId="0" xfId="5" applyFont="1" applyAlignment="1">
      <alignment horizontal="right" wrapText="1"/>
    </xf>
    <xf numFmtId="166" fontId="24" fillId="7" borderId="24" xfId="1" applyNumberFormat="1" applyFont="1" applyFill="1" applyBorder="1"/>
    <xf numFmtId="166" fontId="24" fillId="7" borderId="10" xfId="1" applyNumberFormat="1" applyFont="1" applyFill="1" applyBorder="1"/>
    <xf numFmtId="0" fontId="25" fillId="7" borderId="0" xfId="5" applyFont="1" applyFill="1" applyAlignment="1">
      <alignment horizontal="right"/>
    </xf>
    <xf numFmtId="2" fontId="24" fillId="7" borderId="11" xfId="0" applyNumberFormat="1" applyFont="1" applyFill="1" applyBorder="1"/>
    <xf numFmtId="2" fontId="24" fillId="7" borderId="10" xfId="0" applyNumberFormat="1" applyFont="1" applyFill="1" applyBorder="1"/>
    <xf numFmtId="0" fontId="11" fillId="8" borderId="20" xfId="5" applyFont="1" applyFill="1" applyBorder="1" applyAlignment="1">
      <alignment vertical="center"/>
    </xf>
    <xf numFmtId="0" fontId="11" fillId="8" borderId="21" xfId="5" applyFont="1" applyFill="1" applyBorder="1" applyAlignment="1">
      <alignment vertical="center"/>
    </xf>
    <xf numFmtId="0" fontId="25" fillId="0" borderId="0" xfId="5" applyFont="1" applyAlignment="1">
      <alignment horizontal="right"/>
    </xf>
    <xf numFmtId="10" fontId="10" fillId="0" borderId="11" xfId="0" applyNumberFormat="1" applyFont="1" applyBorder="1"/>
    <xf numFmtId="10" fontId="22" fillId="7" borderId="10" xfId="3" applyNumberFormat="1" applyFont="1" applyFill="1" applyBorder="1"/>
    <xf numFmtId="10" fontId="24" fillId="7" borderId="11" xfId="3" applyNumberFormat="1" applyFont="1" applyFill="1" applyBorder="1"/>
    <xf numFmtId="10" fontId="22" fillId="7" borderId="10" xfId="5" applyNumberFormat="1" applyFont="1" applyFill="1" applyBorder="1"/>
    <xf numFmtId="10" fontId="23" fillId="7" borderId="10" xfId="5" applyNumberFormat="1" applyFont="1" applyFill="1" applyBorder="1"/>
    <xf numFmtId="10" fontId="24" fillId="7" borderId="11" xfId="0" applyNumberFormat="1" applyFont="1" applyFill="1" applyBorder="1"/>
    <xf numFmtId="10" fontId="23" fillId="7" borderId="10" xfId="3" applyNumberFormat="1" applyFont="1" applyFill="1" applyBorder="1"/>
    <xf numFmtId="0" fontId="11" fillId="7" borderId="0" xfId="5" applyFont="1" applyFill="1" applyAlignment="1">
      <alignment horizontal="right"/>
    </xf>
    <xf numFmtId="10" fontId="10" fillId="7" borderId="11" xfId="3" applyNumberFormat="1" applyFont="1" applyFill="1" applyBorder="1"/>
    <xf numFmtId="0" fontId="10" fillId="8" borderId="24" xfId="5" applyFont="1" applyFill="1" applyBorder="1"/>
    <xf numFmtId="0" fontId="10" fillId="8" borderId="23" xfId="5" applyFont="1" applyFill="1" applyBorder="1"/>
    <xf numFmtId="10" fontId="10" fillId="7" borderId="10" xfId="3" applyNumberFormat="1" applyFont="1" applyFill="1" applyBorder="1"/>
    <xf numFmtId="0" fontId="34" fillId="7" borderId="0" xfId="5" applyFont="1" applyFill="1" applyAlignment="1">
      <alignment horizontal="left"/>
    </xf>
    <xf numFmtId="0" fontId="24" fillId="0" borderId="0" xfId="0" applyFont="1"/>
    <xf numFmtId="0" fontId="35" fillId="7" borderId="0" xfId="5" applyFont="1" applyFill="1" applyAlignment="1">
      <alignment horizontal="center"/>
    </xf>
    <xf numFmtId="0" fontId="24" fillId="7" borderId="0" xfId="5" applyFont="1" applyFill="1"/>
    <xf numFmtId="167" fontId="25" fillId="7" borderId="0" xfId="4" applyNumberFormat="1" applyFont="1" applyFill="1" applyBorder="1" applyAlignment="1">
      <alignment horizontal="left"/>
    </xf>
    <xf numFmtId="0" fontId="24" fillId="0" borderId="0" xfId="0" applyFont="1" applyAlignment="1">
      <alignment horizontal="left"/>
    </xf>
    <xf numFmtId="1" fontId="24" fillId="0" borderId="0" xfId="0" applyNumberFormat="1" applyFont="1"/>
    <xf numFmtId="0" fontId="34" fillId="7" borderId="0" xfId="5" applyFont="1" applyFill="1"/>
    <xf numFmtId="0" fontId="11" fillId="10" borderId="0" xfId="0" applyFont="1" applyFill="1" applyAlignment="1">
      <alignment horizontal="left" vertical="center"/>
    </xf>
    <xf numFmtId="0" fontId="11" fillId="10" borderId="0" xfId="0" applyFont="1" applyFill="1"/>
    <xf numFmtId="0" fontId="10" fillId="10" borderId="0" xfId="0" applyFont="1" applyFill="1"/>
    <xf numFmtId="0" fontId="36" fillId="7" borderId="0" xfId="0" applyFont="1" applyFill="1"/>
    <xf numFmtId="0" fontId="37" fillId="7" borderId="0" xfId="0" applyFont="1" applyFill="1"/>
    <xf numFmtId="0" fontId="36" fillId="9" borderId="10" xfId="0" applyFont="1" applyFill="1" applyBorder="1" applyAlignment="1">
      <alignment horizontal="center" vertical="center"/>
    </xf>
    <xf numFmtId="0" fontId="38" fillId="7" borderId="0" xfId="0" applyFont="1" applyFill="1"/>
    <xf numFmtId="165" fontId="38" fillId="7" borderId="10" xfId="1" applyNumberFormat="1" applyFont="1" applyFill="1" applyBorder="1"/>
    <xf numFmtId="165" fontId="38" fillId="0" borderId="10" xfId="1" applyNumberFormat="1" applyFont="1" applyFill="1" applyBorder="1"/>
    <xf numFmtId="166" fontId="36" fillId="7" borderId="10" xfId="1" applyNumberFormat="1" applyFont="1" applyFill="1" applyBorder="1"/>
    <xf numFmtId="164" fontId="36" fillId="7" borderId="10" xfId="1" applyFont="1" applyFill="1" applyBorder="1"/>
    <xf numFmtId="164" fontId="38" fillId="7" borderId="10" xfId="1" applyFont="1" applyFill="1" applyBorder="1"/>
    <xf numFmtId="165" fontId="36" fillId="7" borderId="0" xfId="0" applyNumberFormat="1" applyFont="1" applyFill="1"/>
    <xf numFmtId="0" fontId="39" fillId="7" borderId="0" xfId="0" applyFont="1" applyFill="1"/>
    <xf numFmtId="0" fontId="40" fillId="7" borderId="0" xfId="0" applyFont="1" applyFill="1"/>
    <xf numFmtId="0" fontId="36" fillId="7" borderId="0" xfId="0" applyFont="1" applyFill="1" applyAlignment="1">
      <alignment vertical="top" wrapText="1"/>
    </xf>
    <xf numFmtId="0" fontId="41" fillId="7" borderId="0" xfId="0" applyFont="1" applyFill="1"/>
    <xf numFmtId="164" fontId="41" fillId="7" borderId="10" xfId="1" applyFont="1" applyFill="1" applyBorder="1"/>
    <xf numFmtId="0" fontId="42" fillId="7" borderId="0" xfId="0" applyFont="1" applyFill="1"/>
    <xf numFmtId="0" fontId="43" fillId="7" borderId="0" xfId="0" applyFont="1" applyFill="1"/>
    <xf numFmtId="164" fontId="43" fillId="7" borderId="10" xfId="1" applyFont="1" applyFill="1" applyBorder="1"/>
    <xf numFmtId="0" fontId="38" fillId="6" borderId="0" xfId="0" applyFont="1" applyFill="1"/>
    <xf numFmtId="0" fontId="44" fillId="7" borderId="0" xfId="0" applyFont="1" applyFill="1"/>
    <xf numFmtId="0" fontId="34" fillId="7" borderId="0" xfId="0" applyFont="1" applyFill="1"/>
    <xf numFmtId="0" fontId="25" fillId="7" borderId="0" xfId="0" applyFont="1" applyFill="1"/>
    <xf numFmtId="0" fontId="10" fillId="6" borderId="0" xfId="0" applyFont="1" applyFill="1"/>
    <xf numFmtId="0" fontId="24" fillId="0" borderId="0" xfId="0" applyFont="1" applyAlignment="1">
      <alignment horizontal="center" vertical="center"/>
    </xf>
  </cellXfs>
  <cellStyles count="7">
    <cellStyle name="Comma" xfId="1" builtinId="3"/>
    <cellStyle name="Currency 2" xfId="4" xr:uid="{CF82F17C-B4A4-4E96-B80E-E47BB77964B9}"/>
    <cellStyle name="Hyperlink" xfId="6" builtinId="8"/>
    <cellStyle name="Normal" xfId="0" builtinId="0"/>
    <cellStyle name="Normal 2" xfId="2" xr:uid="{A031E46D-5C7F-474B-8E5C-5C14EC631CD6}"/>
    <cellStyle name="Normal 3" xfId="5" xr:uid="{C3F880C3-42DD-4A7F-8AB5-EE9E98281EE5}"/>
    <cellStyle name="Percent 2" xfId="3" xr:uid="{9A62D29A-CA1A-4FB6-8B7A-0679593C6F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 vs 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'Q3'!$A$6</c:f>
              <c:strCache>
                <c:ptCount val="1"/>
                <c:pt idx="0">
                  <c:v>Before Recapitalization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'Q3'!$B$8:$D$8</c:f>
              <c:numCache>
                <c:formatCode>_(* #,##0_);_(* \(#,##0\);_(* "-"??_);_(@_)</c:formatCode>
                <c:ptCount val="3"/>
                <c:pt idx="0">
                  <c:v>7924.1760000000004</c:v>
                </c:pt>
                <c:pt idx="1">
                  <c:v>26413.919999999998</c:v>
                </c:pt>
                <c:pt idx="2">
                  <c:v>39620.879999999997</c:v>
                </c:pt>
              </c:numCache>
            </c:numRef>
          </c:cat>
          <c:val>
            <c:numRef>
              <c:f>'Q3'!$B$14:$D$14</c:f>
              <c:numCache>
                <c:formatCode>_-* #,##0.00_-;\-* #,##0.00_-;_-* "-"??_-;_-@_-</c:formatCode>
                <c:ptCount val="3"/>
                <c:pt idx="0">
                  <c:v>11.065181758958692</c:v>
                </c:pt>
                <c:pt idx="1">
                  <c:v>36.883939196528971</c:v>
                </c:pt>
                <c:pt idx="2">
                  <c:v>55.325908794793456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2-482B-A874-E5169B9DB9F2}"/>
            </c:ext>
          </c:extLst>
        </c:ser>
        <c:ser>
          <c:idx val="1"/>
          <c:order val="1"/>
          <c:tx>
            <c:strRef>
              <c:f>'Q3'!$A$17</c:f>
              <c:strCache>
                <c:ptCount val="1"/>
                <c:pt idx="0">
                  <c:v>After Recapitalization with share repurchase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'Q3'!$B$8:$D$8</c:f>
              <c:numCache>
                <c:formatCode>_(* #,##0_);_(* \(#,##0\);_(* "-"??_);_(@_)</c:formatCode>
                <c:ptCount val="3"/>
                <c:pt idx="0">
                  <c:v>7924.1760000000004</c:v>
                </c:pt>
                <c:pt idx="1">
                  <c:v>26413.919999999998</c:v>
                </c:pt>
                <c:pt idx="2">
                  <c:v>39620.879999999997</c:v>
                </c:pt>
              </c:numCache>
            </c:numRef>
          </c:cat>
          <c:val>
            <c:numRef>
              <c:f>'Q3'!$B$25:$D$25</c:f>
              <c:numCache>
                <c:formatCode>_-* #,##0.00_-;\-* #,##0.00_-;_-* "-"??_-;_-@_-</c:formatCode>
                <c:ptCount val="3"/>
                <c:pt idx="0">
                  <c:v>11.971741352850945</c:v>
                </c:pt>
                <c:pt idx="1">
                  <c:v>41.008776946470661</c:v>
                </c:pt>
                <c:pt idx="2">
                  <c:v>61.749516656199035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2-482B-A874-E5169B9DB9F2}"/>
            </c:ext>
          </c:extLst>
        </c:ser>
        <c:ser>
          <c:idx val="2"/>
          <c:order val="2"/>
          <c:tx>
            <c:strRef>
              <c:f>'Q3'!$A$27</c:f>
              <c:strCache>
                <c:ptCount val="1"/>
                <c:pt idx="0">
                  <c:v>After Recapitalization with dividend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'Q3'!$B$8:$D$8</c:f>
              <c:numCache>
                <c:formatCode>_(* #,##0_);_(* \(#,##0\);_(* "-"??_);_(@_)</c:formatCode>
                <c:ptCount val="3"/>
                <c:pt idx="0">
                  <c:v>7924.1760000000004</c:v>
                </c:pt>
                <c:pt idx="1">
                  <c:v>26413.919999999998</c:v>
                </c:pt>
                <c:pt idx="2">
                  <c:v>39620.879999999997</c:v>
                </c:pt>
              </c:numCache>
            </c:numRef>
          </c:cat>
          <c:val>
            <c:numRef>
              <c:f>'Q3'!$B$35:$D$35</c:f>
              <c:numCache>
                <c:formatCode>_-* #,##0.00_-;\-* #,##0.00_-;_-* "-"??_-;_-@_-</c:formatCode>
                <c:ptCount val="3"/>
                <c:pt idx="0">
                  <c:v>10.644870585980383</c:v>
                </c:pt>
                <c:pt idx="1">
                  <c:v>36.463628023550662</c:v>
                </c:pt>
                <c:pt idx="2">
                  <c:v>54.905597621815147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2-482B-A874-E5169B9DB9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6485615"/>
        <c:axId val="236486095"/>
      </c:barChart>
      <c:catAx>
        <c:axId val="236485615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86095"/>
        <c:crosses val="autoZero"/>
        <c:auto val="1"/>
        <c:lblAlgn val="ctr"/>
        <c:lblOffset val="100"/>
        <c:noMultiLvlLbl val="0"/>
      </c:catAx>
      <c:valAx>
        <c:axId val="2364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8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229194</xdr:colOff>
      <xdr:row>39</xdr:row>
      <xdr:rowOff>135108</xdr:rowOff>
    </xdr:from>
    <xdr:to>
      <xdr:col>3</xdr:col>
      <xdr:colOff>1211033</xdr:colOff>
      <xdr:row>57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4CDA0-30B3-1DCF-2C72-35E2200B8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153367</xdr:rowOff>
    </xdr:from>
    <xdr:to>
      <xdr:col>7</xdr:col>
      <xdr:colOff>6350</xdr:colOff>
      <xdr:row>35</xdr:row>
      <xdr:rowOff>57509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F1673-5063-2ACF-6077-FE2730F11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41267"/>
          <a:ext cx="7359650" cy="211394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127001</xdr:rowOff>
    </xdr:from>
    <xdr:to>
      <xdr:col>6</xdr:col>
      <xdr:colOff>1084264</xdr:colOff>
      <xdr:row>20</xdr:row>
      <xdr:rowOff>25401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BCBBA4-1123-DAC0-1F7E-ECDEFECEB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11151"/>
          <a:ext cx="7342188" cy="339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0706-B691-4D80-A6A8-B234DF0B550F}">
  <dimension ref="B3:F20"/>
  <sheetViews>
    <sheetView zoomScale="92" zoomScaleNormal="70" workbookViewId="0">
      <selection activeCell="B20" sqref="B20"/>
    </sheetView>
  </sheetViews>
  <sheetFormatPr defaultRowHeight="13.9" x14ac:dyDescent="0.4"/>
  <cols>
    <col min="1" max="1" width="5" style="77" customWidth="1"/>
    <col min="2" max="2" width="58.265625" style="77" customWidth="1"/>
    <col min="3" max="3" width="27.06640625" style="77" customWidth="1"/>
    <col min="4" max="5" width="9.06640625" style="77"/>
    <col min="6" max="6" width="10.73046875" style="77" bestFit="1" customWidth="1"/>
    <col min="7" max="16384" width="9.06640625" style="77"/>
  </cols>
  <sheetData>
    <row r="3" spans="2:6" x14ac:dyDescent="0.4">
      <c r="B3" s="115" t="s">
        <v>167</v>
      </c>
      <c r="C3" s="115"/>
    </row>
    <row r="4" spans="2:6" x14ac:dyDescent="0.4">
      <c r="B4" s="116" t="s">
        <v>56</v>
      </c>
      <c r="C4" s="116"/>
    </row>
    <row r="5" spans="2:6" x14ac:dyDescent="0.4">
      <c r="B5" s="117"/>
      <c r="C5" s="117"/>
    </row>
    <row r="6" spans="2:6" x14ac:dyDescent="0.4">
      <c r="B6" s="118" t="s">
        <v>49</v>
      </c>
      <c r="C6" s="119">
        <v>0.3</v>
      </c>
    </row>
    <row r="7" spans="2:6" x14ac:dyDescent="0.4">
      <c r="B7" s="118" t="s">
        <v>50</v>
      </c>
      <c r="C7" s="120">
        <v>121.8</v>
      </c>
    </row>
    <row r="8" spans="2:6" x14ac:dyDescent="0.4">
      <c r="B8" s="121" t="s">
        <v>51</v>
      </c>
      <c r="C8" s="122">
        <v>501295263</v>
      </c>
      <c r="D8" s="123"/>
      <c r="E8" s="123"/>
      <c r="F8" s="124"/>
    </row>
    <row r="9" spans="2:6" x14ac:dyDescent="0.4">
      <c r="B9" s="118" t="s">
        <v>52</v>
      </c>
      <c r="C9" s="125">
        <v>1.1299999999999999</v>
      </c>
    </row>
    <row r="10" spans="2:6" x14ac:dyDescent="0.4">
      <c r="B10" s="118" t="s">
        <v>55</v>
      </c>
      <c r="C10" s="126">
        <v>2.7E-2</v>
      </c>
    </row>
    <row r="11" spans="2:6" x14ac:dyDescent="0.4">
      <c r="B11" s="118" t="s">
        <v>53</v>
      </c>
      <c r="C11" s="126">
        <v>7.4999999999999997E-2</v>
      </c>
    </row>
    <row r="12" spans="2:6" x14ac:dyDescent="0.4">
      <c r="B12" s="118" t="s">
        <v>54</v>
      </c>
      <c r="C12" s="126">
        <v>4.2999999999999997E-2</v>
      </c>
    </row>
    <row r="13" spans="2:6" x14ac:dyDescent="0.4">
      <c r="B13" s="127"/>
      <c r="C13" s="128"/>
    </row>
    <row r="15" spans="2:6" x14ac:dyDescent="0.4">
      <c r="B15" s="129" t="s">
        <v>121</v>
      </c>
    </row>
    <row r="16" spans="2:6" x14ac:dyDescent="0.4">
      <c r="B16" s="130" t="s">
        <v>119</v>
      </c>
      <c r="C16" s="131">
        <v>0.26374999999999998</v>
      </c>
    </row>
    <row r="17" spans="2:4" x14ac:dyDescent="0.4">
      <c r="B17" s="130" t="s">
        <v>120</v>
      </c>
      <c r="C17" s="131">
        <v>0.26374999999999998</v>
      </c>
      <c r="D17" s="132"/>
    </row>
    <row r="18" spans="2:4" x14ac:dyDescent="0.4">
      <c r="B18" s="133" t="s">
        <v>122</v>
      </c>
      <c r="C18" s="133"/>
    </row>
    <row r="20" spans="2:4" ht="69.400000000000006" x14ac:dyDescent="0.4">
      <c r="B20" s="134" t="s">
        <v>148</v>
      </c>
    </row>
  </sheetData>
  <mergeCells count="3">
    <mergeCell ref="B3:C3"/>
    <mergeCell ref="B4:C4"/>
    <mergeCell ref="B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31C8-DBB9-4490-B4C5-3DD9A5B14E03}">
  <dimension ref="A3:H29"/>
  <sheetViews>
    <sheetView topLeftCell="A5" zoomScale="65" zoomScaleNormal="75" workbookViewId="0">
      <selection activeCell="D10" sqref="D10"/>
    </sheetView>
  </sheetViews>
  <sheetFormatPr defaultRowHeight="15.4" x14ac:dyDescent="0.45"/>
  <cols>
    <col min="1" max="1" width="31.265625" style="184" customWidth="1"/>
    <col min="2" max="2" width="25.33203125" style="180" customWidth="1"/>
    <col min="3" max="3" width="28" style="180" customWidth="1"/>
    <col min="4" max="4" width="24.33203125" style="180" customWidth="1"/>
    <col min="5" max="5" width="26.33203125" style="180" customWidth="1"/>
    <col min="6" max="6" width="26" style="180" customWidth="1"/>
    <col min="7" max="16384" width="9.06640625" style="180"/>
  </cols>
  <sheetData>
    <row r="3" spans="1:6" x14ac:dyDescent="0.45">
      <c r="A3" s="179" t="s">
        <v>69</v>
      </c>
      <c r="B3" s="74"/>
      <c r="C3" s="74"/>
      <c r="D3" s="75"/>
      <c r="E3" s="76"/>
      <c r="F3" s="74"/>
    </row>
    <row r="4" spans="1:6" x14ac:dyDescent="0.45">
      <c r="A4" s="179"/>
      <c r="B4" s="74"/>
      <c r="C4" s="74"/>
      <c r="D4" s="75"/>
      <c r="E4" s="76"/>
      <c r="F4" s="74"/>
    </row>
    <row r="5" spans="1:6" x14ac:dyDescent="0.45">
      <c r="A5" s="179"/>
      <c r="B5" s="74"/>
      <c r="C5" s="74"/>
      <c r="D5" s="75"/>
      <c r="E5" s="76"/>
      <c r="F5" s="74"/>
    </row>
    <row r="6" spans="1:6" x14ac:dyDescent="0.45">
      <c r="A6" s="78" t="s">
        <v>70</v>
      </c>
      <c r="B6" s="74"/>
      <c r="C6" s="74"/>
      <c r="D6" s="74"/>
      <c r="E6" s="79"/>
      <c r="F6" s="74"/>
    </row>
    <row r="7" spans="1:6" x14ac:dyDescent="0.45">
      <c r="A7" s="80"/>
      <c r="B7" s="181"/>
      <c r="C7" s="182"/>
      <c r="D7" s="74"/>
      <c r="E7" s="74"/>
      <c r="F7" s="74"/>
    </row>
    <row r="8" spans="1:6" x14ac:dyDescent="0.45">
      <c r="A8" s="80" t="s">
        <v>71</v>
      </c>
      <c r="B8" s="81">
        <v>7000</v>
      </c>
      <c r="C8" s="74"/>
      <c r="D8" s="74"/>
      <c r="E8" s="74"/>
      <c r="F8" s="74"/>
    </row>
    <row r="9" spans="1:6" x14ac:dyDescent="0.45">
      <c r="A9" s="183" t="s">
        <v>72</v>
      </c>
      <c r="B9" s="82">
        <f>B8*Inputs!C6</f>
        <v>2100</v>
      </c>
      <c r="C9" s="83"/>
      <c r="D9" s="74"/>
      <c r="E9" s="74"/>
      <c r="F9" s="74"/>
    </row>
    <row r="10" spans="1:6" x14ac:dyDescent="0.45">
      <c r="A10" s="80"/>
      <c r="B10" s="74"/>
      <c r="C10" s="74"/>
      <c r="D10" s="74"/>
      <c r="E10" s="74"/>
      <c r="F10" s="74"/>
    </row>
    <row r="11" spans="1:6" x14ac:dyDescent="0.45">
      <c r="A11" s="80"/>
      <c r="B11" s="74"/>
      <c r="C11" s="74"/>
      <c r="D11" s="74"/>
      <c r="E11" s="74"/>
      <c r="F11" s="74"/>
    </row>
    <row r="12" spans="1:6" x14ac:dyDescent="0.45">
      <c r="A12" s="78" t="s">
        <v>73</v>
      </c>
      <c r="B12" s="74"/>
      <c r="C12" s="74"/>
      <c r="D12" s="74"/>
      <c r="E12" s="74"/>
      <c r="F12" s="74"/>
    </row>
    <row r="13" spans="1:6" x14ac:dyDescent="0.45">
      <c r="A13" s="78"/>
      <c r="B13" s="74"/>
      <c r="C13" s="74"/>
      <c r="D13" s="74"/>
      <c r="E13" s="74"/>
      <c r="F13" s="74"/>
    </row>
    <row r="14" spans="1:6" x14ac:dyDescent="0.45">
      <c r="A14" s="80"/>
      <c r="B14" s="84"/>
      <c r="C14" s="85"/>
      <c r="D14" s="86"/>
      <c r="E14" s="87" t="s">
        <v>74</v>
      </c>
      <c r="F14" s="87"/>
    </row>
    <row r="15" spans="1:6" x14ac:dyDescent="0.45">
      <c r="A15" s="88"/>
      <c r="B15" s="89" t="s">
        <v>75</v>
      </c>
      <c r="C15" s="90" t="s">
        <v>76</v>
      </c>
      <c r="D15" s="89" t="s">
        <v>77</v>
      </c>
      <c r="E15" s="91" t="s">
        <v>78</v>
      </c>
      <c r="F15" s="92" t="s">
        <v>79</v>
      </c>
    </row>
    <row r="16" spans="1:6" x14ac:dyDescent="0.45">
      <c r="A16" s="93" t="s">
        <v>80</v>
      </c>
      <c r="B16" s="94">
        <v>0</v>
      </c>
      <c r="C16" s="94">
        <v>0</v>
      </c>
      <c r="D16" s="95">
        <f>B8</f>
        <v>7000</v>
      </c>
      <c r="E16" s="94">
        <v>0</v>
      </c>
      <c r="F16" s="94">
        <v>0</v>
      </c>
    </row>
    <row r="17" spans="1:8" x14ac:dyDescent="0.45">
      <c r="A17" s="80" t="s">
        <v>81</v>
      </c>
      <c r="B17" s="96">
        <f>B24</f>
        <v>61057.763033399999</v>
      </c>
      <c r="C17" s="96">
        <f>B17</f>
        <v>61057.763033399999</v>
      </c>
      <c r="D17" s="96">
        <f>C17</f>
        <v>61057.763033399999</v>
      </c>
      <c r="E17" s="96">
        <f>D17</f>
        <v>61057.763033399999</v>
      </c>
      <c r="F17" s="96">
        <f>E17</f>
        <v>61057.763033399999</v>
      </c>
    </row>
    <row r="18" spans="1:8" ht="15.75" thickBot="1" x14ac:dyDescent="0.5">
      <c r="A18" s="97" t="s">
        <v>82</v>
      </c>
      <c r="B18" s="94">
        <v>0</v>
      </c>
      <c r="C18" s="98">
        <f>$B$9</f>
        <v>2100</v>
      </c>
      <c r="D18" s="98">
        <f t="shared" ref="D18:E18" si="0">$B$9</f>
        <v>2100</v>
      </c>
      <c r="E18" s="98">
        <f t="shared" si="0"/>
        <v>2100</v>
      </c>
      <c r="F18" s="98">
        <f>$B$9</f>
        <v>2100</v>
      </c>
    </row>
    <row r="19" spans="1:8" x14ac:dyDescent="0.45">
      <c r="A19" s="99" t="s">
        <v>83</v>
      </c>
      <c r="B19" s="100">
        <f>B17</f>
        <v>61057.763033399999</v>
      </c>
      <c r="C19" s="100">
        <f>SUM(C16:C18)</f>
        <v>63157.763033399999</v>
      </c>
      <c r="D19" s="100">
        <f t="shared" ref="D19:E19" si="1">SUM(D16:D18)</f>
        <v>70157.763033399999</v>
      </c>
      <c r="E19" s="100">
        <f t="shared" si="1"/>
        <v>63157.763033399999</v>
      </c>
      <c r="F19" s="100">
        <f>SUM(F16:F18)</f>
        <v>63157.763033399999</v>
      </c>
    </row>
    <row r="20" spans="1:8" x14ac:dyDescent="0.45">
      <c r="A20" s="93"/>
      <c r="B20" s="101"/>
      <c r="C20" s="96"/>
      <c r="D20" s="96"/>
      <c r="E20" s="96"/>
      <c r="F20" s="96"/>
    </row>
    <row r="21" spans="1:8" x14ac:dyDescent="0.45">
      <c r="A21" s="80" t="s">
        <v>84</v>
      </c>
      <c r="B21" s="102" t="s">
        <v>163</v>
      </c>
      <c r="C21" s="102" t="s">
        <v>163</v>
      </c>
      <c r="D21" s="102" t="s">
        <v>163</v>
      </c>
      <c r="E21" s="103">
        <f>B8/D23</f>
        <v>55.560340842728785</v>
      </c>
      <c r="F21" s="102" t="s">
        <v>163</v>
      </c>
    </row>
    <row r="22" spans="1:8" s="110" customFormat="1" x14ac:dyDescent="0.45">
      <c r="A22" s="104" t="s">
        <v>85</v>
      </c>
      <c r="B22" s="105">
        <f>Inputs!C8/1000000</f>
        <v>501.29526299999998</v>
      </c>
      <c r="C22" s="106">
        <f>B22</f>
        <v>501.29526299999998</v>
      </c>
      <c r="D22" s="106">
        <f>C22</f>
        <v>501.29526299999998</v>
      </c>
      <c r="E22" s="106">
        <f>D22-E21</f>
        <v>445.73492215727117</v>
      </c>
      <c r="F22" s="106">
        <f>D22</f>
        <v>501.29526299999998</v>
      </c>
    </row>
    <row r="23" spans="1:8" x14ac:dyDescent="0.45">
      <c r="A23" s="93" t="s">
        <v>86</v>
      </c>
      <c r="B23" s="107">
        <f>B24/B22</f>
        <v>121.8</v>
      </c>
      <c r="C23" s="107">
        <f>C24/C22</f>
        <v>125.98914790343829</v>
      </c>
      <c r="D23" s="107">
        <f>D24/D22</f>
        <v>125.98914790343829</v>
      </c>
      <c r="E23" s="108">
        <f>E24/E22</f>
        <v>125.98914790343831</v>
      </c>
      <c r="F23" s="108">
        <f>F24/F22</f>
        <v>112.02532155864398</v>
      </c>
      <c r="H23" s="109" t="s">
        <v>165</v>
      </c>
    </row>
    <row r="24" spans="1:8" x14ac:dyDescent="0.45">
      <c r="A24" s="99" t="s">
        <v>87</v>
      </c>
      <c r="B24" s="96">
        <f>Inputs!C7*Inputs!C8/1000000</f>
        <v>61057.763033399999</v>
      </c>
      <c r="C24" s="96">
        <f>C19-C25</f>
        <v>63157.763033399999</v>
      </c>
      <c r="D24" s="96">
        <f>D19-D25</f>
        <v>63157.763033399999</v>
      </c>
      <c r="E24" s="96">
        <f>E19-E25</f>
        <v>56157.763033399999</v>
      </c>
      <c r="F24" s="96">
        <f>F19-F25</f>
        <v>56157.763033399999</v>
      </c>
      <c r="H24" s="110">
        <f>E23-F23</f>
        <v>13.963826344794327</v>
      </c>
    </row>
    <row r="25" spans="1:8" ht="15.75" thickBot="1" x14ac:dyDescent="0.5">
      <c r="A25" s="111" t="s">
        <v>88</v>
      </c>
      <c r="B25" s="112">
        <v>0</v>
      </c>
      <c r="C25" s="112">
        <v>0</v>
      </c>
      <c r="D25" s="98">
        <f>C25+B8</f>
        <v>7000</v>
      </c>
      <c r="E25" s="98">
        <f>D25</f>
        <v>7000</v>
      </c>
      <c r="F25" s="98">
        <f>D25</f>
        <v>7000</v>
      </c>
      <c r="H25" s="113" t="s">
        <v>166</v>
      </c>
    </row>
    <row r="26" spans="1:8" x14ac:dyDescent="0.45">
      <c r="A26" s="99" t="s">
        <v>83</v>
      </c>
      <c r="B26" s="100">
        <f>B24+B25</f>
        <v>61057.763033399999</v>
      </c>
      <c r="C26" s="100">
        <f>C24+C25</f>
        <v>63157.763033399999</v>
      </c>
      <c r="D26" s="100">
        <f>D24+D25</f>
        <v>70157.763033399999</v>
      </c>
      <c r="E26" s="100">
        <f>E24+E25</f>
        <v>63157.763033399999</v>
      </c>
      <c r="F26" s="100">
        <f>F24+F25</f>
        <v>63157.763033399999</v>
      </c>
      <c r="H26" s="114">
        <f>B8/F22</f>
        <v>13.963826344794326</v>
      </c>
    </row>
    <row r="27" spans="1:8" x14ac:dyDescent="0.45">
      <c r="B27" s="185"/>
    </row>
    <row r="28" spans="1:8" x14ac:dyDescent="0.45">
      <c r="B28" s="185"/>
    </row>
    <row r="29" spans="1:8" x14ac:dyDescent="0.45">
      <c r="B29" s="185"/>
    </row>
  </sheetData>
  <mergeCells count="1">
    <mergeCell ref="E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21D6-9BD6-46DA-BDE5-C7BBCAB69B0A}">
  <dimension ref="A4:F16"/>
  <sheetViews>
    <sheetView zoomScale="58" workbookViewId="0">
      <selection activeCell="B26" sqref="B26"/>
    </sheetView>
  </sheetViews>
  <sheetFormatPr defaultRowHeight="15.4" x14ac:dyDescent="0.45"/>
  <cols>
    <col min="1" max="1" width="61.06640625" style="180" bestFit="1" customWidth="1"/>
    <col min="2" max="2" width="33.59765625" style="180" customWidth="1"/>
    <col min="3" max="3" width="4.46484375" style="180" customWidth="1"/>
    <col min="4" max="4" width="3.796875" style="180" customWidth="1"/>
    <col min="5" max="5" width="27.46484375" style="180" customWidth="1"/>
    <col min="6" max="6" width="27.33203125" style="180" customWidth="1"/>
    <col min="7" max="16384" width="9.06640625" style="180"/>
  </cols>
  <sheetData>
    <row r="4" spans="1:6" x14ac:dyDescent="0.45">
      <c r="A4" s="186" t="s">
        <v>69</v>
      </c>
      <c r="B4" s="74"/>
      <c r="C4" s="74"/>
      <c r="D4" s="74"/>
      <c r="E4" s="74"/>
      <c r="F4" s="74"/>
    </row>
    <row r="5" spans="1:6" x14ac:dyDescent="0.45">
      <c r="A5" s="135"/>
      <c r="B5" s="74"/>
      <c r="C5" s="74"/>
      <c r="D5" s="74"/>
      <c r="E5" s="74"/>
      <c r="F5" s="74"/>
    </row>
    <row r="6" spans="1:6" x14ac:dyDescent="0.45">
      <c r="A6" s="135"/>
      <c r="B6" s="136"/>
      <c r="C6" s="137"/>
      <c r="D6" s="138"/>
      <c r="E6" s="139" t="s">
        <v>74</v>
      </c>
      <c r="F6" s="140"/>
    </row>
    <row r="7" spans="1:6" x14ac:dyDescent="0.45">
      <c r="A7" s="141"/>
      <c r="B7" s="142" t="s">
        <v>75</v>
      </c>
      <c r="C7" s="143"/>
      <c r="D7" s="144"/>
      <c r="E7" s="145" t="s">
        <v>78</v>
      </c>
      <c r="F7" s="146" t="s">
        <v>79</v>
      </c>
    </row>
    <row r="8" spans="1:6" x14ac:dyDescent="0.45">
      <c r="A8" s="147" t="s">
        <v>89</v>
      </c>
      <c r="B8" s="148">
        <f>Balance_sheet!B25 + Balance_sheet!B26 + Balance_sheet!B30 - Balance_sheet!B6</f>
        <v>143087</v>
      </c>
      <c r="C8" s="149"/>
      <c r="D8" s="150"/>
      <c r="E8" s="151">
        <f>'Q1'!E25+B8</f>
        <v>150087</v>
      </c>
      <c r="F8" s="151">
        <f>'Q1'!F25+B8</f>
        <v>150087</v>
      </c>
    </row>
    <row r="9" spans="1:6" ht="15.75" thickBot="1" x14ac:dyDescent="0.5">
      <c r="A9" s="152" t="s">
        <v>87</v>
      </c>
      <c r="B9" s="153">
        <f>'Q1'!B24</f>
        <v>61057.763033399999</v>
      </c>
      <c r="C9" s="154" t="s">
        <v>90</v>
      </c>
      <c r="D9" s="155"/>
      <c r="E9" s="156">
        <f>'Q1'!E24</f>
        <v>56157.763033399999</v>
      </c>
      <c r="F9" s="157">
        <f>'Q1'!F24</f>
        <v>56157.763033399999</v>
      </c>
    </row>
    <row r="10" spans="1:6" x14ac:dyDescent="0.45">
      <c r="A10" s="158" t="s">
        <v>83</v>
      </c>
      <c r="B10" s="159">
        <f>B8+B9</f>
        <v>204144.7630334</v>
      </c>
      <c r="C10" s="154"/>
      <c r="D10" s="155"/>
      <c r="E10" s="160">
        <f>E8+E9</f>
        <v>206244.7630334</v>
      </c>
      <c r="F10" s="160">
        <f>F8+F9</f>
        <v>206244.7630334</v>
      </c>
    </row>
    <row r="11" spans="1:6" x14ac:dyDescent="0.45">
      <c r="A11" s="161" t="s">
        <v>91</v>
      </c>
      <c r="B11" s="162">
        <f>B8/(B8+B9)</f>
        <v>0.70090948145747745</v>
      </c>
      <c r="C11" s="154"/>
      <c r="D11" s="155"/>
      <c r="E11" s="163">
        <f>E8/(E8+E9)</f>
        <v>0.72771302307295138</v>
      </c>
      <c r="F11" s="163">
        <f>F8/(F8+F9)</f>
        <v>0.72771302307295138</v>
      </c>
    </row>
    <row r="12" spans="1:6" x14ac:dyDescent="0.45">
      <c r="A12" s="161" t="s">
        <v>92</v>
      </c>
      <c r="B12" s="162">
        <f>B9/(B9+B8)</f>
        <v>0.29909051854252255</v>
      </c>
      <c r="C12" s="164"/>
      <c r="D12" s="165"/>
      <c r="E12" s="163">
        <f>E9/(E8+E9)</f>
        <v>0.27228697692704862</v>
      </c>
      <c r="F12" s="163">
        <f>F9/(F8+F9)</f>
        <v>0.27228697692704862</v>
      </c>
    </row>
    <row r="13" spans="1:6" x14ac:dyDescent="0.45">
      <c r="A13" s="166" t="s">
        <v>93</v>
      </c>
      <c r="B13" s="167">
        <f>Inputs!C10+Inputs!C9*Inputs!C11</f>
        <v>0.11174999999999999</v>
      </c>
      <c r="C13" s="164"/>
      <c r="D13" s="165"/>
      <c r="E13" s="168">
        <f>B15+E8/E9*(B15-B14)</f>
        <v>0.11851765193422209</v>
      </c>
      <c r="F13" s="168">
        <f>B15+F8/F9*(B15-B14)</f>
        <v>0.11851765193422209</v>
      </c>
    </row>
    <row r="14" spans="1:6" x14ac:dyDescent="0.45">
      <c r="A14" s="166" t="s">
        <v>94</v>
      </c>
      <c r="B14" s="169">
        <f>Inputs!C12</f>
        <v>4.2999999999999997E-2</v>
      </c>
      <c r="C14" s="143"/>
      <c r="D14" s="144"/>
      <c r="E14" s="170">
        <f>Inputs!C12</f>
        <v>4.2999999999999997E-2</v>
      </c>
      <c r="F14" s="171">
        <f>Inputs!C12</f>
        <v>4.2999999999999997E-2</v>
      </c>
    </row>
    <row r="15" spans="1:6" x14ac:dyDescent="0.45">
      <c r="A15" s="161" t="s">
        <v>95</v>
      </c>
      <c r="B15" s="172">
        <f>B12*B13+B11*B14</f>
        <v>6.3562473149798418E-2</v>
      </c>
      <c r="C15" s="143"/>
      <c r="D15" s="144"/>
      <c r="E15" s="168">
        <f>E12*E13+E11*E14</f>
        <v>6.3562473149798418E-2</v>
      </c>
      <c r="F15" s="173">
        <f>F12*F13+F11*F14</f>
        <v>6.3562473149798418E-2</v>
      </c>
    </row>
    <row r="16" spans="1:6" x14ac:dyDescent="0.45">
      <c r="A16" s="174" t="s">
        <v>96</v>
      </c>
      <c r="B16" s="175">
        <f>B12*B13+B11*B14*(1-Inputs!C6)</f>
        <v>5.4520740838996967E-2</v>
      </c>
      <c r="C16" s="176"/>
      <c r="D16" s="177"/>
      <c r="E16" s="178">
        <f>E12*E13+E11*E14*(1-Inputs!C6)</f>
        <v>5.4174975152157342E-2</v>
      </c>
      <c r="F16" s="178">
        <f>F12*F13+F11*F14*(1-Inputs!C6)</f>
        <v>5.4174975152157342E-2</v>
      </c>
    </row>
  </sheetData>
  <mergeCells count="2">
    <mergeCell ref="E6:F6"/>
    <mergeCell ref="C9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17A3-9FFD-40C7-85B3-2CC51DFBD0DC}">
  <dimension ref="A1:E38"/>
  <sheetViews>
    <sheetView tabSelected="1" topLeftCell="A38" zoomScale="70" zoomScaleNormal="70" workbookViewId="0">
      <selection activeCell="G15" sqref="G15"/>
    </sheetView>
  </sheetViews>
  <sheetFormatPr defaultRowHeight="15.4" x14ac:dyDescent="0.45"/>
  <cols>
    <col min="1" max="1" width="24.33203125" style="28" bestFit="1" customWidth="1"/>
    <col min="2" max="2" width="20.265625" style="27" bestFit="1" customWidth="1"/>
    <col min="3" max="3" width="18.796875" style="27" bestFit="1" customWidth="1"/>
    <col min="4" max="4" width="19.59765625" style="27" bestFit="1" customWidth="1"/>
    <col min="5" max="5" width="9.06640625" style="213"/>
    <col min="6" max="16384" width="9.06640625" style="180"/>
  </cols>
  <sheetData>
    <row r="1" spans="1:5" x14ac:dyDescent="0.45">
      <c r="A1" s="187"/>
      <c r="B1" s="187"/>
      <c r="C1" s="25"/>
      <c r="D1" s="25"/>
    </row>
    <row r="2" spans="1:5" x14ac:dyDescent="0.45">
      <c r="A2" s="187"/>
      <c r="B2" s="187"/>
      <c r="C2" s="25"/>
      <c r="D2" s="25"/>
    </row>
    <row r="3" spans="1:5" x14ac:dyDescent="0.45">
      <c r="A3" s="188"/>
      <c r="B3" s="189"/>
      <c r="C3" s="189"/>
      <c r="D3" s="189"/>
    </row>
    <row r="4" spans="1:5" x14ac:dyDescent="0.45">
      <c r="A4" s="209" t="s">
        <v>168</v>
      </c>
      <c r="B4" s="190"/>
      <c r="C4" s="190"/>
      <c r="D4" s="190"/>
    </row>
    <row r="5" spans="1:5" x14ac:dyDescent="0.45">
      <c r="A5" s="210"/>
      <c r="B5" s="190"/>
      <c r="C5" s="190"/>
      <c r="D5" s="190"/>
    </row>
    <row r="6" spans="1:5" x14ac:dyDescent="0.45">
      <c r="A6" s="191" t="s">
        <v>97</v>
      </c>
      <c r="B6" s="190"/>
      <c r="C6" s="190"/>
      <c r="D6" s="190"/>
    </row>
    <row r="7" spans="1:5" x14ac:dyDescent="0.45">
      <c r="A7" s="211"/>
      <c r="B7" s="192" t="s">
        <v>98</v>
      </c>
      <c r="C7" s="192" t="s">
        <v>99</v>
      </c>
      <c r="D7" s="192" t="s">
        <v>100</v>
      </c>
    </row>
    <row r="8" spans="1:5" x14ac:dyDescent="0.45">
      <c r="A8" s="193" t="s">
        <v>111</v>
      </c>
      <c r="B8" s="194">
        <f>C8*(1-0.7)</f>
        <v>7924.1760000000004</v>
      </c>
      <c r="C8" s="194">
        <f>Income_statement!$C$7 * (1+0.17)</f>
        <v>26413.919999999998</v>
      </c>
      <c r="D8" s="195">
        <f>C8*(1+0.5)</f>
        <v>39620.879999999997</v>
      </c>
    </row>
    <row r="9" spans="1:5" x14ac:dyDescent="0.45">
      <c r="A9" s="193" t="s">
        <v>101</v>
      </c>
      <c r="B9" s="196">
        <f>'Q1'!B25*'Q2'!B14</f>
        <v>0</v>
      </c>
      <c r="C9" s="196">
        <f>'Q1'!B25*'Q2'!B14</f>
        <v>0</v>
      </c>
      <c r="D9" s="196">
        <f>'Q1'!B25*'Q2'!B14</f>
        <v>0</v>
      </c>
    </row>
    <row r="10" spans="1:5" x14ac:dyDescent="0.45">
      <c r="A10" s="193" t="s">
        <v>102</v>
      </c>
      <c r="B10" s="196">
        <f>B8-B9</f>
        <v>7924.1760000000004</v>
      </c>
      <c r="C10" s="196">
        <f>C8-C9</f>
        <v>26413.919999999998</v>
      </c>
      <c r="D10" s="196">
        <f>D8-D9</f>
        <v>39620.879999999997</v>
      </c>
      <c r="E10" s="213" t="s">
        <v>169</v>
      </c>
    </row>
    <row r="11" spans="1:5" x14ac:dyDescent="0.45">
      <c r="A11" s="193" t="s">
        <v>103</v>
      </c>
      <c r="B11" s="196">
        <f>0.3*B10</f>
        <v>2377.2528000000002</v>
      </c>
      <c r="C11" s="196">
        <f>0.3*C10</f>
        <v>7924.1759999999995</v>
      </c>
      <c r="D11" s="196">
        <f>0.3*D10</f>
        <v>11886.263999999999</v>
      </c>
      <c r="E11" s="213" t="s">
        <v>170</v>
      </c>
    </row>
    <row r="12" spans="1:5" x14ac:dyDescent="0.45">
      <c r="A12" s="193" t="s">
        <v>45</v>
      </c>
      <c r="B12" s="196">
        <f>B10-B11</f>
        <v>5546.9232000000002</v>
      </c>
      <c r="C12" s="196">
        <f>C10-C11</f>
        <v>18489.743999999999</v>
      </c>
      <c r="D12" s="196">
        <f>D10-D11</f>
        <v>27734.615999999998</v>
      </c>
      <c r="E12" s="213" t="s">
        <v>171</v>
      </c>
    </row>
    <row r="13" spans="1:5" x14ac:dyDescent="0.45">
      <c r="A13" s="193" t="s">
        <v>104</v>
      </c>
      <c r="B13" s="197">
        <f>(Inputs!C8)/1000000</f>
        <v>501.29526299999998</v>
      </c>
      <c r="C13" s="197">
        <f>(Inputs!C8)/1000000</f>
        <v>501.29526299999998</v>
      </c>
      <c r="D13" s="197">
        <f>(Inputs!C8)/1000000</f>
        <v>501.29526299999998</v>
      </c>
    </row>
    <row r="14" spans="1:5" x14ac:dyDescent="0.45">
      <c r="A14" s="193" t="s">
        <v>105</v>
      </c>
      <c r="B14" s="198">
        <f>B12/B13</f>
        <v>11.065181758958692</v>
      </c>
      <c r="C14" s="198">
        <f>C12/C13</f>
        <v>36.883939196528971</v>
      </c>
      <c r="D14" s="198">
        <f>D12/D13</f>
        <v>55.325908794793456</v>
      </c>
      <c r="E14" s="213" t="s">
        <v>172</v>
      </c>
    </row>
    <row r="15" spans="1:5" x14ac:dyDescent="0.45">
      <c r="A15" s="193"/>
      <c r="B15" s="199"/>
      <c r="C15" s="190"/>
      <c r="D15" s="190"/>
    </row>
    <row r="17" spans="1:4" x14ac:dyDescent="0.45">
      <c r="A17" s="200" t="s">
        <v>106</v>
      </c>
      <c r="B17" s="201"/>
      <c r="C17" s="202"/>
    </row>
    <row r="18" spans="1:4" x14ac:dyDescent="0.45">
      <c r="A18" s="211"/>
      <c r="B18" s="192" t="s">
        <v>98</v>
      </c>
      <c r="C18" s="192" t="s">
        <v>99</v>
      </c>
      <c r="D18" s="192" t="s">
        <v>100</v>
      </c>
    </row>
    <row r="19" spans="1:4" x14ac:dyDescent="0.45">
      <c r="A19" s="203" t="s">
        <v>111</v>
      </c>
      <c r="B19" s="194">
        <f>C19*(1-0.7)</f>
        <v>7924.1760000000004</v>
      </c>
      <c r="C19" s="194">
        <f>Income_statement!$C$7*(1+0.17)</f>
        <v>26413.919999999998</v>
      </c>
      <c r="D19" s="195">
        <f>C19*(1+0.5)</f>
        <v>39620.879999999997</v>
      </c>
    </row>
    <row r="20" spans="1:4" x14ac:dyDescent="0.45">
      <c r="A20" s="203" t="s">
        <v>101</v>
      </c>
      <c r="B20" s="196">
        <f>('Q1'!$B$8*'Q2'!$E$14)</f>
        <v>301</v>
      </c>
      <c r="C20" s="196">
        <f>('Q1'!$B$8*'Q2'!$E$14)</f>
        <v>301</v>
      </c>
      <c r="D20" s="196">
        <f>('Q1'!$B$8*'Q2'!$E$14)</f>
        <v>301</v>
      </c>
    </row>
    <row r="21" spans="1:4" x14ac:dyDescent="0.45">
      <c r="A21" s="203" t="s">
        <v>102</v>
      </c>
      <c r="B21" s="196">
        <f>B19-B20</f>
        <v>7623.1760000000004</v>
      </c>
      <c r="C21" s="196">
        <f>C19-C20</f>
        <v>26112.92</v>
      </c>
      <c r="D21" s="196">
        <f>D19-D20</f>
        <v>39319.879999999997</v>
      </c>
    </row>
    <row r="22" spans="1:4" x14ac:dyDescent="0.45">
      <c r="A22" s="203" t="s">
        <v>107</v>
      </c>
      <c r="B22" s="196">
        <f>B21*0.3</f>
        <v>2286.9528</v>
      </c>
      <c r="C22" s="196">
        <f>C21*0.3</f>
        <v>7833.8759999999993</v>
      </c>
      <c r="D22" s="196">
        <f>D21*0.3</f>
        <v>11795.963999999998</v>
      </c>
    </row>
    <row r="23" spans="1:4" x14ac:dyDescent="0.45">
      <c r="A23" s="203" t="s">
        <v>45</v>
      </c>
      <c r="B23" s="196">
        <f>B21-B22</f>
        <v>5336.2232000000004</v>
      </c>
      <c r="C23" s="196">
        <f>C21-C22</f>
        <v>18279.043999999998</v>
      </c>
      <c r="D23" s="196">
        <f>D21-D22</f>
        <v>27523.915999999997</v>
      </c>
    </row>
    <row r="24" spans="1:4" x14ac:dyDescent="0.45">
      <c r="A24" s="203" t="s">
        <v>104</v>
      </c>
      <c r="B24" s="197">
        <f>'Q1'!E22</f>
        <v>445.73492215727117</v>
      </c>
      <c r="C24" s="197">
        <f>'Q1'!E22</f>
        <v>445.73492215727117</v>
      </c>
      <c r="D24" s="197">
        <f>'Q1'!E22</f>
        <v>445.73492215727117</v>
      </c>
    </row>
    <row r="25" spans="1:4" x14ac:dyDescent="0.45">
      <c r="A25" s="203" t="s">
        <v>105</v>
      </c>
      <c r="B25" s="204">
        <f>B23/B24</f>
        <v>11.971741352850945</v>
      </c>
      <c r="C25" s="204">
        <f>C23/C24</f>
        <v>41.008776946470661</v>
      </c>
      <c r="D25" s="204">
        <f>D23/D24</f>
        <v>61.749516656199035</v>
      </c>
    </row>
    <row r="26" spans="1:4" x14ac:dyDescent="0.45">
      <c r="A26" s="193"/>
      <c r="B26" s="190"/>
      <c r="C26" s="202"/>
    </row>
    <row r="27" spans="1:4" x14ac:dyDescent="0.45">
      <c r="A27" s="205" t="s">
        <v>108</v>
      </c>
    </row>
    <row r="28" spans="1:4" x14ac:dyDescent="0.45">
      <c r="A28" s="206"/>
      <c r="B28" s="192" t="s">
        <v>98</v>
      </c>
      <c r="C28" s="192" t="s">
        <v>99</v>
      </c>
      <c r="D28" s="192" t="s">
        <v>100</v>
      </c>
    </row>
    <row r="29" spans="1:4" x14ac:dyDescent="0.45">
      <c r="A29" s="206" t="s">
        <v>111</v>
      </c>
      <c r="B29" s="194">
        <f>C29*0.3</f>
        <v>7924.1759999999995</v>
      </c>
      <c r="C29" s="194">
        <f>Income_statement!$C$7*(1+0.17)</f>
        <v>26413.919999999998</v>
      </c>
      <c r="D29" s="195">
        <f>C29*(1+0.5)</f>
        <v>39620.879999999997</v>
      </c>
    </row>
    <row r="30" spans="1:4" x14ac:dyDescent="0.45">
      <c r="A30" s="206" t="s">
        <v>101</v>
      </c>
      <c r="B30" s="196">
        <f>('Q1'!$B$8*'Q2'!$E$14)</f>
        <v>301</v>
      </c>
      <c r="C30" s="196">
        <f>('Q1'!$B$8*'Q2'!$E$14)</f>
        <v>301</v>
      </c>
      <c r="D30" s="196">
        <f>('Q1'!$B$8*'Q2'!$E$14)</f>
        <v>301</v>
      </c>
    </row>
    <row r="31" spans="1:4" x14ac:dyDescent="0.45">
      <c r="A31" s="206" t="s">
        <v>102</v>
      </c>
      <c r="B31" s="196">
        <f>B29-B30</f>
        <v>7623.1759999999995</v>
      </c>
      <c r="C31" s="196">
        <f>C29-C30</f>
        <v>26112.92</v>
      </c>
      <c r="D31" s="196">
        <f>D29-D30</f>
        <v>39319.879999999997</v>
      </c>
    </row>
    <row r="32" spans="1:4" x14ac:dyDescent="0.45">
      <c r="A32" s="206" t="s">
        <v>107</v>
      </c>
      <c r="B32" s="196">
        <f>B31*0.3</f>
        <v>2286.9527999999996</v>
      </c>
      <c r="C32" s="196">
        <f>C31*0.3</f>
        <v>7833.8759999999993</v>
      </c>
      <c r="D32" s="196">
        <f>D31*0.3</f>
        <v>11795.963999999998</v>
      </c>
    </row>
    <row r="33" spans="1:4" x14ac:dyDescent="0.45">
      <c r="A33" s="206" t="s">
        <v>45</v>
      </c>
      <c r="B33" s="196">
        <f>B31-B32</f>
        <v>5336.2232000000004</v>
      </c>
      <c r="C33" s="196">
        <f>C31-C32</f>
        <v>18279.043999999998</v>
      </c>
      <c r="D33" s="196">
        <f>D31-D32</f>
        <v>27523.915999999997</v>
      </c>
    </row>
    <row r="34" spans="1:4" x14ac:dyDescent="0.45">
      <c r="A34" s="206" t="s">
        <v>104</v>
      </c>
      <c r="B34" s="197">
        <f>'Q1'!F22</f>
        <v>501.29526299999998</v>
      </c>
      <c r="C34" s="197">
        <f>'Q1'!F22</f>
        <v>501.29526299999998</v>
      </c>
      <c r="D34" s="197">
        <f>'Q1'!F22</f>
        <v>501.29526299999998</v>
      </c>
    </row>
    <row r="35" spans="1:4" x14ac:dyDescent="0.45">
      <c r="A35" s="206" t="s">
        <v>105</v>
      </c>
      <c r="B35" s="207">
        <f>B33/B34</f>
        <v>10.644870585980383</v>
      </c>
      <c r="C35" s="207">
        <f>C33/C34</f>
        <v>36.463628023550662</v>
      </c>
      <c r="D35" s="207">
        <f>D33/D34</f>
        <v>54.905597621815147</v>
      </c>
    </row>
    <row r="36" spans="1:4" x14ac:dyDescent="0.45">
      <c r="A36" s="26"/>
    </row>
    <row r="38" spans="1:4" x14ac:dyDescent="0.45">
      <c r="A38" s="208" t="s">
        <v>109</v>
      </c>
      <c r="B38" s="212"/>
      <c r="C38" s="212"/>
      <c r="D38" s="212"/>
    </row>
  </sheetData>
  <mergeCells count="1">
    <mergeCell ref="A1:B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C5F6-09A4-4F7F-A7C5-A54232DAD07B}">
  <dimension ref="A1:G11"/>
  <sheetViews>
    <sheetView topLeftCell="C1" workbookViewId="0">
      <selection activeCell="I11" sqref="I11"/>
    </sheetView>
  </sheetViews>
  <sheetFormatPr defaultRowHeight="14.25" x14ac:dyDescent="0.45"/>
  <cols>
    <col min="2" max="2" width="29.796875" customWidth="1"/>
    <col min="3" max="5" width="10.06640625" bestFit="1" customWidth="1"/>
  </cols>
  <sheetData>
    <row r="1" spans="1:7" x14ac:dyDescent="0.45">
      <c r="A1" s="12" t="s">
        <v>48</v>
      </c>
    </row>
    <row r="2" spans="1:7" ht="14.65" thickBot="1" x14ac:dyDescent="0.5">
      <c r="A2" s="12" t="s">
        <v>47</v>
      </c>
    </row>
    <row r="3" spans="1:7" ht="14.65" thickBot="1" x14ac:dyDescent="0.5">
      <c r="A3" s="68"/>
      <c r="B3" s="69"/>
      <c r="C3" s="2">
        <v>2023</v>
      </c>
      <c r="D3" s="2">
        <v>2022</v>
      </c>
      <c r="E3" s="2">
        <v>2021</v>
      </c>
    </row>
    <row r="4" spans="1:7" ht="14.65" thickBot="1" x14ac:dyDescent="0.5">
      <c r="A4" s="70" t="s">
        <v>0</v>
      </c>
      <c r="B4" s="70"/>
      <c r="C4" s="3" t="s">
        <v>1</v>
      </c>
      <c r="D4" s="3" t="s">
        <v>2</v>
      </c>
      <c r="E4" s="3" t="s">
        <v>3</v>
      </c>
    </row>
    <row r="5" spans="1:7" ht="14.65" thickBot="1" x14ac:dyDescent="0.5">
      <c r="A5" s="71" t="s">
        <v>40</v>
      </c>
      <c r="B5" s="71"/>
      <c r="C5" s="4">
        <v>322284</v>
      </c>
      <c r="D5" s="4">
        <v>279050</v>
      </c>
      <c r="E5" s="4">
        <v>250200</v>
      </c>
      <c r="F5" t="s">
        <v>160</v>
      </c>
    </row>
    <row r="6" spans="1:7" x14ac:dyDescent="0.45">
      <c r="A6" s="67" t="s">
        <v>41</v>
      </c>
      <c r="B6" s="67"/>
      <c r="C6" s="5">
        <v>299708</v>
      </c>
      <c r="D6" s="5">
        <v>258841</v>
      </c>
      <c r="E6" s="5">
        <v>230925</v>
      </c>
      <c r="F6" t="s">
        <v>161</v>
      </c>
      <c r="G6" s="1"/>
    </row>
    <row r="7" spans="1:7" ht="14.65" thickBot="1" x14ac:dyDescent="0.5">
      <c r="A7" s="66" t="s">
        <v>110</v>
      </c>
      <c r="B7" s="66"/>
      <c r="C7" s="6">
        <v>22576</v>
      </c>
      <c r="D7" s="6">
        <v>20209</v>
      </c>
      <c r="E7" s="6">
        <v>19275</v>
      </c>
      <c r="F7" s="1" t="s">
        <v>162</v>
      </c>
    </row>
    <row r="8" spans="1:7" x14ac:dyDescent="0.45">
      <c r="A8" s="7" t="s">
        <v>46</v>
      </c>
      <c r="B8" s="7"/>
      <c r="C8" s="8">
        <f>C7-C9</f>
        <v>-618</v>
      </c>
      <c r="D8" s="8">
        <f>D7-D9</f>
        <v>-1861</v>
      </c>
      <c r="E8" s="8">
        <f>E7-E9</f>
        <v>-851</v>
      </c>
      <c r="F8" s="1"/>
    </row>
    <row r="9" spans="1:7" ht="14.65" thickBot="1" x14ac:dyDescent="0.5">
      <c r="A9" s="66" t="s">
        <v>42</v>
      </c>
      <c r="B9" s="66"/>
      <c r="C9" s="6">
        <v>23194</v>
      </c>
      <c r="D9" s="6">
        <v>22070</v>
      </c>
      <c r="E9" s="6">
        <v>20126</v>
      </c>
      <c r="F9" s="1"/>
    </row>
    <row r="10" spans="1:7" x14ac:dyDescent="0.45">
      <c r="A10" s="72" t="s">
        <v>43</v>
      </c>
      <c r="B10" s="72"/>
      <c r="C10" s="9">
        <v>5266</v>
      </c>
      <c r="D10" s="9">
        <v>6217</v>
      </c>
      <c r="E10" s="9">
        <v>4698</v>
      </c>
    </row>
    <row r="11" spans="1:7" ht="14.65" thickBot="1" x14ac:dyDescent="0.5">
      <c r="A11" s="66" t="s">
        <v>44</v>
      </c>
      <c r="B11" s="66"/>
      <c r="C11" s="6">
        <v>17928</v>
      </c>
      <c r="D11" s="6">
        <v>15853</v>
      </c>
      <c r="E11" s="6">
        <v>15428</v>
      </c>
      <c r="F11" s="1"/>
    </row>
  </sheetData>
  <mergeCells count="8">
    <mergeCell ref="A11:B11"/>
    <mergeCell ref="A6:B6"/>
    <mergeCell ref="A7:B7"/>
    <mergeCell ref="A3:B3"/>
    <mergeCell ref="A4:B4"/>
    <mergeCell ref="A5:B5"/>
    <mergeCell ref="A9:B9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609C-1A88-44D1-BE70-987E084F3D2B}">
  <dimension ref="A1:I45"/>
  <sheetViews>
    <sheetView topLeftCell="A17" zoomScale="85" zoomScaleNormal="85" workbookViewId="0">
      <selection activeCell="A28" sqref="A28"/>
    </sheetView>
  </sheetViews>
  <sheetFormatPr defaultColWidth="8.73046875" defaultRowHeight="14.25" x14ac:dyDescent="0.45"/>
  <cols>
    <col min="1" max="1" width="32.265625" style="12" bestFit="1" customWidth="1"/>
    <col min="2" max="4" width="10.06640625" style="12" bestFit="1" customWidth="1"/>
    <col min="5" max="16384" width="8.73046875" style="12"/>
  </cols>
  <sheetData>
    <row r="1" spans="1:5" x14ac:dyDescent="0.45">
      <c r="A1" s="12" t="s">
        <v>48</v>
      </c>
    </row>
    <row r="2" spans="1:5" ht="14.65" thickBot="1" x14ac:dyDescent="0.5">
      <c r="A2" s="12" t="s">
        <v>47</v>
      </c>
    </row>
    <row r="3" spans="1:5" ht="14.65" thickBot="1" x14ac:dyDescent="0.5">
      <c r="A3" s="13"/>
      <c r="B3" s="2">
        <v>2023</v>
      </c>
      <c r="C3" s="2">
        <v>2022</v>
      </c>
      <c r="D3" s="2">
        <v>2021</v>
      </c>
    </row>
    <row r="4" spans="1:5" x14ac:dyDescent="0.45">
      <c r="A4" s="14" t="s">
        <v>0</v>
      </c>
      <c r="B4" s="3" t="s">
        <v>1</v>
      </c>
      <c r="C4" s="3" t="s">
        <v>2</v>
      </c>
      <c r="D4" s="3" t="s">
        <v>3</v>
      </c>
    </row>
    <row r="5" spans="1:5" ht="14.65" thickBot="1" x14ac:dyDescent="0.5">
      <c r="A5" s="15" t="s">
        <v>4</v>
      </c>
      <c r="B5" s="16"/>
      <c r="C5" s="16"/>
      <c r="D5" s="16"/>
    </row>
    <row r="6" spans="1:5" ht="14.65" thickBot="1" x14ac:dyDescent="0.5">
      <c r="A6" s="65" t="s">
        <v>5</v>
      </c>
      <c r="B6" s="18">
        <v>87174</v>
      </c>
      <c r="C6" s="18">
        <v>66378</v>
      </c>
      <c r="D6" s="18">
        <v>74839</v>
      </c>
    </row>
    <row r="7" spans="1:5" ht="14.65" thickBot="1" x14ac:dyDescent="0.5">
      <c r="A7" s="17" t="s">
        <v>7</v>
      </c>
      <c r="B7" s="18">
        <v>21849</v>
      </c>
      <c r="C7" s="18">
        <v>18534</v>
      </c>
      <c r="D7" s="18">
        <v>15521</v>
      </c>
    </row>
    <row r="8" spans="1:5" ht="14.65" thickBot="1" x14ac:dyDescent="0.5">
      <c r="A8" s="17" t="s">
        <v>8</v>
      </c>
      <c r="B8" s="18">
        <v>98678</v>
      </c>
      <c r="C8" s="18">
        <v>104775</v>
      </c>
      <c r="D8" s="18">
        <v>81110</v>
      </c>
    </row>
    <row r="9" spans="1:5" ht="14.65" thickBot="1" x14ac:dyDescent="0.5">
      <c r="A9" s="17" t="s">
        <v>9</v>
      </c>
      <c r="B9" s="18">
        <v>53601</v>
      </c>
      <c r="C9" s="18">
        <v>52274</v>
      </c>
      <c r="D9" s="18">
        <v>43725</v>
      </c>
    </row>
    <row r="10" spans="1:5" ht="14.65" thickBot="1" x14ac:dyDescent="0.5">
      <c r="A10" s="19" t="s">
        <v>10</v>
      </c>
      <c r="B10" s="10" t="s">
        <v>6</v>
      </c>
      <c r="C10" s="10" t="s">
        <v>6</v>
      </c>
      <c r="D10" s="10" t="s">
        <v>6</v>
      </c>
    </row>
    <row r="11" spans="1:5" ht="14.65" thickBot="1" x14ac:dyDescent="0.5">
      <c r="A11" s="17" t="s">
        <v>11</v>
      </c>
      <c r="B11" s="20">
        <v>191</v>
      </c>
      <c r="C11" s="20">
        <v>732</v>
      </c>
      <c r="D11" s="20">
        <v>673</v>
      </c>
    </row>
    <row r="12" spans="1:5" ht="14.65" thickBot="1" x14ac:dyDescent="0.5">
      <c r="A12" s="19" t="s">
        <v>12</v>
      </c>
      <c r="B12" s="9">
        <v>239644</v>
      </c>
      <c r="C12" s="9">
        <v>224159</v>
      </c>
      <c r="D12" s="9">
        <v>200347</v>
      </c>
    </row>
    <row r="13" spans="1:5" ht="14.65" thickBot="1" x14ac:dyDescent="0.5">
      <c r="A13" s="21"/>
      <c r="B13" s="21"/>
      <c r="C13" s="21"/>
      <c r="D13" s="21"/>
    </row>
    <row r="14" spans="1:5" ht="14.65" thickBot="1" x14ac:dyDescent="0.5">
      <c r="A14" s="17" t="s">
        <v>13</v>
      </c>
      <c r="B14" s="18">
        <v>130974</v>
      </c>
      <c r="C14" s="18">
        <v>123270</v>
      </c>
      <c r="D14" s="18">
        <v>123394</v>
      </c>
      <c r="E14" s="8"/>
    </row>
    <row r="15" spans="1:5" ht="14.65" thickBot="1" x14ac:dyDescent="0.5">
      <c r="A15" s="17" t="s">
        <v>14</v>
      </c>
      <c r="B15" s="18">
        <v>26292</v>
      </c>
      <c r="C15" s="18">
        <v>26202</v>
      </c>
      <c r="D15" s="18">
        <v>26174</v>
      </c>
    </row>
    <row r="16" spans="1:5" ht="14.65" thickBot="1" x14ac:dyDescent="0.5">
      <c r="A16" s="17" t="s">
        <v>15</v>
      </c>
      <c r="B16" s="18">
        <v>62817</v>
      </c>
      <c r="C16" s="18">
        <v>57039</v>
      </c>
      <c r="D16" s="18">
        <v>51515</v>
      </c>
    </row>
    <row r="17" spans="1:9" ht="14.65" thickBot="1" x14ac:dyDescent="0.5">
      <c r="A17" s="17" t="s">
        <v>16</v>
      </c>
      <c r="B17" s="18">
        <v>29059</v>
      </c>
      <c r="C17" s="18">
        <v>46399</v>
      </c>
      <c r="D17" s="18">
        <v>25302</v>
      </c>
    </row>
    <row r="18" spans="1:9" ht="14.65" thickBot="1" x14ac:dyDescent="0.5">
      <c r="A18" s="19" t="s">
        <v>17</v>
      </c>
      <c r="B18" s="9">
        <v>97613</v>
      </c>
      <c r="C18" s="9">
        <v>86944</v>
      </c>
      <c r="D18" s="9">
        <v>88484</v>
      </c>
    </row>
    <row r="19" spans="1:9" ht="14.65" thickBot="1" x14ac:dyDescent="0.5">
      <c r="A19" s="17" t="s">
        <v>18</v>
      </c>
      <c r="B19" s="18">
        <v>13939</v>
      </c>
      <c r="C19" s="20">
        <v>0</v>
      </c>
      <c r="D19" s="18">
        <v>13393</v>
      </c>
    </row>
    <row r="20" spans="1:9" ht="14.65" thickBot="1" x14ac:dyDescent="0.5">
      <c r="A20" s="22" t="s">
        <v>19</v>
      </c>
      <c r="B20" s="11">
        <v>600338</v>
      </c>
      <c r="C20" s="11">
        <v>564013</v>
      </c>
      <c r="D20" s="11">
        <v>528609</v>
      </c>
    </row>
    <row r="21" spans="1:9" x14ac:dyDescent="0.45">
      <c r="A21" s="21"/>
      <c r="B21" s="21"/>
      <c r="C21" s="21"/>
      <c r="D21" s="21"/>
    </row>
    <row r="22" spans="1:9" ht="14.65" thickBot="1" x14ac:dyDescent="0.5">
      <c r="A22" s="15" t="s">
        <v>20</v>
      </c>
      <c r="B22" s="16"/>
      <c r="C22" s="16"/>
      <c r="D22" s="16"/>
    </row>
    <row r="23" spans="1:9" ht="14.65" thickBot="1" x14ac:dyDescent="0.5">
      <c r="A23" s="19" t="s">
        <v>21</v>
      </c>
      <c r="B23" s="9">
        <v>30901</v>
      </c>
      <c r="C23" s="9">
        <v>28738</v>
      </c>
      <c r="D23" s="9">
        <v>23624</v>
      </c>
    </row>
    <row r="24" spans="1:9" ht="14.65" thickBot="1" x14ac:dyDescent="0.5">
      <c r="A24" s="19" t="s">
        <v>22</v>
      </c>
      <c r="B24" s="9">
        <v>1256</v>
      </c>
      <c r="C24" s="10" t="s">
        <v>6</v>
      </c>
      <c r="D24" s="10">
        <v>638</v>
      </c>
    </row>
    <row r="25" spans="1:9" ht="14.65" thickBot="1" x14ac:dyDescent="0.5">
      <c r="A25" s="64" t="s">
        <v>23</v>
      </c>
      <c r="B25" s="10">
        <v>0</v>
      </c>
      <c r="C25" s="10">
        <v>0</v>
      </c>
      <c r="D25" s="10">
        <v>0</v>
      </c>
    </row>
    <row r="26" spans="1:9" ht="14.65" thickBot="1" x14ac:dyDescent="0.5">
      <c r="A26" s="64" t="s">
        <v>24</v>
      </c>
      <c r="B26" s="9">
        <v>109188</v>
      </c>
      <c r="C26" s="9">
        <v>82572</v>
      </c>
      <c r="D26" s="9">
        <v>76640</v>
      </c>
    </row>
    <row r="27" spans="1:9" ht="14.65" thickBot="1" x14ac:dyDescent="0.5">
      <c r="A27" s="17" t="s">
        <v>25</v>
      </c>
      <c r="B27" s="18">
        <v>64529</v>
      </c>
      <c r="C27" s="18">
        <v>71413</v>
      </c>
      <c r="D27" s="18">
        <v>63491</v>
      </c>
    </row>
    <row r="28" spans="1:9" ht="14.65" thickBot="1" x14ac:dyDescent="0.5">
      <c r="A28" s="19" t="s">
        <v>26</v>
      </c>
      <c r="B28" s="9">
        <v>205874</v>
      </c>
      <c r="C28" s="9">
        <v>182723</v>
      </c>
      <c r="D28" s="9">
        <v>164393</v>
      </c>
      <c r="F28" s="12" t="s">
        <v>164</v>
      </c>
      <c r="G28" s="8">
        <f>B25+B26+B30-B6</f>
        <v>143087</v>
      </c>
    </row>
    <row r="29" spans="1:9" ht="14.65" thickBot="1" x14ac:dyDescent="0.5">
      <c r="A29" s="21"/>
      <c r="B29" s="21"/>
      <c r="C29" s="21"/>
      <c r="D29" s="21"/>
    </row>
    <row r="30" spans="1:9" ht="14.65" thickBot="1" x14ac:dyDescent="0.5">
      <c r="A30" s="65" t="s">
        <v>27</v>
      </c>
      <c r="B30" s="18">
        <v>121073</v>
      </c>
      <c r="C30" s="18">
        <v>121060</v>
      </c>
      <c r="D30" s="18">
        <v>130743</v>
      </c>
      <c r="F30" s="19"/>
      <c r="G30" s="9"/>
      <c r="H30" s="9"/>
      <c r="I30" s="9"/>
    </row>
    <row r="31" spans="1:9" ht="14.65" thickBot="1" x14ac:dyDescent="0.5">
      <c r="A31" s="17" t="s">
        <v>28</v>
      </c>
      <c r="B31" s="18">
        <v>9781</v>
      </c>
      <c r="C31" s="20" t="s">
        <v>6</v>
      </c>
      <c r="D31" s="18">
        <v>5131</v>
      </c>
    </row>
    <row r="32" spans="1:9" ht="14.65" thickBot="1" x14ac:dyDescent="0.5">
      <c r="A32" s="19" t="s">
        <v>29</v>
      </c>
      <c r="B32" s="9">
        <v>14218</v>
      </c>
      <c r="C32" s="9">
        <v>12950</v>
      </c>
      <c r="D32" s="9">
        <v>1705</v>
      </c>
    </row>
    <row r="33" spans="1:6" ht="14.65" thickBot="1" x14ac:dyDescent="0.5">
      <c r="A33" s="17" t="s">
        <v>30</v>
      </c>
      <c r="B33" s="18">
        <v>73698</v>
      </c>
      <c r="C33" s="18">
        <v>81903</v>
      </c>
      <c r="D33" s="18">
        <v>82188</v>
      </c>
    </row>
    <row r="34" spans="1:6" ht="14.65" thickBot="1" x14ac:dyDescent="0.5">
      <c r="A34" s="19" t="s">
        <v>31</v>
      </c>
      <c r="B34" s="9">
        <v>424644</v>
      </c>
      <c r="C34" s="9">
        <v>398636</v>
      </c>
      <c r="D34" s="9">
        <v>384160</v>
      </c>
      <c r="F34" s="8"/>
    </row>
    <row r="35" spans="1:6" x14ac:dyDescent="0.45">
      <c r="A35" s="21"/>
      <c r="B35" s="21"/>
      <c r="C35" s="21"/>
      <c r="D35" s="21"/>
    </row>
    <row r="36" spans="1:6" ht="14.65" thickBot="1" x14ac:dyDescent="0.5">
      <c r="A36" s="15" t="s">
        <v>32</v>
      </c>
      <c r="B36" s="16"/>
      <c r="C36" s="16"/>
      <c r="D36" s="16"/>
    </row>
    <row r="37" spans="1:6" ht="14.65" thickBot="1" x14ac:dyDescent="0.5">
      <c r="A37" s="17" t="s">
        <v>33</v>
      </c>
      <c r="B37" s="18">
        <v>1283</v>
      </c>
      <c r="C37" s="18">
        <v>1283</v>
      </c>
      <c r="D37" s="18">
        <v>1283</v>
      </c>
    </row>
    <row r="38" spans="1:6" ht="14.65" thickBot="1" x14ac:dyDescent="0.5">
      <c r="A38" s="19" t="s">
        <v>34</v>
      </c>
      <c r="B38" s="9">
        <v>14551</v>
      </c>
      <c r="C38" s="9">
        <v>14551</v>
      </c>
      <c r="D38" s="9">
        <v>14551</v>
      </c>
    </row>
    <row r="39" spans="1:6" ht="14.65" thickBot="1" x14ac:dyDescent="0.5">
      <c r="A39" s="19" t="s">
        <v>35</v>
      </c>
      <c r="B39" s="9">
        <v>147830</v>
      </c>
      <c r="C39" s="9">
        <v>137267</v>
      </c>
      <c r="D39" s="9">
        <v>117342</v>
      </c>
    </row>
    <row r="40" spans="1:6" ht="14.65" thickBot="1" x14ac:dyDescent="0.5">
      <c r="A40" s="19" t="s">
        <v>36</v>
      </c>
      <c r="B40" s="10">
        <v>-490</v>
      </c>
      <c r="C40" s="10">
        <v>-135</v>
      </c>
      <c r="D40" s="10">
        <v>186</v>
      </c>
    </row>
    <row r="41" spans="1:6" ht="14.65" thickBot="1" x14ac:dyDescent="0.5">
      <c r="A41" s="17" t="s">
        <v>37</v>
      </c>
      <c r="B41" s="18">
        <v>12520</v>
      </c>
      <c r="C41" s="18">
        <v>12411</v>
      </c>
      <c r="D41" s="18">
        <v>11087</v>
      </c>
    </row>
    <row r="42" spans="1:6" ht="14.65" thickBot="1" x14ac:dyDescent="0.5">
      <c r="A42" s="19" t="s">
        <v>38</v>
      </c>
      <c r="B42" s="9">
        <v>175694</v>
      </c>
      <c r="C42" s="9">
        <v>165377</v>
      </c>
      <c r="D42" s="9">
        <v>144449</v>
      </c>
    </row>
    <row r="43" spans="1:6" ht="14.65" thickBot="1" x14ac:dyDescent="0.5">
      <c r="A43" s="21"/>
      <c r="B43" s="21"/>
      <c r="C43" s="21"/>
      <c r="D43" s="21"/>
    </row>
    <row r="44" spans="1:6" ht="14.65" thickBot="1" x14ac:dyDescent="0.5">
      <c r="A44" s="22" t="s">
        <v>39</v>
      </c>
      <c r="B44" s="11">
        <v>600338</v>
      </c>
      <c r="C44" s="11">
        <v>564013</v>
      </c>
      <c r="D44" s="11">
        <v>528609</v>
      </c>
    </row>
    <row r="45" spans="1:6" x14ac:dyDescent="0.45">
      <c r="A45" s="21"/>
      <c r="B45" s="21"/>
      <c r="C45" s="21"/>
      <c r="D45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11B4-CEC4-4C87-8C26-667EBA6C272F}">
  <dimension ref="A1:G29"/>
  <sheetViews>
    <sheetView zoomScale="76" workbookViewId="0">
      <selection activeCell="B29" sqref="B29"/>
    </sheetView>
  </sheetViews>
  <sheetFormatPr defaultColWidth="8.73046875" defaultRowHeight="14.25" x14ac:dyDescent="0.45"/>
  <cols>
    <col min="1" max="1" width="29.06640625" style="12" customWidth="1"/>
    <col min="2" max="3" width="13.265625" style="12" bestFit="1" customWidth="1"/>
    <col min="4" max="4" width="12.796875" style="12" bestFit="1" customWidth="1"/>
    <col min="5" max="16384" width="8.73046875" style="12"/>
  </cols>
  <sheetData>
    <row r="1" spans="1:6" x14ac:dyDescent="0.45">
      <c r="A1" s="12" t="s">
        <v>146</v>
      </c>
    </row>
    <row r="2" spans="1:6" ht="14.65" thickBot="1" x14ac:dyDescent="0.5">
      <c r="A2" s="12" t="s">
        <v>47</v>
      </c>
    </row>
    <row r="3" spans="1:6" ht="14.65" thickBot="1" x14ac:dyDescent="0.5">
      <c r="A3" s="40">
        <v>2023</v>
      </c>
      <c r="B3" s="40">
        <v>2022</v>
      </c>
      <c r="C3" s="40">
        <v>2021</v>
      </c>
      <c r="D3" s="40">
        <v>2020</v>
      </c>
    </row>
    <row r="4" spans="1:6" x14ac:dyDescent="0.45">
      <c r="A4" s="41" t="s">
        <v>0</v>
      </c>
      <c r="B4" s="42" t="s">
        <v>1</v>
      </c>
      <c r="C4" s="42" t="s">
        <v>2</v>
      </c>
      <c r="D4" s="42" t="s">
        <v>3</v>
      </c>
    </row>
    <row r="5" spans="1:6" ht="14.65" thickBot="1" x14ac:dyDescent="0.5">
      <c r="A5" s="43" t="s">
        <v>126</v>
      </c>
      <c r="B5" s="43"/>
      <c r="C5" s="43"/>
      <c r="D5" s="43"/>
    </row>
    <row r="6" spans="1:6" ht="14.65" thickBot="1" x14ac:dyDescent="0.5">
      <c r="A6" s="44" t="s">
        <v>127</v>
      </c>
      <c r="B6" s="45">
        <v>23194</v>
      </c>
      <c r="C6" s="45">
        <v>22044</v>
      </c>
      <c r="D6" s="45">
        <v>20126</v>
      </c>
    </row>
    <row r="7" spans="1:6" ht="14.65" thickBot="1" x14ac:dyDescent="0.5">
      <c r="A7" s="46" t="s">
        <v>128</v>
      </c>
      <c r="B7" s="47">
        <v>22382</v>
      </c>
      <c r="C7" s="47">
        <v>23341</v>
      </c>
      <c r="D7" s="47">
        <v>22286</v>
      </c>
    </row>
    <row r="8" spans="1:6" ht="14.65" thickBot="1" x14ac:dyDescent="0.5">
      <c r="A8" s="46" t="s">
        <v>129</v>
      </c>
      <c r="B8" s="47">
        <v>5184</v>
      </c>
      <c r="C8" s="47">
        <v>5144</v>
      </c>
      <c r="D8" s="47">
        <v>5050</v>
      </c>
    </row>
    <row r="9" spans="1:6" ht="14.65" thickBot="1" x14ac:dyDescent="0.5">
      <c r="A9" s="46" t="s">
        <v>130</v>
      </c>
      <c r="B9" s="47">
        <v>5769</v>
      </c>
      <c r="C9" s="48">
        <v>392</v>
      </c>
      <c r="D9" s="47">
        <v>1395</v>
      </c>
    </row>
    <row r="10" spans="1:6" ht="14.65" thickBot="1" x14ac:dyDescent="0.5">
      <c r="A10" s="46" t="s">
        <v>131</v>
      </c>
      <c r="B10" s="49">
        <v>-37176</v>
      </c>
      <c r="C10" s="49">
        <v>-22424</v>
      </c>
      <c r="D10" s="49">
        <v>-10226</v>
      </c>
    </row>
    <row r="11" spans="1:6" ht="14.65" thickBot="1" x14ac:dyDescent="0.5">
      <c r="A11" s="50" t="s">
        <v>132</v>
      </c>
      <c r="B11" s="51">
        <v>19353</v>
      </c>
      <c r="C11" s="51">
        <v>28497</v>
      </c>
      <c r="D11" s="51">
        <v>38631</v>
      </c>
      <c r="F11" s="8"/>
    </row>
    <row r="12" spans="1:6" x14ac:dyDescent="0.45">
      <c r="A12" s="52"/>
      <c r="B12" s="52"/>
      <c r="C12" s="52"/>
      <c r="D12" s="52"/>
    </row>
    <row r="13" spans="1:6" ht="14.65" thickBot="1" x14ac:dyDescent="0.5">
      <c r="A13" s="43" t="s">
        <v>133</v>
      </c>
      <c r="B13" s="43"/>
      <c r="C13" s="43"/>
      <c r="D13" s="43"/>
    </row>
    <row r="14" spans="1:6" ht="14.65" thickBot="1" x14ac:dyDescent="0.5">
      <c r="A14" s="46" t="s">
        <v>134</v>
      </c>
      <c r="B14" s="49">
        <v>-14653</v>
      </c>
      <c r="C14" s="49">
        <v>-12948</v>
      </c>
      <c r="D14" s="49">
        <v>-10655</v>
      </c>
    </row>
    <row r="15" spans="1:6" ht="14.65" thickBot="1" x14ac:dyDescent="0.5">
      <c r="A15" s="46" t="s">
        <v>135</v>
      </c>
      <c r="B15" s="49">
        <v>-5159</v>
      </c>
      <c r="C15" s="49">
        <v>-28874</v>
      </c>
      <c r="D15" s="49">
        <v>-15473</v>
      </c>
    </row>
    <row r="16" spans="1:6" ht="14.65" thickBot="1" x14ac:dyDescent="0.5">
      <c r="A16" s="50" t="s">
        <v>136</v>
      </c>
      <c r="B16" s="53">
        <v>-19812</v>
      </c>
      <c r="C16" s="53">
        <v>-41822</v>
      </c>
      <c r="D16" s="53">
        <v>-26128</v>
      </c>
    </row>
    <row r="17" spans="1:7" x14ac:dyDescent="0.45">
      <c r="A17" s="52"/>
      <c r="B17" s="52"/>
      <c r="C17" s="52"/>
      <c r="D17" s="52"/>
    </row>
    <row r="18" spans="1:7" ht="14.65" thickBot="1" x14ac:dyDescent="0.5">
      <c r="A18" s="43" t="s">
        <v>137</v>
      </c>
      <c r="B18" s="43"/>
      <c r="C18" s="43"/>
      <c r="D18" s="43"/>
    </row>
    <row r="19" spans="1:7" ht="14.65" thickBot="1" x14ac:dyDescent="0.5">
      <c r="A19" s="46" t="s">
        <v>138</v>
      </c>
      <c r="B19" s="54">
        <v>-7</v>
      </c>
      <c r="C19" s="47">
        <v>16198</v>
      </c>
      <c r="D19" s="54">
        <v>-589</v>
      </c>
    </row>
    <row r="20" spans="1:7" ht="14.65" thickBot="1" x14ac:dyDescent="0.5">
      <c r="A20" s="46" t="s">
        <v>139</v>
      </c>
      <c r="B20" s="49">
        <v>-11732</v>
      </c>
      <c r="C20" s="49">
        <v>-4362</v>
      </c>
      <c r="D20" s="49">
        <v>-3022</v>
      </c>
    </row>
    <row r="21" spans="1:7" ht="14.65" thickBot="1" x14ac:dyDescent="0.5">
      <c r="A21" s="46" t="s">
        <v>140</v>
      </c>
      <c r="B21" s="47">
        <v>1003</v>
      </c>
      <c r="C21" s="54">
        <v>-235</v>
      </c>
      <c r="D21" s="49">
        <v>-1071</v>
      </c>
    </row>
    <row r="22" spans="1:7" ht="14.65" thickBot="1" x14ac:dyDescent="0.5">
      <c r="A22" s="46" t="s">
        <v>141</v>
      </c>
      <c r="B22" s="47">
        <v>26744</v>
      </c>
      <c r="C22" s="49">
        <v>-7376</v>
      </c>
      <c r="D22" s="49">
        <v>-3072</v>
      </c>
    </row>
    <row r="23" spans="1:7" ht="14.65" thickBot="1" x14ac:dyDescent="0.5">
      <c r="A23" s="50" t="s">
        <v>142</v>
      </c>
      <c r="B23" s="51">
        <v>16008</v>
      </c>
      <c r="C23" s="51">
        <v>4225</v>
      </c>
      <c r="D23" s="53">
        <v>-7754</v>
      </c>
    </row>
    <row r="24" spans="1:7" ht="14.65" thickBot="1" x14ac:dyDescent="0.5">
      <c r="A24" s="52"/>
      <c r="B24" s="52"/>
      <c r="C24" s="52"/>
      <c r="D24" s="52"/>
    </row>
    <row r="25" spans="1:7" ht="14.65" thickBot="1" x14ac:dyDescent="0.5">
      <c r="A25" s="44" t="s">
        <v>143</v>
      </c>
      <c r="B25" s="55">
        <v>-1764</v>
      </c>
      <c r="C25" s="56">
        <v>-285</v>
      </c>
      <c r="D25" s="57">
        <v>942</v>
      </c>
    </row>
    <row r="26" spans="1:7" ht="14.65" thickBot="1" x14ac:dyDescent="0.5">
      <c r="A26" s="50" t="s">
        <v>144</v>
      </c>
      <c r="B26" s="51">
        <v>13785</v>
      </c>
      <c r="C26" s="53">
        <v>-9385</v>
      </c>
      <c r="D26" s="51">
        <v>5691</v>
      </c>
    </row>
    <row r="27" spans="1:7" x14ac:dyDescent="0.45">
      <c r="A27" s="52"/>
      <c r="B27" s="52"/>
      <c r="C27" s="52"/>
      <c r="D27" s="52"/>
    </row>
    <row r="28" spans="1:7" ht="14.65" thickBot="1" x14ac:dyDescent="0.5">
      <c r="A28" s="73"/>
      <c r="B28" s="73"/>
      <c r="C28" s="73"/>
      <c r="D28" s="73"/>
    </row>
    <row r="29" spans="1:7" s="39" customFormat="1" x14ac:dyDescent="0.45">
      <c r="A29" s="58" t="s">
        <v>145</v>
      </c>
      <c r="B29" s="51">
        <v>4700</v>
      </c>
      <c r="C29" s="51">
        <v>15549</v>
      </c>
      <c r="D29" s="51">
        <v>27976</v>
      </c>
      <c r="G29" s="59" t="s">
        <v>147</v>
      </c>
    </row>
  </sheetData>
  <mergeCells count="1">
    <mergeCell ref="A28:D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8ABB-3890-4454-95F9-581DF6DF9F5A}">
  <dimension ref="A1:E6"/>
  <sheetViews>
    <sheetView workbookViewId="0">
      <selection activeCell="A10" sqref="A10"/>
    </sheetView>
  </sheetViews>
  <sheetFormatPr defaultRowHeight="14.25" x14ac:dyDescent="0.45"/>
  <cols>
    <col min="1" max="1" width="9.59765625" bestFit="1" customWidth="1"/>
    <col min="2" max="2" width="26.73046875" bestFit="1" customWidth="1"/>
    <col min="3" max="3" width="14.59765625" style="34" customWidth="1"/>
    <col min="4" max="4" width="12.59765625" style="34" customWidth="1"/>
    <col min="5" max="5" width="12.796875" style="34" customWidth="1"/>
  </cols>
  <sheetData>
    <row r="1" spans="1:5" ht="42.75" x14ac:dyDescent="0.45">
      <c r="A1" s="23" t="s">
        <v>117</v>
      </c>
      <c r="B1" s="23" t="s">
        <v>57</v>
      </c>
      <c r="C1" s="30" t="s">
        <v>118</v>
      </c>
      <c r="D1" s="30" t="s">
        <v>112</v>
      </c>
      <c r="E1" s="30" t="s">
        <v>116</v>
      </c>
    </row>
    <row r="2" spans="1:5" x14ac:dyDescent="0.45">
      <c r="A2" s="24" t="s">
        <v>58</v>
      </c>
      <c r="B2" s="24" t="s">
        <v>59</v>
      </c>
      <c r="C2" s="31">
        <v>36.550643067599999</v>
      </c>
      <c r="D2" s="32">
        <v>8.9999999999999998E-4</v>
      </c>
      <c r="E2" s="33" t="s">
        <v>114</v>
      </c>
    </row>
    <row r="3" spans="1:5" x14ac:dyDescent="0.45">
      <c r="A3" s="24" t="s">
        <v>60</v>
      </c>
      <c r="B3" s="24" t="s">
        <v>61</v>
      </c>
      <c r="C3" s="31">
        <v>41.802550264200001</v>
      </c>
      <c r="D3" s="32">
        <v>8.0000000000000004E-4</v>
      </c>
      <c r="E3" s="33" t="s">
        <v>64</v>
      </c>
    </row>
    <row r="4" spans="1:5" x14ac:dyDescent="0.45">
      <c r="A4" s="24" t="s">
        <v>62</v>
      </c>
      <c r="B4" s="24" t="s">
        <v>63</v>
      </c>
      <c r="C4" s="31">
        <v>15.791502579499999</v>
      </c>
      <c r="D4" s="32">
        <v>1.2999999999999999E-3</v>
      </c>
      <c r="E4" s="33" t="s">
        <v>115</v>
      </c>
    </row>
    <row r="5" spans="1:5" x14ac:dyDescent="0.45">
      <c r="A5" s="24" t="s">
        <v>65</v>
      </c>
      <c r="B5" s="24" t="s">
        <v>66</v>
      </c>
      <c r="C5" s="31">
        <v>46.160189635800002</v>
      </c>
      <c r="D5" s="32">
        <v>3.0000000000000001E-3</v>
      </c>
      <c r="E5" s="33" t="s">
        <v>113</v>
      </c>
    </row>
    <row r="6" spans="1:5" x14ac:dyDescent="0.45">
      <c r="A6" s="35" t="s">
        <v>67</v>
      </c>
      <c r="B6" s="35" t="s">
        <v>68</v>
      </c>
      <c r="C6" s="36">
        <v>62.974105066100002</v>
      </c>
      <c r="D6" s="37">
        <v>2.5999999999999999E-3</v>
      </c>
      <c r="E6" s="38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9C9D-EDD0-4DE4-A545-6ADF6040E692}">
  <dimension ref="A1:N43"/>
  <sheetViews>
    <sheetView topLeftCell="A21" workbookViewId="0">
      <selection activeCell="D47" sqref="D47"/>
    </sheetView>
  </sheetViews>
  <sheetFormatPr defaultRowHeight="14.25" x14ac:dyDescent="0.45"/>
  <cols>
    <col min="1" max="1" width="15.265625" customWidth="1"/>
    <col min="2" max="3" width="14.796875" customWidth="1"/>
    <col min="4" max="4" width="15.265625" customWidth="1"/>
    <col min="5" max="5" width="16" customWidth="1"/>
    <col min="6" max="6" width="17.59765625" customWidth="1"/>
    <col min="7" max="7" width="16.33203125" customWidth="1"/>
  </cols>
  <sheetData>
    <row r="1" spans="1:14" x14ac:dyDescent="0.45">
      <c r="A1" t="s">
        <v>125</v>
      </c>
    </row>
    <row r="2" spans="1:14" x14ac:dyDescent="0.45">
      <c r="B2" s="29"/>
    </row>
    <row r="5" spans="1:14" x14ac:dyDescent="0.45">
      <c r="N5" t="s">
        <v>124</v>
      </c>
    </row>
    <row r="23" spans="1:1" x14ac:dyDescent="0.45">
      <c r="A23" t="s">
        <v>123</v>
      </c>
    </row>
    <row r="37" spans="1:5" x14ac:dyDescent="0.45">
      <c r="A37" s="60" t="s">
        <v>149</v>
      </c>
      <c r="B37" s="60" t="s">
        <v>150</v>
      </c>
      <c r="C37" s="60" t="s">
        <v>151</v>
      </c>
      <c r="D37" s="60" t="s">
        <v>152</v>
      </c>
      <c r="E37" s="60" t="s">
        <v>153</v>
      </c>
    </row>
    <row r="38" spans="1:5" x14ac:dyDescent="0.45">
      <c r="A38" s="60" t="s">
        <v>154</v>
      </c>
      <c r="B38" s="61">
        <v>105</v>
      </c>
      <c r="C38" s="62">
        <v>0.75319999999999998</v>
      </c>
      <c r="D38" s="61">
        <v>222.27</v>
      </c>
      <c r="E38" s="63">
        <v>26748.7</v>
      </c>
    </row>
    <row r="39" spans="1:5" x14ac:dyDescent="0.45">
      <c r="A39" s="60" t="s">
        <v>155</v>
      </c>
      <c r="B39" s="61">
        <v>1</v>
      </c>
      <c r="C39" s="62">
        <v>0.17</v>
      </c>
      <c r="D39" s="61">
        <v>50.17</v>
      </c>
      <c r="E39" s="63">
        <v>6024.45</v>
      </c>
    </row>
    <row r="40" spans="1:5" x14ac:dyDescent="0.45">
      <c r="A40" s="60" t="s">
        <v>156</v>
      </c>
      <c r="B40" s="61">
        <v>81</v>
      </c>
      <c r="C40" s="62">
        <v>1.29E-2</v>
      </c>
      <c r="D40" s="61">
        <v>3.79</v>
      </c>
      <c r="E40" s="61">
        <v>469.14</v>
      </c>
    </row>
    <row r="41" spans="1:5" x14ac:dyDescent="0.45">
      <c r="A41" s="60" t="s">
        <v>157</v>
      </c>
      <c r="B41" s="61">
        <v>28</v>
      </c>
      <c r="C41" s="62">
        <v>2.0000000000000001E-4</v>
      </c>
      <c r="D41" s="61">
        <v>7.0000000000000007E-2</v>
      </c>
      <c r="E41" s="61">
        <v>10.1</v>
      </c>
    </row>
    <row r="42" spans="1:5" x14ac:dyDescent="0.45">
      <c r="A42" s="60" t="s">
        <v>158</v>
      </c>
      <c r="B42" s="61">
        <v>4</v>
      </c>
      <c r="C42" s="62">
        <v>0</v>
      </c>
      <c r="D42" s="61">
        <v>0.01</v>
      </c>
      <c r="E42" s="61">
        <v>1.05</v>
      </c>
    </row>
    <row r="43" spans="1:5" x14ac:dyDescent="0.45">
      <c r="A43" s="60" t="s">
        <v>159</v>
      </c>
      <c r="B43" s="61">
        <v>219</v>
      </c>
      <c r="C43" s="62">
        <v>0.93640000000000001</v>
      </c>
      <c r="D43" s="61">
        <v>276.31</v>
      </c>
      <c r="E43" s="61">
        <v>33253.449999999997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Q1</vt:lpstr>
      <vt:lpstr>Q2</vt:lpstr>
      <vt:lpstr>Q3</vt:lpstr>
      <vt:lpstr>Income_statement</vt:lpstr>
      <vt:lpstr>Balance_sheet</vt:lpstr>
      <vt:lpstr>Cash_flow</vt:lpstr>
      <vt:lpstr>Credit_risk</vt:lpstr>
      <vt:lpstr>Ownership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Ho</dc:creator>
  <cp:lastModifiedBy>son dang quoc</cp:lastModifiedBy>
  <dcterms:created xsi:type="dcterms:W3CDTF">2024-08-26T05:29:19Z</dcterms:created>
  <dcterms:modified xsi:type="dcterms:W3CDTF">2024-10-18T07:10:26Z</dcterms:modified>
</cp:coreProperties>
</file>