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son"/>
  <workbookPr/>
  <bookViews>
    <workbookView activeTab="0" xWindow="240" yWindow="60" windowWidth="0" windowHeight="0" tabRatio="500"/>
  </bookViews>
  <sheets>
    <sheet name="COGS" sheetId="1" r:id="rId4"/>
    <sheet name="BOM" sheetId="2" r:id="rId5"/>
    <sheet name="PCBP" sheetId="3" r:id="rId6"/>
    <sheet name="Vaste kosten" sheetId="4" r:id="rId7"/>
    <sheet name="Ontwikkeling_Assemblage" sheetId="5" r:id="rId8"/>
  </sheets>
  <calcPr/>
  <extLst>
    <ext uri="smNativeData">
      <pm:revision xmlns:pm="smNativeData" day="1579724018" val="973" rev="124" revOS="4" revMin="124" revMax="0"/>
      <pm:docPrefs xmlns:pm="smNativeData" id="1579724018" fixedDigits="0" showNotice="1" showFrameBounds="1" autoChart="1" recalcOnPrint="1" recalcOnCopy="1" compatTextArt="1" tab="567" useDefinedPrintRange="1" printArea="currentSheet"/>
      <pm:compatibility xmlns:pm="smNativeData" id="1579724018" overlapCells="1"/>
      <pm:defCurrency xmlns:pm="smNativeData" id="1579724018"/>
    </ext>
  </extLst>
</workbook>
</file>

<file path=xl/sharedStrings.xml><?xml version="1.0" encoding="utf-8"?>
<sst xmlns="http://schemas.openxmlformats.org/spreadsheetml/2006/main" count="225" uniqueCount="202">
  <si>
    <t>MIDI2CV_v01</t>
  </si>
  <si>
    <t>Materiaalkosten</t>
  </si>
  <si>
    <t>Costs Of Goods Sold</t>
  </si>
  <si>
    <t>Multiplier</t>
  </si>
  <si>
    <t>Minimale verkoopprijs per 1 product</t>
  </si>
  <si>
    <t>Materialen</t>
  </si>
  <si>
    <t>Batchgrootte</t>
  </si>
  <si>
    <t>Per 1 product</t>
  </si>
  <si>
    <t>Per batch</t>
  </si>
  <si>
    <t>BOM</t>
  </si>
  <si>
    <t>Verzending bijkomend</t>
  </si>
  <si>
    <t>BOM verzending</t>
  </si>
  <si>
    <t>BOM inklaring</t>
  </si>
  <si>
    <t>PCB + paneel</t>
  </si>
  <si>
    <t>PCBP verzending</t>
  </si>
  <si>
    <t>PCBP inklaring</t>
  </si>
  <si>
    <t>Soldeertin</t>
  </si>
  <si>
    <t>Ontwikkeling/Assemblage</t>
  </si>
  <si>
    <t>Compensaties</t>
  </si>
  <si>
    <t>Onderwerp</t>
  </si>
  <si>
    <t>Percentage (%)</t>
  </si>
  <si>
    <t>Equivalente waarde per 1 product</t>
  </si>
  <si>
    <t>Defecte units</t>
  </si>
  <si>
    <t>Verloren units</t>
  </si>
  <si>
    <t>Dozen</t>
  </si>
  <si>
    <t>Verpakking inhoud</t>
  </si>
  <si>
    <t>Plakband</t>
  </si>
  <si>
    <t>Verzendlabel</t>
  </si>
  <si>
    <t>LCSC Part Number</t>
  </si>
  <si>
    <t>Manufacture Part Number</t>
  </si>
  <si>
    <t>Package</t>
  </si>
  <si>
    <t>Description</t>
  </si>
  <si>
    <t>Order Qty.</t>
  </si>
  <si>
    <t>Unit Price</t>
  </si>
  <si>
    <t>Order Price</t>
  </si>
  <si>
    <t>Euro</t>
  </si>
  <si>
    <t>Euro per stuk</t>
  </si>
  <si>
    <t>Nodig in batch</t>
  </si>
  <si>
    <t>Euro per batch</t>
  </si>
  <si>
    <t>C44854</t>
  </si>
  <si>
    <t>ATMEGA32U4-AU</t>
  </si>
  <si>
    <t>QFP-44_10x10x08P</t>
  </si>
  <si>
    <t>ATMEL &amp; AVR QFP-44_10x10x08P RoHS</t>
  </si>
  <si>
    <t>$3.45</t>
  </si>
  <si>
    <t>$17.25</t>
  </si>
  <si>
    <t>BOM factuur LCSC</t>
  </si>
  <si>
    <t>C48484</t>
  </si>
  <si>
    <t>3224W-1-503E</t>
  </si>
  <si>
    <t>3224W</t>
  </si>
  <si>
    <t>Variable Resistors 50KOhms ±10% ±100 ppm/°C 3224W RoHS</t>
  </si>
  <si>
    <t>$0.753</t>
  </si>
  <si>
    <t>$15.06</t>
  </si>
  <si>
    <t>BOM LCSC prijs per batch</t>
  </si>
  <si>
    <t>C51497</t>
  </si>
  <si>
    <t>SS52</t>
  </si>
  <si>
    <t>SMB(DO-214AA)</t>
  </si>
  <si>
    <t>Diodes - General Purpose 20V 5A 550mV @ 5A SMB(DO-214AA) RoHS</t>
  </si>
  <si>
    <t>$0.056</t>
  </si>
  <si>
    <t>$1.12</t>
  </si>
  <si>
    <t>BOM prijs per batch</t>
  </si>
  <si>
    <t>C63820</t>
  </si>
  <si>
    <t>LM324DR2G</t>
  </si>
  <si>
    <t>SOIC-14_150mil</t>
  </si>
  <si>
    <t>General Purpose Amplifiers General Purpose 4 3V ~ 32V, ±1.5V ~ 16V 1MHz 0.6 V/us SOIC-14_150mil RoHS</t>
  </si>
  <si>
    <t>$0.0938</t>
  </si>
  <si>
    <t>$0.47</t>
  </si>
  <si>
    <t>Verzending factuur LCSC</t>
  </si>
  <si>
    <t>C81348</t>
  </si>
  <si>
    <t>3224W-1-103E</t>
  </si>
  <si>
    <t>Variable Resistors 10KOhms ±10% ±100 ppm/°C 3224W RoHS</t>
  </si>
  <si>
    <t>$0.9879</t>
  </si>
  <si>
    <t>$4.94</t>
  </si>
  <si>
    <t>Verzending per LCSC batch</t>
  </si>
  <si>
    <t>C87031</t>
  </si>
  <si>
    <t>PSD12C-LF-T7</t>
  </si>
  <si>
    <t>SOD-323</t>
  </si>
  <si>
    <t>TVS SOD-323 RoHS</t>
  </si>
  <si>
    <t>$0.1114</t>
  </si>
  <si>
    <t>$2.23</t>
  </si>
  <si>
    <t>C97893</t>
  </si>
  <si>
    <t>GRM188R71E473KA01D</t>
  </si>
  <si>
    <t>0603</t>
  </si>
  <si>
    <t>Multilayer Ceramic Capacitors MLCC - SMD/SMT 47nF 25V 0603 RoHS</t>
  </si>
  <si>
    <t>$0.0167</t>
  </si>
  <si>
    <t>$0.34</t>
  </si>
  <si>
    <t>1 USD = hoeveel euro?</t>
  </si>
  <si>
    <t>C124389</t>
  </si>
  <si>
    <t>Through Hole,P=2.54mm</t>
  </si>
  <si>
    <t>Pin Header &amp; Female Header Through Hole,P=2.54mm RoHS</t>
  </si>
  <si>
    <t>$0.0721</t>
  </si>
  <si>
    <t>$0.37</t>
  </si>
  <si>
    <t>1 GBP = hoeveel euro?</t>
  </si>
  <si>
    <t>C126551</t>
  </si>
  <si>
    <t>GCM1885C1H180FA16D</t>
  </si>
  <si>
    <t>Multilayer Ceramic Capacitors MLCC - SMD/SMT 18pF 50V 0603 RoHS</t>
  </si>
  <si>
    <t>$0.0767</t>
  </si>
  <si>
    <t>$0.77</t>
  </si>
  <si>
    <t>C136701</t>
  </si>
  <si>
    <t>K2-1103DP-Q4SW-04</t>
  </si>
  <si>
    <t>12*12mm</t>
  </si>
  <si>
    <t>Tactile Switches SPST-NO 12.00mm x 12.00mm 12.00mm 50mA @ 12VDC 12*12mm RoHS</t>
  </si>
  <si>
    <t>$0.0825</t>
  </si>
  <si>
    <t>$1.65</t>
  </si>
  <si>
    <t>Thonk verzending factuur</t>
  </si>
  <si>
    <t>C139296</t>
  </si>
  <si>
    <t>PSD05-LF-T7</t>
  </si>
  <si>
    <t>$0.1027</t>
  </si>
  <si>
    <t>$3.09</t>
  </si>
  <si>
    <t>C141425</t>
  </si>
  <si>
    <t>VT1E470M0605</t>
  </si>
  <si>
    <t>SMD,6.3x5.4mm</t>
  </si>
  <si>
    <t>Aluminum Electrolytic Capacitors - SMD 47uF ±20% 25V SMD,6.3x5.4mm RoHS</t>
  </si>
  <si>
    <t>$0.0327</t>
  </si>
  <si>
    <t>$0.99</t>
  </si>
  <si>
    <t>C160028</t>
  </si>
  <si>
    <t>RK73H1JTTD2200F</t>
  </si>
  <si>
    <t>Chip Resistor - Surface Mount 220Ohms ±1% 1/8W 0603 RoHS</t>
  </si>
  <si>
    <t>$0.0026</t>
  </si>
  <si>
    <t>$0.26</t>
  </si>
  <si>
    <t>C160034</t>
  </si>
  <si>
    <t>RK73H1JTTD2700F</t>
  </si>
  <si>
    <t>Chip Resistor - Surface Mount 270Ohms ±1% 1/8W 0603 RoHS</t>
  </si>
  <si>
    <t>$0.0045</t>
  </si>
  <si>
    <t>$0.23</t>
  </si>
  <si>
    <t>C188666</t>
  </si>
  <si>
    <t>6N138SDM</t>
  </si>
  <si>
    <t>SMD-8</t>
  </si>
  <si>
    <t>Optocouplers SMD-8 RoHS</t>
  </si>
  <si>
    <t>$0.8076</t>
  </si>
  <si>
    <t>$4.04</t>
  </si>
  <si>
    <t>C225518</t>
  </si>
  <si>
    <t>A2541WV-2x3P</t>
  </si>
  <si>
    <t>$0.0883</t>
  </si>
  <si>
    <t>$0.45</t>
  </si>
  <si>
    <t>C237171</t>
  </si>
  <si>
    <t>0603B104J250CT</t>
  </si>
  <si>
    <t>Multilayer Ceramic Capacitors MLCC - SMD/SMT 100nF 25V 0603 RoHS</t>
  </si>
  <si>
    <t>$0.0094</t>
  </si>
  <si>
    <t>$0.94</t>
  </si>
  <si>
    <t>C241939</t>
  </si>
  <si>
    <t>1N4148W-E3-08</t>
  </si>
  <si>
    <t>SOD-123</t>
  </si>
  <si>
    <t>Switching Diode 75V 150mA 1.2V @ 100mA 4ns SOD-123 RoHS</t>
  </si>
  <si>
    <t>$0.0346</t>
  </si>
  <si>
    <t>$0.35</t>
  </si>
  <si>
    <t>C253329</t>
  </si>
  <si>
    <t>ESR03EZPJ102</t>
  </si>
  <si>
    <t>Chip Resistor - Surface Mount 1KOhms ±5% 1/4W 0603 RoHS</t>
  </si>
  <si>
    <t>$0.0122</t>
  </si>
  <si>
    <t>$0.61</t>
  </si>
  <si>
    <t>C255948</t>
  </si>
  <si>
    <t>Q24FA20H00232</t>
  </si>
  <si>
    <t>SMD-2520_4P</t>
  </si>
  <si>
    <t>SMD Crystal Resonators 16MHz ±10ppm SMD-2520_4P RoHS</t>
  </si>
  <si>
    <t>$0.2152</t>
  </si>
  <si>
    <t>$1.08</t>
  </si>
  <si>
    <t>C305012</t>
  </si>
  <si>
    <t>RTT031002BTP</t>
  </si>
  <si>
    <t>Chip Resistor - Surface Mount 10KOhms ±0.1% 1/10W 0603 RoHS</t>
  </si>
  <si>
    <t>$0.0229</t>
  </si>
  <si>
    <t>$0.46</t>
  </si>
  <si>
    <t>C362181</t>
  </si>
  <si>
    <t>RK73G1JTTD1003F</t>
  </si>
  <si>
    <t>Chip Resistor - Surface Mount 100KOhms ±1% 1/10W 0603 RoHS</t>
  </si>
  <si>
    <t>$0.0264</t>
  </si>
  <si>
    <t>$1.06</t>
  </si>
  <si>
    <t>Thonkiconn Mono 3.5mm Audio Jacks (PJ398SM)</t>
  </si>
  <si>
    <t>13,2 GBP</t>
  </si>
  <si>
    <t>Hirschmann MAB 5 S DIN-connector Flensbus, contacten recht Aantal polen: 5 Zilver 1 stuks Artikelnummer: 738140</t>
  </si>
  <si>
    <t>Hex Nuts (Bag of 50 pieces)</t>
  </si>
  <si>
    <t>1,80 GBP</t>
  </si>
  <si>
    <t>Washers (Bag of 50 pieces)</t>
  </si>
  <si>
    <t>970090324 Standoffs &amp; Spacers Standoffs &amp; Spacers WA-SBRII M3x9mm SW5.5</t>
  </si>
  <si>
    <t xml:space="preserve">TOOLCRAFT 1061815 Cilinderschroeven M3 4 mm Binnenzeskant (inbus) DIN 912 RVS A2 100 stuks Artikelnummer: 1061815
</t>
  </si>
  <si>
    <t>JLC factuur</t>
  </si>
  <si>
    <t>JLC verzending</t>
  </si>
  <si>
    <t>JLC inklaring</t>
  </si>
  <si>
    <t>Y20-2693892A + Y19-2693892A</t>
  </si>
  <si>
    <t>Vast kosten</t>
  </si>
  <si>
    <t>Per maand</t>
  </si>
  <si>
    <t>Per uur</t>
  </si>
  <si>
    <t>Eten en drinken</t>
  </si>
  <si>
    <t>Abbonementen</t>
  </si>
  <si>
    <t>Verzekeringen+tandarts</t>
  </si>
  <si>
    <t>Moet terug verdient worden in</t>
  </si>
  <si>
    <t>uur per week.</t>
  </si>
  <si>
    <t>Een week is</t>
  </si>
  <si>
    <t>uur.</t>
  </si>
  <si>
    <t>Ik werk</t>
  </si>
  <si>
    <t>deel van de tijd.</t>
  </si>
  <si>
    <t>Kosten per uur zijn</t>
  </si>
  <si>
    <t>Ontwikkeling per</t>
  </si>
  <si>
    <t>Ontwikkeling</t>
  </si>
  <si>
    <t>Start</t>
  </si>
  <si>
    <t>Eind</t>
  </si>
  <si>
    <t>Uren verschil</t>
  </si>
  <si>
    <t>Standaard eenheid</t>
  </si>
  <si>
    <t>Uren totaal</t>
  </si>
  <si>
    <t>Assemblage per</t>
  </si>
  <si>
    <t>Assemblage</t>
  </si>
  <si>
    <t>Ontwikkelingstijd per unit</t>
  </si>
  <si>
    <t>Assemblagetijd per unit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</si>
</sst>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\%"/>
    <numFmt numFmtId="165" formatCode="DD\-MM\-YY"/>
    <numFmt numFmtId="166" formatCode="#,##0.00\ [$€-1]"/>
    <numFmt numFmtId="167" formatCode="DD/MM/YY;@"/>
    <numFmt numFmtId="168" formatCode="hh:mm:ss;@"/>
  </numFmts>
  <fonts count="9">
    <font>
      <name val="Liberation Sans"/>
      <color rgb="FF000000"/>
      <sz val="10"/>
      <extLst>
        <ext uri="smNativeData">
          <pm:charSpec xmlns:pm="smNativeData" id="1579724018" ulstyle="none" kern="1">
            <pm:latin face="Liberation Sans" sz="200" lang="nl-nl"/>
            <pm:cs face="Arial" sz="200" lang="hi-in"/>
            <pm:ea face="Microsoft YaHei" sz="200" lang="zh-cn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97240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iberation Sans"/>
      <color rgb="FF000000"/>
      <sz val="12"/>
      <extLst>
        <ext uri="smNativeData">
          <pm:charSpec xmlns:pm="smNativeData" id="1579724018" ulstyle="none" kern="1">
            <pm:latin face="Liberation Sans" sz="240" lang="nl-nl"/>
            <pm:cs face="Arial" sz="240" lang="hi-in"/>
            <pm:ea face="Microsoft YaHei" sz="240" lang="zh-cn"/>
          </pm:charSpec>
        </ext>
      </extLst>
    </font>
    <font>
      <name val="Liberation Sans"/>
      <b/>
      <color rgb="FF000000"/>
      <sz val="10"/>
      <extLst>
        <ext uri="smNativeData">
          <pm:charSpec xmlns:pm="smNativeData" id="1579724018" ulstyle="none" kern="1">
            <pm:latin face="Liberation Sans" sz="200" lang="nl-nl" weight="bold"/>
            <pm:cs face="Arial" sz="200" lang="hi-in" weight="bold"/>
            <pm:ea face="Microsoft YaHei" sz="200" lang="zh-cn" weight="bold"/>
          </pm:charSpec>
        </ext>
      </extLst>
    </font>
    <font>
      <name val="Liberation Sans"/>
      <color rgb="FF000000"/>
      <sz val="10"/>
      <extLst>
        <ext uri="smNativeData">
          <pm:charSpec xmlns:pm="smNativeData" id="1579724018" ulstyle="none" kern="1">
            <pm:latin face="Liberation Sans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79724018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7972401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Liberation Sans"/>
      <b/>
      <color rgb="FF000000"/>
      <sz val="10"/>
      <extLst>
        <ext uri="smNativeData">
          <pm:charSpec xmlns:pm="smNativeData" id="1579724018" ulstyle="none" kern="1">
            <pm:latin face="Liberation Sans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Liberation Sans"/>
      <b/>
      <color rgb="FF000000"/>
      <sz val="10"/>
      <extLst>
        <ext uri="smNativeData">
          <pm:charSpec xmlns:pm="smNativeData" id="1579724018" ulstyle="none" kern="1">
            <pm:latin face="Liberation Sans" sz="200" lang="nl-nl" weight="bold"/>
            <pm:cs face="Arial" sz="200" lang="hi-in"/>
            <pm:ea face="Microsoft YaHei" sz="200" lang="zh-cn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9724018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724018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7972401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7972401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972401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724018"/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579724018">
            <pm:line position="top" type="1" style="0" width="1" dist="20" width2="20" rgb="000000"/>
            <pm:line position="bottom" type="1" style="0" width="20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none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79724018">
            <pm:line position="top" type="1" style="0" width="1" dist="20" width2="20" rgb="000000"/>
            <pm:line position="left" type="1" style="0" width="1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972401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/>
    <xf numFmtId="166" fontId="0" fillId="0" borderId="0" xfId="0" applyNumberFormat="1"/>
    <xf numFmtId="166" fontId="6" fillId="0" borderId="0" xfId="0" applyNumberFormat="1" applyFont="1"/>
    <xf numFmtId="0" fontId="6" fillId="0" borderId="0" xfId="0" applyFont="1" applyAlignment="1">
      <alignment wrapText="1"/>
    </xf>
    <xf numFmtId="167" fontId="4" fillId="0" borderId="0" xfId="0" applyNumberFormat="1" applyFont="1"/>
    <xf numFmtId="168" fontId="4" fillId="0" borderId="0" xfId="0" applyNumberFormat="1" applyFont="1"/>
    <xf numFmtId="168" fontId="4" fillId="0" borderId="0" xfId="0" applyNumberFormat="1" applyFont="1" applyAlignment="1">
      <alignment horizontal="center" vertical="center"/>
    </xf>
    <xf numFmtId="0" fontId="4" fillId="0" borderId="0" xfId="0" applyFont="1"/>
    <xf numFmtId="167" fontId="0" fillId="0" borderId="0" xfId="0" applyNumberFormat="1"/>
    <xf numFmtId="166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8" fontId="0" fillId="0" borderId="0" xfId="0" applyNumberFormat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3" xfId="0" applyNumberFormat="1" applyBorder="1"/>
    <xf numFmtId="0" fontId="3" fillId="0" borderId="3" xfId="0" applyFont="1" applyBorder="1"/>
    <xf numFmtId="164" fontId="0" fillId="0" borderId="3" xfId="0" applyNumberFormat="1" applyBorder="1"/>
    <xf numFmtId="0" fontId="8" fillId="0" borderId="0" xfId="0" applyFont="1"/>
    <xf numFmtId="166" fontId="0" fillId="0" borderId="0" xfId="0" applyNumberFormat="1"/>
    <xf numFmtId="0" fontId="0" fillId="0" borderId="6" xfId="0" applyBorder="1"/>
    <xf numFmtId="166" fontId="0" fillId="0" borderId="7" xfId="0" applyNumberFormat="1" applyBorder="1" applyAlignment="1">
      <alignment horizontal="center" vertical="center"/>
    </xf>
    <xf numFmtId="166" fontId="0" fillId="0" borderId="7" xfId="0" applyNumberFormat="1" applyBorder="1"/>
    <xf numFmtId="0" fontId="0" fillId="0" borderId="0" xfId="0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3" xfId="0" applyNumberFormat="1" applyBorder="1"/>
    <xf numFmtId="166" fontId="6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579724018" count="1">
        <pm:charStyle name="Normaal" fontId="0" Id="1"/>
      </pm:charStyles>
      <pm:colors xmlns:pm="smNativeData" id="1579724018" count="10">
        <pm:color name="Kleur 24" rgb="FFFFCC"/>
        <pm:color name="Kleur 25" rgb="000E00"/>
        <pm:color name="Kleur 26" rgb="808080"/>
        <pm:color name="Kleur 27" rgb="0000EE"/>
        <pm:color name="Kleur 28" rgb="CCFFCC"/>
        <pm:color name="Kleur 29" rgb="006600"/>
        <pm:color name="Kleur 30" rgb="996600"/>
        <pm:color name="Kleur 31" rgb="FFCCCC"/>
        <pm:color name="Kleur 32" rgb="CC0000"/>
        <pm:color name="Kleur 33" rgb="DDDDD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Liberation Sans"/>
        <a:ea typeface="Microsoft YaHei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workbookViewId="0">
      <selection activeCell="B25" sqref="B25"/>
    </sheetView>
  </sheetViews>
  <sheetFormatPr baseColWidth="9" defaultColWidth="10.000000" defaultRowHeight="13.45"/>
  <cols>
    <col min="1" max="1" width="17.495495" customWidth="1" style="0"/>
    <col min="2" max="2" width="19.927928" customWidth="1" style="0"/>
    <col min="3" max="3" width="13.117117" customWidth="1" style="5"/>
    <col min="4" max="4" width="23.162162" customWidth="1" style="0"/>
    <col min="5" max="5" width="27.738739" customWidth="1" style="0"/>
    <col min="6" max="6" width="11.531532" customWidth="1" style="0"/>
    <col min="7" max="7" width="19.792793" customWidth="1" style="0"/>
    <col min="8" max="8" width="9.774775" customWidth="1" style="0"/>
    <col min="9" max="9" width="33.009009" customWidth="1" style="0"/>
  </cols>
  <sheetData>
    <row r="1" spans="1:3">
      <c r="A1" s="2" t="s">
        <v>0</v>
      </c>
      <c r="C1"/>
    </row>
    <row r="2" spans="2:9">
      <c r="B2" s="3" t="s">
        <v>1</v>
      </c>
      <c r="C2"/>
      <c r="G2" s="3" t="s">
        <v>2</v>
      </c>
      <c r="H2" s="3" t="s">
        <v>3</v>
      </c>
      <c r="I2" s="3" t="s">
        <v>4</v>
      </c>
    </row>
    <row r="3" spans="2:9">
      <c r="B3" s="21" t="s">
        <v>5</v>
      </c>
      <c r="C3" s="23" t="s">
        <v>6</v>
      </c>
      <c r="D3" s="23" t="n">
        <v>5</v>
      </c>
      <c r="E3" s="24" t="s">
        <v>7</v>
      </c>
      <c r="G3" s="16">
        <f>SUM(E5:E11,E13,E17,E18)</f>
        <v>33.7335379856568025</v>
      </c>
      <c r="H3" s="1" t="n">
        <v>2.5</v>
      </c>
      <c r="I3" s="17">
        <f>G3*H3</f>
        <v>84.3338449641420027</v>
      </c>
    </row>
    <row r="4" spans="2:9">
      <c r="B4" s="22"/>
      <c r="C4" s="24" t="s">
        <v>8</v>
      </c>
      <c r="D4" s="23"/>
      <c r="E4" s="23"/>
      <c r="I4" s="8"/>
    </row>
    <row r="5" spans="2:9">
      <c r="B5" s="22" t="s">
        <v>9</v>
      </c>
      <c r="C5" s="25">
        <f>BOM!P4</f>
        <v>85.0456744917266576</v>
      </c>
      <c r="D5" s="26"/>
      <c r="E5" s="26">
        <f>C5/D$3</f>
        <v>17.0091348983453408</v>
      </c>
      <c r="I5" s="29" t="s">
        <v>10</v>
      </c>
    </row>
    <row r="6" spans="2:9">
      <c r="B6" s="22" t="s">
        <v>11</v>
      </c>
      <c r="C6" s="25">
        <f>BOM!P6+BOM!P11</f>
        <v>13.0097843074057309</v>
      </c>
      <c r="D6" s="26"/>
      <c r="E6" s="26">
        <f>C6/D$3</f>
        <v>2.60195686148114014</v>
      </c>
      <c r="I6" s="30">
        <f>SUM(E21:E24)</f>
        <v>0</v>
      </c>
    </row>
    <row r="7" spans="2:5">
      <c r="B7" s="22" t="s">
        <v>12</v>
      </c>
      <c r="C7" s="25" t="n">
        <v>0</v>
      </c>
      <c r="D7" s="26"/>
      <c r="E7" s="26">
        <f>C7/D$3</f>
        <v>0</v>
      </c>
    </row>
    <row r="8" spans="2:5">
      <c r="B8" s="22" t="s">
        <v>13</v>
      </c>
      <c r="C8" s="25">
        <f>PCBP!C5</f>
        <v>7.8199999999999994</v>
      </c>
      <c r="D8" s="26"/>
      <c r="E8" s="26">
        <f>C8/D$3</f>
        <v>1.56400000000000006</v>
      </c>
    </row>
    <row r="9" spans="2:5">
      <c r="B9" s="22" t="s">
        <v>14</v>
      </c>
      <c r="C9" s="25">
        <f>PCBP!C6</f>
        <v>4.21554966887417493</v>
      </c>
      <c r="D9" s="26"/>
      <c r="E9" s="26">
        <f>C9/D$3</f>
        <v>0.843109933774836051</v>
      </c>
    </row>
    <row r="10" spans="2:5">
      <c r="B10" s="31" t="s">
        <v>15</v>
      </c>
      <c r="C10" s="32">
        <f>PCBP!C7</f>
        <v>15.9474201474201589</v>
      </c>
      <c r="D10" s="33"/>
      <c r="E10" s="33">
        <f>C10/D$3</f>
        <v>3.18948402948403986</v>
      </c>
    </row>
    <row r="11" spans="2:5">
      <c r="B11" s="23" t="s">
        <v>16</v>
      </c>
      <c r="C11" s="25"/>
      <c r="D11" s="26"/>
      <c r="E11" s="26" t="n">
        <v>0</v>
      </c>
    </row>
    <row r="12" spans="2:5">
      <c r="B12" s="34"/>
      <c r="C12" s="35"/>
      <c r="D12" s="36"/>
      <c r="E12" s="36"/>
    </row>
    <row r="13" spans="3:5">
      <c r="C13" s="37"/>
      <c r="D13" s="20" t="s">
        <v>17</v>
      </c>
      <c r="E13" s="38">
        <f>'Vaste kosten'!B14*SUM(Ontwikkeling_Assemblage!B15:B16)</f>
        <v>6.31898529154716559</v>
      </c>
    </row>
    <row r="14" spans="3:3">
      <c r="C14"/>
    </row>
    <row r="15" spans="3:5">
      <c r="C15" s="27" t="s">
        <v>18</v>
      </c>
      <c r="D15" s="23"/>
      <c r="E15" s="23"/>
    </row>
    <row r="16" spans="3:5">
      <c r="C16" s="23" t="s">
        <v>19</v>
      </c>
      <c r="D16" s="23" t="s">
        <v>20</v>
      </c>
      <c r="E16" s="28" t="s">
        <v>21</v>
      </c>
    </row>
    <row r="17" spans="3:5">
      <c r="C17" s="23" t="s">
        <v>22</v>
      </c>
      <c r="D17" s="24" t="n">
        <v>5</v>
      </c>
      <c r="E17" s="39">
        <f>(SUM(E$5:E$11)+E$13)*D17/100</f>
        <v>1.57633355073162988</v>
      </c>
    </row>
    <row r="18" spans="3:5">
      <c r="C18" s="23" t="s">
        <v>23</v>
      </c>
      <c r="D18" s="24" t="n">
        <v>2</v>
      </c>
      <c r="E18" s="39">
        <f>(SUM(E$5:E$11)+E$13)*D18/100</f>
        <v>0.630533420292652025</v>
      </c>
    </row>
    <row r="19" spans="3:3">
      <c r="C19"/>
    </row>
    <row r="20" spans="2:5">
      <c r="B20" s="29" t="s">
        <v>10</v>
      </c>
      <c r="C20" s="29"/>
      <c r="D20" s="29"/>
      <c r="E20" s="29"/>
    </row>
    <row r="21" spans="2:5">
      <c r="B21" s="22" t="s">
        <v>24</v>
      </c>
      <c r="C21" s="25"/>
      <c r="D21" s="26"/>
      <c r="E21" s="26" t="n">
        <v>0</v>
      </c>
    </row>
    <row r="22" spans="2:5">
      <c r="B22" s="22" t="s">
        <v>25</v>
      </c>
      <c r="C22" s="25"/>
      <c r="D22" s="26"/>
      <c r="E22" s="26" t="n">
        <v>0</v>
      </c>
    </row>
    <row r="23" spans="2:5">
      <c r="B23" s="22" t="s">
        <v>26</v>
      </c>
      <c r="C23" s="25"/>
      <c r="D23" s="26"/>
      <c r="E23" s="26">
        <f>C23/D$3</f>
        <v>0</v>
      </c>
    </row>
    <row r="24" spans="2:5">
      <c r="B24" s="22" t="s">
        <v>27</v>
      </c>
      <c r="C24" s="25"/>
      <c r="D24" s="26"/>
      <c r="E24" s="26">
        <f>C24/D$3</f>
        <v>0</v>
      </c>
    </row>
  </sheetData>
  <mergeCells count="17">
    <mergeCell ref="B3:B4"/>
    <mergeCell ref="E3:E4"/>
    <mergeCell ref="C4:D4"/>
    <mergeCell ref="C5:D5"/>
    <mergeCell ref="C6:D6"/>
    <mergeCell ref="C7:D7"/>
    <mergeCell ref="C8:D8"/>
    <mergeCell ref="C9:D9"/>
    <mergeCell ref="C10:D10"/>
    <mergeCell ref="B11:D11"/>
    <mergeCell ref="B12:D12"/>
    <mergeCell ref="C15:E15"/>
    <mergeCell ref="B20:E20"/>
    <mergeCell ref="B21:D21"/>
    <mergeCell ref="B22:D22"/>
    <mergeCell ref="B23:D23"/>
    <mergeCell ref="B24:D24"/>
  </mergeCells>
  <printOptions>
    <extLst>
      <ext uri="smNativeData">
        <pm:pageFlags xmlns:pm="smNativeData" id="1579724018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9" fitToWidth="0" fitToHeight="1" pageOrder="overThenDown"/>
  <headerFooter>
    <extLst>
      <ext uri="smNativeData">
        <pm:header xmlns:pm="smNativeData" id="1579724018" l="56" r="56" t="56" b="56" borderId="0" fillId="0" vertical="0"/>
        <pm:footer xmlns:pm="smNativeData" id="1579724018" l="56" r="56" t="56" b="56" borderId="0" fillId="0" vertical="2"/>
        <pm:paperBin xmlns:pm="smNativeData" id="1579724018" Id="0" type="0" value="0"/>
        <pm:paperBin xmlns:pm="smNativeData" id="1579724018" Id="1" type="0" value="0"/>
      </ext>
    </extLst>
  </headerFooter>
  <extLst>
    <ext uri="smNativeData">
      <pm:sheetPrefs xmlns:pm="smNativeData" day="1579724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4"/>
  <sheetViews>
    <sheetView view="normal" workbookViewId="0">
      <pane ySplit="1" topLeftCell="A2" activePane="bottomLeft" state="frozen"/>
      <selection pane="bottomLeft" activeCell="O17" sqref="O17"/>
    </sheetView>
  </sheetViews>
  <sheetFormatPr defaultRowHeight="15.40"/>
  <cols>
    <col min="1" max="1" width="22.153153" customWidth="1" style="7"/>
    <col min="2" max="2" width="22.072072" customWidth="1" style="7"/>
    <col min="3" max="3" width="20.927928" customWidth="1" style="7"/>
    <col min="4" max="4" width="100.747748" customWidth="1" style="7"/>
    <col min="5" max="5" width="9.369369" customWidth="1" style="7"/>
    <col min="6" max="6" width="8.684685" customWidth="1" style="7"/>
    <col min="7" max="7" width="9.954955" customWidth="1" style="7"/>
    <col min="8" max="8" width="10.000000" customWidth="1" style="7"/>
    <col min="9" max="9" width="11.531532" customWidth="1"/>
    <col min="10" max="10" width="12.315315" customWidth="1"/>
    <col min="11" max="11" width="12.630631" customWidth="1"/>
    <col min="12" max="14" width="10.000000" customWidth="1"/>
    <col min="15" max="15" width="22.153153" customWidth="1"/>
    <col min="16" max="16" width="8.369369" customWidth="1"/>
    <col min="17" max="16382" width="10.000000" customWidth="1"/>
  </cols>
  <sheetData>
    <row r="1" spans="1:11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6">
      <c r="A2" s="7" t="s">
        <v>39</v>
      </c>
      <c r="B2" s="7" t="s">
        <v>40</v>
      </c>
      <c r="C2" s="7" t="s">
        <v>41</v>
      </c>
      <c r="D2" s="7" t="s">
        <v>42</v>
      </c>
      <c r="E2" s="7" t="n">
        <v>5</v>
      </c>
      <c r="F2" s="7" t="s">
        <v>43</v>
      </c>
      <c r="G2" s="7" t="s">
        <v>44</v>
      </c>
      <c r="H2" s="9">
        <f>SUBSTITUTE(SUBSTITUTE(G2,"$",""),".",",")*P$8</f>
        <v>15.5100095775</v>
      </c>
      <c r="I2" s="8">
        <f>H2/E2</f>
        <v>3.10200191549999982</v>
      </c>
      <c r="J2" t="n">
        <v>5</v>
      </c>
      <c r="K2" s="38">
        <f>I2*J2</f>
        <v>15.5100095775</v>
      </c>
      <c r="O2" s="7" t="s">
        <v>45</v>
      </c>
      <c r="P2" s="40">
        <f>(75.67-0.86)*P8</f>
        <v>67.263989361900002</v>
      </c>
    </row>
    <row r="3" spans="1:16">
      <c r="A3" s="7" t="s">
        <v>46</v>
      </c>
      <c r="B3" s="7" t="s">
        <v>47</v>
      </c>
      <c r="C3" s="7" t="s">
        <v>48</v>
      </c>
      <c r="D3" s="7" t="s">
        <v>49</v>
      </c>
      <c r="E3" s="7" t="n">
        <v>20</v>
      </c>
      <c r="F3" s="7" t="s">
        <v>50</v>
      </c>
      <c r="G3" s="7" t="s">
        <v>51</v>
      </c>
      <c r="H3" s="9">
        <f>SUBSTITUTE(SUBSTITUTE(G3,"$",""),".",",")*P$8</f>
        <v>13.5409127094000006</v>
      </c>
      <c r="I3" s="8">
        <f>H3/E3</f>
        <v>0.677045635470000029</v>
      </c>
      <c r="J3" t="n">
        <v>20</v>
      </c>
      <c r="K3" s="38">
        <f>I3*J3</f>
        <v>13.5409127093999988</v>
      </c>
      <c r="O3" s="7" t="s">
        <v>52</v>
      </c>
      <c r="P3" s="38">
        <f>SUM(K2:K23)</f>
        <v>50.0042708778600016</v>
      </c>
    </row>
    <row r="4" spans="1:16">
      <c r="A4" s="7" t="s">
        <v>53</v>
      </c>
      <c r="B4" s="7" t="s">
        <v>54</v>
      </c>
      <c r="C4" s="7" t="s">
        <v>55</v>
      </c>
      <c r="D4" s="7" t="s">
        <v>56</v>
      </c>
      <c r="E4" s="7" t="n">
        <v>20</v>
      </c>
      <c r="F4" s="7" t="s">
        <v>57</v>
      </c>
      <c r="G4" s="7" t="s">
        <v>58</v>
      </c>
      <c r="H4" s="9">
        <f>SUBSTITUTE(SUBSTITUTE(G4,"$",""),".",",")*P$8</f>
        <v>1.0070267088</v>
      </c>
      <c r="I4" s="8">
        <f>H4/E4</f>
        <v>0.0503513354399999979</v>
      </c>
      <c r="J4" t="n">
        <v>15</v>
      </c>
      <c r="K4" s="38">
        <f>I4*J4</f>
        <v>0.755270031599999925</v>
      </c>
      <c r="O4" s="7" t="s">
        <v>59</v>
      </c>
      <c r="P4" s="38">
        <f>SUM(K2:K29)</f>
        <v>85.0456744917266576</v>
      </c>
    </row>
    <row r="5" spans="1:16">
      <c r="A5" s="7" t="s">
        <v>60</v>
      </c>
      <c r="B5" s="7" t="s">
        <v>61</v>
      </c>
      <c r="C5" s="7" t="s">
        <v>62</v>
      </c>
      <c r="D5" s="7" t="s">
        <v>63</v>
      </c>
      <c r="E5" s="7" t="n">
        <v>5</v>
      </c>
      <c r="F5" s="7" t="s">
        <v>64</v>
      </c>
      <c r="G5" s="7" t="s">
        <v>65</v>
      </c>
      <c r="H5" s="9">
        <f>SUBSTITUTE(SUBSTITUTE(G5,"$",""),".",",")*P$8</f>
        <v>0.422591565299999949</v>
      </c>
      <c r="I5" s="8">
        <f>H5/E5</f>
        <v>0.0845183130600000077</v>
      </c>
      <c r="J5" t="n">
        <v>5</v>
      </c>
      <c r="K5" s="38">
        <f>I5*J5</f>
        <v>0.422591565300000038</v>
      </c>
      <c r="O5" s="7" t="s">
        <v>66</v>
      </c>
      <c r="P5" s="40">
        <f>10.64*P8</f>
        <v>9.56675373360000059</v>
      </c>
    </row>
    <row r="6" spans="1:16">
      <c r="A6" s="7" t="s">
        <v>67</v>
      </c>
      <c r="B6" s="7" t="s">
        <v>68</v>
      </c>
      <c r="C6" s="7" t="s">
        <v>48</v>
      </c>
      <c r="D6" s="7" t="s">
        <v>69</v>
      </c>
      <c r="E6" s="7" t="n">
        <v>5</v>
      </c>
      <c r="F6" s="7" t="s">
        <v>70</v>
      </c>
      <c r="G6" s="7" t="s">
        <v>71</v>
      </c>
      <c r="H6" s="9">
        <f>SUBSTITUTE(SUBSTITUTE(G6,"$",""),".",",")*P$8</f>
        <v>4.44170709060000046</v>
      </c>
      <c r="I6" s="8">
        <f>H6/E6</f>
        <v>0.888341418119999915</v>
      </c>
      <c r="J6" t="n">
        <v>5</v>
      </c>
      <c r="K6" s="38">
        <f>I6*J6</f>
        <v>4.44170709059999957</v>
      </c>
      <c r="O6" s="7" t="s">
        <v>72</v>
      </c>
      <c r="P6" s="40">
        <f>P3/P2*P5</f>
        <v>7.11195618420572639</v>
      </c>
    </row>
    <row r="7" spans="1:16">
      <c r="A7" s="7" t="s">
        <v>73</v>
      </c>
      <c r="B7" s="7" t="s">
        <v>74</v>
      </c>
      <c r="C7" s="7" t="s">
        <v>75</v>
      </c>
      <c r="D7" s="7" t="s">
        <v>76</v>
      </c>
      <c r="E7" s="7" t="n">
        <v>20</v>
      </c>
      <c r="F7" s="7" t="s">
        <v>77</v>
      </c>
      <c r="G7" s="7" t="s">
        <v>78</v>
      </c>
      <c r="H7" s="9">
        <f>SUBSTITUTE(SUBSTITUTE(G7,"$",""),".",",")*P$8</f>
        <v>2.00506210769999971</v>
      </c>
      <c r="I7" s="8">
        <f>H7/E7</f>
        <v>0.100253105385000008</v>
      </c>
      <c r="J7" t="n">
        <v>20</v>
      </c>
      <c r="K7" s="38">
        <f>I7*J7</f>
        <v>2.00506210770000015</v>
      </c>
      <c r="O7" s="7"/>
      <c r="P7" s="7"/>
    </row>
    <row r="8" spans="1:16">
      <c r="A8" s="7" t="s">
        <v>79</v>
      </c>
      <c r="B8" s="7" t="s">
        <v>80</v>
      </c>
      <c r="C8" s="7" t="s">
        <v>81</v>
      </c>
      <c r="D8" s="7" t="s">
        <v>82</v>
      </c>
      <c r="E8" s="7" t="n">
        <v>20</v>
      </c>
      <c r="F8" s="7" t="s">
        <v>83</v>
      </c>
      <c r="G8" s="7" t="s">
        <v>84</v>
      </c>
      <c r="H8" s="9">
        <f>SUBSTITUTE(SUBSTITUTE(G8,"$",""),".",",")*P$8</f>
        <v>0.30570453660000001</v>
      </c>
      <c r="I8" s="8">
        <f>H8/E8</f>
        <v>0.0152852268300000009</v>
      </c>
      <c r="J8" t="n">
        <v>20</v>
      </c>
      <c r="K8" s="38">
        <f>I8*J8</f>
        <v>0.30570453660000001</v>
      </c>
      <c r="O8" s="7" t="s">
        <v>85</v>
      </c>
      <c r="P8" s="40" t="n">
        <v>0.899130989999999919</v>
      </c>
    </row>
    <row r="9" spans="1:16">
      <c r="A9" s="7" t="s">
        <v>86</v>
      </c>
      <c r="B9" s="7" t="s">
        <v>86</v>
      </c>
      <c r="C9" s="7" t="s">
        <v>87</v>
      </c>
      <c r="D9" s="7" t="s">
        <v>88</v>
      </c>
      <c r="E9" s="7" t="n">
        <v>5</v>
      </c>
      <c r="F9" s="7" t="s">
        <v>89</v>
      </c>
      <c r="G9" s="9" t="s">
        <v>90</v>
      </c>
      <c r="H9" s="9">
        <f>SUBSTITUTE(SUBSTITUTE(G9,"$",""),".",",")*P$8</f>
        <v>0.332678466299999975</v>
      </c>
      <c r="I9" s="8">
        <f>H9/E9</f>
        <v>0.0665356932599999951</v>
      </c>
      <c r="J9" t="n">
        <v>5</v>
      </c>
      <c r="K9" s="38">
        <f>I9*J9</f>
        <v>0.332678466299999975</v>
      </c>
      <c r="O9" s="7" t="s">
        <v>91</v>
      </c>
      <c r="P9" s="40" t="n">
        <v>1.1748661600000001</v>
      </c>
    </row>
    <row r="10" spans="1:16">
      <c r="A10" s="7" t="s">
        <v>92</v>
      </c>
      <c r="B10" s="7" t="s">
        <v>93</v>
      </c>
      <c r="C10" s="7" t="s">
        <v>81</v>
      </c>
      <c r="D10" s="7" t="s">
        <v>94</v>
      </c>
      <c r="E10" s="7" t="n">
        <v>10</v>
      </c>
      <c r="F10" s="7" t="s">
        <v>95</v>
      </c>
      <c r="G10" s="9" t="s">
        <v>96</v>
      </c>
      <c r="H10" s="9">
        <f>SUBSTITUTE(SUBSTITUTE(G10,"$",""),".",",")*P$8</f>
        <v>0.692330862299999961</v>
      </c>
      <c r="I10" s="8">
        <f>H10/E10</f>
        <v>0.0692330862299999961</v>
      </c>
      <c r="J10" t="n">
        <v>10</v>
      </c>
      <c r="K10" s="38">
        <f>I10*J10</f>
        <v>0.692330862300000049</v>
      </c>
      <c r="O10" s="7"/>
      <c r="P10" s="7"/>
    </row>
    <row r="11" spans="1:16">
      <c r="A11" s="7" t="s">
        <v>97</v>
      </c>
      <c r="B11" s="7" t="s">
        <v>98</v>
      </c>
      <c r="C11" s="7" t="s">
        <v>99</v>
      </c>
      <c r="D11" s="7" t="s">
        <v>100</v>
      </c>
      <c r="E11" s="7" t="n">
        <v>20</v>
      </c>
      <c r="F11" s="7" t="s">
        <v>101</v>
      </c>
      <c r="G11" s="9" t="s">
        <v>102</v>
      </c>
      <c r="H11" s="9">
        <f>SUBSTITUTE(SUBSTITUTE(G11,"$",""),".",",")*P$8</f>
        <v>1.48356613349999993</v>
      </c>
      <c r="I11" s="8">
        <f>H11/E11</f>
        <v>0.0741783066750000053</v>
      </c>
      <c r="J11" t="n">
        <v>20</v>
      </c>
      <c r="K11" s="38">
        <f>I11*J11</f>
        <v>1.48356613350000011</v>
      </c>
      <c r="O11" s="7" t="s">
        <v>103</v>
      </c>
      <c r="P11" s="40">
        <f>5.02*P9</f>
        <v>5.89782812320000005</v>
      </c>
    </row>
    <row r="12" spans="1:11">
      <c r="A12" s="7" t="s">
        <v>104</v>
      </c>
      <c r="B12" s="7" t="s">
        <v>105</v>
      </c>
      <c r="C12" s="7" t="s">
        <v>75</v>
      </c>
      <c r="D12" s="7" t="s">
        <v>76</v>
      </c>
      <c r="E12" s="7" t="n">
        <v>30</v>
      </c>
      <c r="F12" s="7" t="s">
        <v>106</v>
      </c>
      <c r="G12" s="9" t="s">
        <v>107</v>
      </c>
      <c r="H12" s="9">
        <f>SUBSTITUTE(SUBSTITUTE(G12,"$",""),".",",")*P$8</f>
        <v>2.7783147590999997</v>
      </c>
      <c r="I12" s="8">
        <f>H12/E12</f>
        <v>0.0926104919700000018</v>
      </c>
      <c r="J12" t="n">
        <v>30</v>
      </c>
      <c r="K12" s="38">
        <f>I12*J12</f>
        <v>2.77831475910000014</v>
      </c>
    </row>
    <row r="13" spans="1:11">
      <c r="A13" s="7" t="s">
        <v>108</v>
      </c>
      <c r="B13" s="7" t="s">
        <v>109</v>
      </c>
      <c r="C13" s="7" t="s">
        <v>110</v>
      </c>
      <c r="D13" s="7" t="s">
        <v>111</v>
      </c>
      <c r="E13" s="7" t="n">
        <v>30</v>
      </c>
      <c r="F13" s="7" t="s">
        <v>112</v>
      </c>
      <c r="G13" s="9" t="s">
        <v>113</v>
      </c>
      <c r="H13" s="9">
        <f>SUBSTITUTE(SUBSTITUTE(G13,"$",""),".",",")*P$8</f>
        <v>0.890139680100000064</v>
      </c>
      <c r="I13" s="8">
        <f>H13/E13</f>
        <v>0.0296713226700000021</v>
      </c>
      <c r="J13" t="n">
        <v>15</v>
      </c>
      <c r="K13" s="38">
        <f>I13*J13</f>
        <v>0.445069840050000032</v>
      </c>
    </row>
    <row r="14" spans="1:11">
      <c r="A14" s="7" t="s">
        <v>114</v>
      </c>
      <c r="B14" s="7" t="s">
        <v>115</v>
      </c>
      <c r="C14" s="7" t="s">
        <v>81</v>
      </c>
      <c r="D14" s="7" t="s">
        <v>116</v>
      </c>
      <c r="E14" s="7" t="n">
        <v>100</v>
      </c>
      <c r="F14" s="7" t="s">
        <v>117</v>
      </c>
      <c r="G14" s="9" t="s">
        <v>118</v>
      </c>
      <c r="H14" s="9">
        <f>SUBSTITUTE(SUBSTITUTE(G14,"$",""),".",",")*P$8</f>
        <v>0.233774057399999968</v>
      </c>
      <c r="I14" s="8">
        <f>H14/E14</f>
        <v>0.00233774057399999968</v>
      </c>
      <c r="J14" t="n">
        <v>15</v>
      </c>
      <c r="K14" s="38">
        <f>I14*J14</f>
        <v>0.0350661086100000041</v>
      </c>
    </row>
    <row r="15" spans="1:11">
      <c r="A15" s="7" t="s">
        <v>119</v>
      </c>
      <c r="B15" s="7" t="s">
        <v>120</v>
      </c>
      <c r="C15" s="7" t="s">
        <v>81</v>
      </c>
      <c r="D15" s="7" t="s">
        <v>121</v>
      </c>
      <c r="E15" s="7" t="n">
        <v>50</v>
      </c>
      <c r="F15" s="7" t="s">
        <v>122</v>
      </c>
      <c r="G15" s="9" t="s">
        <v>123</v>
      </c>
      <c r="H15" s="9">
        <f>SUBSTITUTE(SUBSTITUTE(G15,"$",""),".",",")*P$8</f>
        <v>0.206800127700000003</v>
      </c>
      <c r="I15" s="8">
        <f>H15/E15</f>
        <v>0.00413600255400000005</v>
      </c>
      <c r="J15" t="n">
        <v>5</v>
      </c>
      <c r="K15" s="38">
        <f>I15*J15</f>
        <v>0.0206800127700000003</v>
      </c>
    </row>
    <row r="16" spans="1:11">
      <c r="A16" s="7" t="s">
        <v>124</v>
      </c>
      <c r="B16" s="7" t="s">
        <v>125</v>
      </c>
      <c r="C16" s="7" t="s">
        <v>126</v>
      </c>
      <c r="D16" s="7" t="s">
        <v>127</v>
      </c>
      <c r="E16" s="7" t="n">
        <v>5</v>
      </c>
      <c r="F16" s="7" t="s">
        <v>128</v>
      </c>
      <c r="G16" s="9" t="s">
        <v>129</v>
      </c>
      <c r="H16" s="9">
        <f>SUBSTITUTE(SUBSTITUTE(G16,"$",""),".",",")*P$8</f>
        <v>3.63248919959999972</v>
      </c>
      <c r="I16" s="8">
        <f>H16/E16</f>
        <v>0.726497839920000033</v>
      </c>
      <c r="J16" t="n">
        <v>5</v>
      </c>
      <c r="K16" s="38">
        <f>I16*J16</f>
        <v>3.63248919960000016</v>
      </c>
    </row>
    <row r="17" spans="1:11">
      <c r="A17" s="7" t="s">
        <v>130</v>
      </c>
      <c r="B17" s="7" t="s">
        <v>131</v>
      </c>
      <c r="C17" s="7" t="s">
        <v>87</v>
      </c>
      <c r="D17" s="7" t="s">
        <v>88</v>
      </c>
      <c r="E17" s="7" t="n">
        <v>5</v>
      </c>
      <c r="F17" s="7" t="s">
        <v>132</v>
      </c>
      <c r="G17" s="9" t="s">
        <v>133</v>
      </c>
      <c r="H17" s="9">
        <f>SUBSTITUTE(SUBSTITUTE(G17,"$",""),".",",")*P$8</f>
        <v>0.404608945499999972</v>
      </c>
      <c r="I17" s="8">
        <f>H17/E17</f>
        <v>0.0809217891000000122</v>
      </c>
      <c r="J17" t="n">
        <v>5</v>
      </c>
      <c r="K17" s="38">
        <f>I17*J17</f>
        <v>0.404608945500000061</v>
      </c>
    </row>
    <row r="18" spans="1:11">
      <c r="A18" s="7" t="s">
        <v>134</v>
      </c>
      <c r="B18" s="7" t="s">
        <v>135</v>
      </c>
      <c r="C18" s="7" t="s">
        <v>81</v>
      </c>
      <c r="D18" s="7" t="s">
        <v>136</v>
      </c>
      <c r="E18" s="7" t="n">
        <v>100</v>
      </c>
      <c r="F18" s="7" t="s">
        <v>137</v>
      </c>
      <c r="G18" s="9" t="s">
        <v>138</v>
      </c>
      <c r="H18" s="9">
        <f>SUBSTITUTE(SUBSTITUTE(G18,"$",""),".",",")*P$8</f>
        <v>0.845183130599999899</v>
      </c>
      <c r="I18" s="8">
        <f>H18/E18</f>
        <v>0.00845183130600000254</v>
      </c>
      <c r="J18" t="n">
        <v>55</v>
      </c>
      <c r="K18" s="38">
        <f>I18*J18</f>
        <v>0.46485072182999998</v>
      </c>
    </row>
    <row r="19" spans="1:11">
      <c r="A19" s="7" t="s">
        <v>139</v>
      </c>
      <c r="B19" s="7" t="s">
        <v>140</v>
      </c>
      <c r="C19" s="7" t="s">
        <v>141</v>
      </c>
      <c r="D19" s="7" t="s">
        <v>142</v>
      </c>
      <c r="E19" s="7" t="n">
        <v>10</v>
      </c>
      <c r="F19" s="7" t="s">
        <v>143</v>
      </c>
      <c r="G19" s="9" t="s">
        <v>144</v>
      </c>
      <c r="H19" s="9">
        <f>SUBSTITUTE(SUBSTITUTE(G19,"$",""),".",",")*P$8</f>
        <v>0.314695846499999998</v>
      </c>
      <c r="I19" s="8">
        <f>H19/E19</f>
        <v>0.0314695846499999998</v>
      </c>
      <c r="J19" t="n">
        <v>5</v>
      </c>
      <c r="K19" s="38">
        <f>I19*J19</f>
        <v>0.157347923249999999</v>
      </c>
    </row>
    <row r="20" spans="1:11">
      <c r="A20" s="7" t="s">
        <v>145</v>
      </c>
      <c r="B20" s="7" t="s">
        <v>146</v>
      </c>
      <c r="C20" s="7" t="s">
        <v>81</v>
      </c>
      <c r="D20" s="7" t="s">
        <v>147</v>
      </c>
      <c r="E20" s="7" t="n">
        <v>50</v>
      </c>
      <c r="F20" s="7" t="s">
        <v>148</v>
      </c>
      <c r="G20" s="9" t="s">
        <v>149</v>
      </c>
      <c r="H20" s="9">
        <f>SUBSTITUTE(SUBSTITUTE(G20,"$",""),".",",")*P$8</f>
        <v>0.548469903899999967</v>
      </c>
      <c r="I20" s="8">
        <f>H20/E20</f>
        <v>0.0109693980780000011</v>
      </c>
      <c r="J20" t="n">
        <v>50</v>
      </c>
      <c r="K20" s="38">
        <f>I20*J20</f>
        <v>0.548469903900000055</v>
      </c>
    </row>
    <row r="21" spans="1:11">
      <c r="A21" s="7" t="s">
        <v>150</v>
      </c>
      <c r="B21" s="7" t="s">
        <v>151</v>
      </c>
      <c r="C21" s="7" t="s">
        <v>152</v>
      </c>
      <c r="D21" s="7" t="s">
        <v>153</v>
      </c>
      <c r="E21" s="7" t="n">
        <v>5</v>
      </c>
      <c r="F21" s="7" t="s">
        <v>154</v>
      </c>
      <c r="G21" s="9" t="s">
        <v>155</v>
      </c>
      <c r="H21" s="9">
        <f>SUBSTITUTE(SUBSTITUTE(G21,"$",""),".",",")*P$8</f>
        <v>0.971061469200000005</v>
      </c>
      <c r="I21" s="8">
        <f>H21/E21</f>
        <v>0.194212293839999983</v>
      </c>
      <c r="J21" t="n">
        <v>5</v>
      </c>
      <c r="K21" s="38">
        <f>I21*J21</f>
        <v>0.971061469200000005</v>
      </c>
    </row>
    <row r="22" spans="1:11">
      <c r="A22" s="7" t="s">
        <v>156</v>
      </c>
      <c r="B22" s="7" t="s">
        <v>157</v>
      </c>
      <c r="C22" s="7" t="s">
        <v>81</v>
      </c>
      <c r="D22" s="7" t="s">
        <v>158</v>
      </c>
      <c r="E22" s="7" t="n">
        <v>20</v>
      </c>
      <c r="F22" s="7" t="s">
        <v>159</v>
      </c>
      <c r="G22" s="9" t="s">
        <v>160</v>
      </c>
      <c r="H22" s="9">
        <f>SUBSTITUTE(SUBSTITUTE(G22,"$",""),".",",")*P$8</f>
        <v>0.413600255400000005</v>
      </c>
      <c r="I22" s="8">
        <f>H22/E22</f>
        <v>0.0206800127700000003</v>
      </c>
      <c r="J22" t="n">
        <v>5</v>
      </c>
      <c r="K22" s="38">
        <f>I22*J22</f>
        <v>0.103400063850000001</v>
      </c>
    </row>
    <row r="23" spans="1:11">
      <c r="A23" s="7" t="s">
        <v>161</v>
      </c>
      <c r="B23" s="7" t="s">
        <v>162</v>
      </c>
      <c r="C23" s="7" t="s">
        <v>81</v>
      </c>
      <c r="D23" s="7" t="s">
        <v>163</v>
      </c>
      <c r="E23" s="7" t="n">
        <v>40</v>
      </c>
      <c r="F23" s="7" t="s">
        <v>164</v>
      </c>
      <c r="G23" s="9" t="s">
        <v>165</v>
      </c>
      <c r="H23" s="9">
        <f>SUBSTITUTE(SUBSTITUTE(G23,"$",""),".",",")*P$8</f>
        <v>0.953078849399999939</v>
      </c>
      <c r="I23" s="8">
        <f>H23/E23</f>
        <v>0.0238269712349999985</v>
      </c>
      <c r="J23" t="n">
        <v>40</v>
      </c>
      <c r="K23" s="38">
        <f>I23*J23</f>
        <v>0.953078849399999939</v>
      </c>
    </row>
    <row r="24" spans="4:11">
      <c r="D24" s="7" t="s">
        <v>166</v>
      </c>
      <c r="E24" s="7" t="n">
        <v>50</v>
      </c>
      <c r="F24"/>
      <c r="G24" s="7" t="s">
        <v>167</v>
      </c>
      <c r="H24" s="9">
        <f>SUBSTITUTE(G24," GBP","")*P$9</f>
        <v>15.5082333119999998</v>
      </c>
      <c r="I24" s="8">
        <f>H24/E24</f>
        <v>0.310164666239999987</v>
      </c>
      <c r="J24" t="n">
        <v>50</v>
      </c>
      <c r="K24" s="38">
        <f>I24*J24</f>
        <v>15.5082333119999998</v>
      </c>
    </row>
    <row r="25" spans="1:11">
      <c r="A25"/>
      <c r="B25"/>
      <c r="D25" s="7" t="s">
        <v>168</v>
      </c>
      <c r="E25" s="7" t="n">
        <v>5</v>
      </c>
      <c r="H25" s="9" t="n">
        <v>6.34999999999999964</v>
      </c>
      <c r="I25" s="8">
        <f>H25/E25</f>
        <v>1.27000000000000002</v>
      </c>
      <c r="J25" t="n">
        <v>10</v>
      </c>
      <c r="K25" s="38">
        <f>I25*J25</f>
        <v>12.6999999999999993</v>
      </c>
    </row>
    <row r="26" spans="1:11">
      <c r="A26"/>
      <c r="B26"/>
      <c r="D26" s="7" t="s">
        <v>169</v>
      </c>
      <c r="E26" s="7" t="n">
        <v>50</v>
      </c>
      <c r="G26" s="7" t="s">
        <v>170</v>
      </c>
      <c r="H26" s="9">
        <f>SUBSTITUTE(G26," GBP","")*P$9</f>
        <v>2.11475908800000045</v>
      </c>
      <c r="I26" s="8">
        <f>H26/E26</f>
        <v>0.0422951817600000002</v>
      </c>
      <c r="J26" t="n">
        <v>10</v>
      </c>
      <c r="K26" s="38">
        <f>I26*J26</f>
        <v>0.422951817600000002</v>
      </c>
    </row>
    <row r="27" spans="1:11">
      <c r="A27"/>
      <c r="B27"/>
      <c r="D27" s="7" t="s">
        <v>171</v>
      </c>
      <c r="E27" s="7" t="n">
        <v>50</v>
      </c>
      <c r="G27" s="7" t="s">
        <v>170</v>
      </c>
      <c r="H27" s="9">
        <f>SUBSTITUTE(G27," GBP","")*P$9</f>
        <v>2.11475908800000045</v>
      </c>
      <c r="I27" s="8">
        <f>H27/E27</f>
        <v>0.0422951817600000002</v>
      </c>
      <c r="J27" t="n">
        <v>10</v>
      </c>
      <c r="K27" s="38">
        <f>I27*J27</f>
        <v>0.422951817600000002</v>
      </c>
    </row>
    <row r="28" spans="1:11">
      <c r="A28"/>
      <c r="B28"/>
      <c r="D28" s="7" t="s">
        <v>172</v>
      </c>
      <c r="E28" s="7" t="n">
        <v>6</v>
      </c>
      <c r="G28"/>
      <c r="H28" s="9">
        <f>2.86*1.21</f>
        <v>3.4605999999999999</v>
      </c>
      <c r="I28" s="8">
        <f>H28/E28</f>
        <v>0.576766666666666694</v>
      </c>
      <c r="J28" t="n">
        <v>10</v>
      </c>
      <c r="K28" s="38">
        <f>I28*J28</f>
        <v>5.76766666666666961</v>
      </c>
    </row>
    <row r="29" spans="1:11">
      <c r="A29"/>
      <c r="B29"/>
      <c r="D29" s="10" t="s">
        <v>173</v>
      </c>
      <c r="E29" s="7" t="n">
        <v>100</v>
      </c>
      <c r="H29" s="9" t="n">
        <v>3.66000000000000014</v>
      </c>
      <c r="I29" s="8">
        <f>H29/E29</f>
        <v>0.0366000000000000014</v>
      </c>
      <c r="J29" t="n">
        <v>6</v>
      </c>
      <c r="K29" s="38">
        <f>I29*J29</f>
        <v>0.219600000000000017</v>
      </c>
    </row>
    <row r="30" spans="1:4">
      <c r="A30"/>
      <c r="B30"/>
      <c r="D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rintOptions>
    <extLst>
      <ext uri="smNativeData">
        <pm:pageFlags xmlns:pm="smNativeData" id="1579724018" printRowHead="0" printColHead="0" printHeadLine="1" printFootLine="1" autoHeightHeader="0" autoHeightFooter="0" fitToPageBoth="1"/>
      </ext>
    </extLst>
  </printOptions>
  <pageMargins left="0.000000" right="0.000000" top="0.000000" bottom="0.000000" header="0.300000" footer="0.300000"/>
  <pageSetup paperSize="9" fitToWidth="1" fitToHeight="1"/>
  <headerFooter>
    <extLst>
      <ext uri="smNativeData">
        <pm:header xmlns:pm="smNativeData" id="1579724018" l="56" r="56" t="56" b="56" borderId="0" fillId="0" vertical="0"/>
        <pm:footer xmlns:pm="smNativeData" id="1579724018" l="56" r="56" t="56" b="56" borderId="0" fillId="0" vertical="2"/>
        <pm:paperBin xmlns:pm="smNativeData" id="1579724018" Id="0" type="0" value="0"/>
        <pm:paperBin xmlns:pm="smNativeData" id="1579724018" Id="1" type="0" value="0"/>
      </ext>
    </extLst>
  </headerFooter>
  <extLst>
    <ext uri="smNativeData">
      <pm:sheetPrefs xmlns:pm="smNativeData" day="1579724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view="normal" workbookViewId="0">
      <selection activeCell="C15" sqref="C15"/>
    </sheetView>
  </sheetViews>
  <sheetFormatPr baseColWidth="9" defaultColWidth="10.000000" defaultRowHeight="13.45"/>
  <cols>
    <col min="1" max="1" width="15.009009" customWidth="1"/>
    <col min="2" max="2" width="29.540541" customWidth="1"/>
  </cols>
  <sheetData>
    <row r="1" spans="1:3">
      <c r="A1" t="s">
        <v>174</v>
      </c>
      <c r="C1" s="38" t="n">
        <v>22.6499999999999986</v>
      </c>
    </row>
    <row r="2" spans="1:3">
      <c r="A2" t="s">
        <v>175</v>
      </c>
      <c r="C2" s="38" t="n">
        <v>12.2100000000000009</v>
      </c>
    </row>
    <row r="3" spans="1:3">
      <c r="A3" t="s">
        <v>176</v>
      </c>
      <c r="C3" s="38" t="n">
        <v>24.8999999999999986</v>
      </c>
    </row>
    <row r="5" spans="1:3">
      <c r="A5" t="s">
        <v>13</v>
      </c>
      <c r="B5" t="s">
        <v>177</v>
      </c>
      <c r="C5" s="38">
        <f>1.8+6.02</f>
        <v>7.8199999999999994</v>
      </c>
    </row>
    <row r="6" spans="1:3">
      <c r="A6" t="s">
        <v>14</v>
      </c>
      <c r="C6" s="38">
        <f>C5/C1*C2</f>
        <v>4.21554966887417493</v>
      </c>
    </row>
    <row r="7" spans="1:3">
      <c r="A7" t="s">
        <v>15</v>
      </c>
      <c r="C7" s="38">
        <f>C5/C2*C3</f>
        <v>15.9474201474201589</v>
      </c>
    </row>
  </sheetData>
  <printOptions>
    <extLst>
      <ext uri="smNativeData">
        <pm:pageFlags xmlns:pm="smNativeData" id="15797240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724018" l="56" r="56" t="56" b="56" borderId="0" fillId="0" vertical="0"/>
        <pm:footer xmlns:pm="smNativeData" id="1579724018" l="56" r="56" t="56" b="56" borderId="0" fillId="0" vertical="2"/>
        <pm:paperBin xmlns:pm="smNativeData" id="1579724018" Id="0" type="0" value="0"/>
        <pm:paperBin xmlns:pm="smNativeData" id="1579724018" Id="1" type="0" value="0"/>
      </ext>
    </extLst>
  </headerFooter>
  <extLst>
    <ext uri="smNativeData">
      <pm:sheetPrefs xmlns:pm="smNativeData" day="1579724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view="normal" workbookViewId="0">
      <selection activeCell="B14" sqref="B6:C8 B14"/>
    </sheetView>
  </sheetViews>
  <sheetFormatPr baseColWidth="9" defaultColWidth="10.000000" defaultRowHeight="13.45"/>
  <cols>
    <col min="1" max="1" width="19.882883" customWidth="1"/>
    <col min="2" max="2" width="9.621622" customWidth="1"/>
    <col min="3" max="3" width="13.432432" customWidth="1"/>
  </cols>
  <sheetData>
    <row r="1" spans="1:5">
      <c r="A1" s="3" t="s">
        <v>178</v>
      </c>
      <c r="D1" s="5"/>
      <c r="E1" s="5"/>
    </row>
    <row r="2" spans="1:5">
      <c r="A2" s="5" t="s">
        <v>19</v>
      </c>
      <c r="B2" s="5" t="s">
        <v>179</v>
      </c>
      <c r="C2" s="5" t="s">
        <v>180</v>
      </c>
      <c r="E2" s="5"/>
    </row>
    <row r="3" spans="1:5">
      <c r="A3" s="3"/>
      <c r="E3" s="5"/>
    </row>
    <row r="4" spans="1:5">
      <c r="A4" s="3"/>
      <c r="E4" s="5"/>
    </row>
    <row r="5" spans="5:5">
      <c r="E5" s="5"/>
    </row>
    <row r="6" spans="1:5">
      <c r="A6" t="s">
        <v>181</v>
      </c>
      <c r="B6" s="38">
        <f>(90+160)</f>
        <v>250</v>
      </c>
      <c r="C6" s="38">
        <f>B6/730.484398</f>
        <v>0.34223865791586694</v>
      </c>
      <c r="D6" s="5"/>
      <c r="E6" s="5"/>
    </row>
    <row r="7" spans="1:5">
      <c r="A7" t="s">
        <v>182</v>
      </c>
      <c r="B7" s="38">
        <f>(10/12+50/12+4)</f>
        <v>9</v>
      </c>
      <c r="C7" s="38">
        <f>B7/730.484398</f>
        <v>0.0123205916849712094</v>
      </c>
      <c r="E7" s="5"/>
    </row>
    <row r="8" spans="1:5">
      <c r="A8" t="s">
        <v>183</v>
      </c>
      <c r="B8" s="38">
        <f>(75+20/12)</f>
        <v>76.6666666666666714</v>
      </c>
      <c r="C8" s="38">
        <f>B8/730.484398</f>
        <v>0.104953188427532562</v>
      </c>
      <c r="D8" s="5"/>
      <c r="E8" s="5"/>
    </row>
    <row r="9" spans="4:4">
      <c r="D9" s="5"/>
    </row>
    <row r="11" spans="1:3">
      <c r="A11" s="18" t="s">
        <v>184</v>
      </c>
      <c r="B11" t="n">
        <v>32</v>
      </c>
      <c r="C11" t="s">
        <v>185</v>
      </c>
    </row>
    <row r="12" spans="1:3">
      <c r="A12" s="18" t="s">
        <v>186</v>
      </c>
      <c r="B12" t="n">
        <v>168</v>
      </c>
      <c r="C12" t="s">
        <v>187</v>
      </c>
    </row>
    <row r="13" spans="1:3">
      <c r="A13" s="18" t="s">
        <v>188</v>
      </c>
      <c r="B13" s="5">
        <f>B11/B12</f>
        <v>0.190476190476190474</v>
      </c>
      <c r="C13" t="s">
        <v>189</v>
      </c>
    </row>
    <row r="14" spans="1:2">
      <c r="A14" s="18" t="s">
        <v>190</v>
      </c>
      <c r="B14" s="38">
        <f>SUM(C6:C8)/B13</f>
        <v>2.41244029964895379</v>
      </c>
    </row>
  </sheetData>
  <mergeCells count="3">
    <mergeCell ref="A2:A5"/>
    <mergeCell ref="B2:B5"/>
    <mergeCell ref="C2:C5"/>
  </mergeCells>
  <printOptions>
    <extLst>
      <ext uri="smNativeData">
        <pm:pageFlags xmlns:pm="smNativeData" id="15797240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724018" l="56" r="56" t="56" b="56" borderId="0" fillId="0" vertical="0"/>
        <pm:footer xmlns:pm="smNativeData" id="1579724018" l="56" r="56" t="56" b="56" borderId="0" fillId="0" vertical="2"/>
        <pm:paperBin xmlns:pm="smNativeData" id="1579724018" Id="0" type="0" value="0"/>
        <pm:paperBin xmlns:pm="smNativeData" id="1579724018" Id="1" type="0" value="0"/>
      </ext>
    </extLst>
  </headerFooter>
  <extLst>
    <ext uri="smNativeData">
      <pm:sheetPrefs xmlns:pm="smNativeData" day="1579724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T17"/>
  <sheetViews>
    <sheetView view="normal" workbookViewId="0">
      <selection activeCell="C28" sqref="C28"/>
    </sheetView>
  </sheetViews>
  <sheetFormatPr baseColWidth="9" defaultColWidth="10.000000" defaultRowHeight="13.45"/>
  <cols>
    <col min="1" max="1" width="20.729730" customWidth="1"/>
    <col min="2" max="2" width="16.018018" customWidth="1"/>
  </cols>
  <sheetData>
    <row r="1" spans="1:5">
      <c r="A1" t="s">
        <v>191</v>
      </c>
      <c r="E1" s="5"/>
    </row>
    <row r="2" spans="1:20">
      <c r="A2" t="n">
        <v>50</v>
      </c>
      <c r="B2" t="s">
        <v>192</v>
      </c>
      <c r="C2" s="15" t="n">
        <v>43537</v>
      </c>
      <c r="D2" s="15" t="n">
        <v>43560</v>
      </c>
      <c r="E2" s="11" t="n">
        <v>43591</v>
      </c>
      <c r="F2" s="11" t="n">
        <v>43596</v>
      </c>
      <c r="G2" s="11" t="n">
        <v>43685</v>
      </c>
      <c r="H2" s="11" t="n">
        <v>43686</v>
      </c>
      <c r="I2" s="11" t="n">
        <v>43691</v>
      </c>
      <c r="J2" s="11" t="n">
        <v>43691</v>
      </c>
      <c r="K2" s="11" t="n">
        <v>43694</v>
      </c>
      <c r="L2" s="11" t="n">
        <v>43702</v>
      </c>
      <c r="M2" s="11" t="n">
        <v>43710</v>
      </c>
      <c r="N2" s="11" t="n">
        <v>43711</v>
      </c>
      <c r="O2" s="11" t="n">
        <v>43728</v>
      </c>
      <c r="P2" s="11" t="n">
        <v>43729</v>
      </c>
      <c r="Q2" s="11" t="n">
        <v>43737</v>
      </c>
      <c r="R2" s="11" t="n">
        <v>43738</v>
      </c>
      <c r="S2" s="11" t="n">
        <v>43758</v>
      </c>
      <c r="T2" s="11" t="n">
        <v>43765</v>
      </c>
    </row>
    <row r="3" spans="2:20">
      <c r="B3" t="s">
        <v>193</v>
      </c>
      <c r="C3" s="12" t="n">
        <v>1.0472222222222225</v>
      </c>
      <c r="D3" s="12" t="n">
        <v>0.816666666666666607</v>
      </c>
      <c r="E3" s="12" t="n">
        <v>0.746527777777777768</v>
      </c>
      <c r="F3" s="13" t="n">
        <v>0.981944444444444464</v>
      </c>
      <c r="G3" s="12" t="n">
        <v>0.317361111111111072</v>
      </c>
      <c r="H3" s="12" t="n">
        <v>0.929861111111111072</v>
      </c>
      <c r="I3" s="12" t="n">
        <v>0.861111111111111072</v>
      </c>
      <c r="J3" s="12" t="n">
        <v>0.8625</v>
      </c>
      <c r="K3" s="12" t="n">
        <v>0.890972222222222143</v>
      </c>
      <c r="L3" s="12" t="n">
        <v>0.64513888888888884</v>
      </c>
      <c r="M3" s="12" t="n">
        <v>0.561805555555555536</v>
      </c>
      <c r="N3" s="12" t="n">
        <v>0.936111111111111072</v>
      </c>
      <c r="O3" s="12" t="n">
        <v>0.57986111111111116</v>
      </c>
      <c r="P3" s="12" t="n">
        <v>0.553472222222222232</v>
      </c>
      <c r="Q3" s="12" t="n">
        <v>0.836805555555555536</v>
      </c>
      <c r="R3" s="12" t="n">
        <v>0.539583333333333215</v>
      </c>
      <c r="S3" s="12" t="n">
        <v>0.849305555555555536</v>
      </c>
      <c r="T3" s="12" t="n">
        <v>1.05833333333333313</v>
      </c>
    </row>
    <row r="4" spans="2:20">
      <c r="B4" t="s">
        <v>194</v>
      </c>
      <c r="C4" s="12" t="n">
        <v>1.05138888888888871</v>
      </c>
      <c r="D4" s="12" t="n">
        <v>0.85</v>
      </c>
      <c r="E4" s="12" t="n">
        <v>0.755555555555555536</v>
      </c>
      <c r="F4" s="13" t="n">
        <v>0.988194444444444109</v>
      </c>
      <c r="G4" s="12" t="n">
        <v>0.330555555555555625</v>
      </c>
      <c r="H4" s="12" t="n">
        <v>1.07986111111111116</v>
      </c>
      <c r="I4" s="12" t="n">
        <v>0.888194444444444464</v>
      </c>
      <c r="J4" s="12" t="n">
        <v>0.888194444444444464</v>
      </c>
      <c r="K4" s="12" t="n">
        <v>0.983333333333333215</v>
      </c>
      <c r="L4" s="12" t="n">
        <v>0.827083333333333215</v>
      </c>
      <c r="M4" s="12" t="n">
        <v>0.79375</v>
      </c>
      <c r="N4" s="12" t="n">
        <v>0.940277777777777857</v>
      </c>
      <c r="O4" s="12" t="n">
        <v>1.01736111111111116</v>
      </c>
      <c r="P4" s="12" t="n">
        <v>0.565277777777777768</v>
      </c>
      <c r="Q4" s="12" t="n">
        <v>1.02430555555555558</v>
      </c>
      <c r="R4" s="12" t="n">
        <v>0.930555555555555536</v>
      </c>
      <c r="S4" s="12" t="n">
        <v>0.851388888888888928</v>
      </c>
      <c r="T4" s="12" t="n">
        <v>1.06041666666666634</v>
      </c>
    </row>
    <row r="5" spans="2:20">
      <c r="B5" t="s">
        <v>195</v>
      </c>
      <c r="C5" s="12">
        <f>C4-C3</f>
        <v>0.00416666666666998253</v>
      </c>
      <c r="D5" s="12">
        <f>D4-D3</f>
        <v>0.0333333333333329929</v>
      </c>
      <c r="E5" s="12">
        <f>E4-E3</f>
        <v>0.00902777777777796686</v>
      </c>
      <c r="F5" s="12">
        <f>F4-F3</f>
        <v>0.00625000000000008882</v>
      </c>
      <c r="G5" s="12">
        <f>G4-G3</f>
        <v>0.0131944444444450082</v>
      </c>
      <c r="H5" s="12">
        <f>H4-H3</f>
        <v>0.149999999999999023</v>
      </c>
      <c r="I5" s="12">
        <f>I4-I3</f>
        <v>0.027083333333332904</v>
      </c>
      <c r="J5" s="12">
        <f>J4-J3</f>
        <v>0.0256944444444439091</v>
      </c>
      <c r="K5" s="12">
        <f>K4-K3</f>
        <v>0.092361111111110894</v>
      </c>
      <c r="L5" s="12">
        <f>L4-L3</f>
        <v>0.181944444444443914</v>
      </c>
      <c r="M5" s="12">
        <f>M4-M3</f>
        <v>0.231944444444443931</v>
      </c>
      <c r="N5" s="12">
        <f>N4-N3</f>
        <v>0.00416666666666698493</v>
      </c>
      <c r="O5" s="12">
        <f>O4-O3</f>
        <v>0.437499999999999023</v>
      </c>
      <c r="P5" s="12">
        <f>P4-P3</f>
        <v>0.0118055555555559577</v>
      </c>
      <c r="Q5" s="12">
        <f>Q4-Q3</f>
        <v>0.187500000000003997</v>
      </c>
      <c r="R5" s="12">
        <f>R4-R3</f>
        <v>0.390972222222223031</v>
      </c>
      <c r="S5" s="12">
        <f>S4-S3</f>
        <v>0.00208333333333299286</v>
      </c>
      <c r="T5" s="12">
        <f>T4-T3</f>
        <v>0.00208333333333987625</v>
      </c>
    </row>
    <row r="6" spans="2:20">
      <c r="B6" t="s">
        <v>196</v>
      </c>
      <c r="C6" s="14">
        <f>C5*24</f>
        <v>0.100000000000080003</v>
      </c>
      <c r="D6" s="14">
        <f>D5*24</f>
        <v>0.799999999999992006</v>
      </c>
      <c r="E6" s="14">
        <f>E5*24</f>
        <v>0.216666666666672025</v>
      </c>
      <c r="F6" s="14">
        <f>F5*24</f>
        <v>0.150000000000000018</v>
      </c>
      <c r="G6" s="14">
        <f>G5*24</f>
        <v>0.316666666666679975</v>
      </c>
      <c r="H6" s="14">
        <f>H5*24</f>
        <v>3.59999999999997566</v>
      </c>
      <c r="I6" s="14">
        <f>I5*24</f>
        <v>0.649999999999992006</v>
      </c>
      <c r="J6" s="14">
        <f>J5*24</f>
        <v>0.616666666666656038</v>
      </c>
      <c r="K6" s="14">
        <f>K5*24</f>
        <v>2.21666666666666412</v>
      </c>
      <c r="L6" s="14">
        <f>L5*24</f>
        <v>4.36666666666665559</v>
      </c>
      <c r="M6" s="14">
        <f>M5*24</f>
        <v>5.56666666666665577</v>
      </c>
      <c r="N6" s="14">
        <f>N5*24</f>
        <v>0.100000000000007994</v>
      </c>
      <c r="O6" s="14">
        <f>O5*24</f>
        <v>10.4999999999999751</v>
      </c>
      <c r="P6" s="14">
        <f>P5*24</f>
        <v>0.283333333333343962</v>
      </c>
      <c r="Q6" s="14">
        <f>Q5*24</f>
        <v>4.50000000000009592</v>
      </c>
      <c r="R6" s="14">
        <f>R5*24</f>
        <v>9.3833333333333524</v>
      </c>
      <c r="S6" s="14">
        <f>S5*24</f>
        <v>0.0499999999999919975</v>
      </c>
      <c r="T6" s="14">
        <f>T5*24</f>
        <v>0.0500000000001600053</v>
      </c>
    </row>
    <row r="7" spans="2:3">
      <c r="B7" t="s">
        <v>197</v>
      </c>
      <c r="C7">
        <f>SUM(C6:T6)</f>
        <v>43.4666666666669528</v>
      </c>
    </row>
    <row r="8" spans="1:5">
      <c r="A8" s="14" t="s">
        <v>198</v>
      </c>
      <c r="E8" s="14"/>
    </row>
    <row r="9" spans="1:5">
      <c r="A9" s="14" t="n">
        <v>4</v>
      </c>
      <c r="B9" t="s">
        <v>199</v>
      </c>
      <c r="C9" s="4" t="n">
        <v>43805</v>
      </c>
      <c r="D9" s="4" t="n">
        <v>43806</v>
      </c>
      <c r="E9" s="11"/>
    </row>
    <row r="10" spans="1:5">
      <c r="A10" s="14"/>
      <c r="B10" t="s">
        <v>193</v>
      </c>
      <c r="C10" s="19"/>
      <c r="D10" s="19"/>
      <c r="E10" s="12"/>
    </row>
    <row r="11" spans="1:13">
      <c r="A11" s="14"/>
      <c r="B11" t="s">
        <v>194</v>
      </c>
      <c r="C11" s="19"/>
      <c r="D11" s="19"/>
      <c r="E11" s="12"/>
      <c r="L11"/>
      <c r="M11"/>
    </row>
    <row r="12" spans="1:5">
      <c r="A12" s="14"/>
      <c r="B12" t="s">
        <v>195</v>
      </c>
      <c r="C12" s="19"/>
      <c r="D12" s="19"/>
      <c r="E12" s="12"/>
    </row>
    <row r="13" spans="1:5">
      <c r="A13" s="14"/>
      <c r="B13" t="s">
        <v>196</v>
      </c>
      <c r="C13" t="n">
        <v>1.75</v>
      </c>
      <c r="D13" t="n">
        <v>5.25</v>
      </c>
      <c r="E13" s="14"/>
    </row>
    <row r="14" spans="12:13">
      <c r="L14" s="5"/>
      <c r="M14"/>
    </row>
    <row r="15" spans="1:13">
      <c r="A15" t="s">
        <v>200</v>
      </c>
      <c r="B15">
        <f>C7/A2</f>
        <v>0.869333333333340086</v>
      </c>
      <c r="L15" s="5"/>
      <c r="M15"/>
    </row>
    <row r="16" spans="1:13">
      <c r="A16" t="s">
        <v>201</v>
      </c>
      <c r="B16">
        <f>SUM(C13:D13)/A9</f>
        <v>1.75</v>
      </c>
      <c r="L16" s="5"/>
      <c r="M16"/>
    </row>
    <row r="17" spans="12:13">
      <c r="L17" s="5"/>
      <c r="M17"/>
    </row>
  </sheetData>
  <printOptions>
    <extLst>
      <ext uri="smNativeData">
        <pm:pageFlags xmlns:pm="smNativeData" id="15797240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724018" l="56" r="56" t="56" b="56" borderId="0" fillId="0" vertical="0"/>
        <pm:footer xmlns:pm="smNativeData" id="1579724018" l="56" r="56" t="56" b="56" borderId="0" fillId="0" vertical="2"/>
        <pm:paperBin xmlns:pm="smNativeData" id="1579724018" Id="0" type="0" value="0"/>
        <pm:paperBin xmlns:pm="smNativeData" id="1579724018" Id="1" type="0" value="0"/>
      </ext>
    </extLst>
  </headerFooter>
  <extLst>
    <ext uri="smNativeData">
      <pm:sheetPrefs xmlns:pm="smNativeData" day="1579724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</cp:lastModifiedBy>
  <cp:revision>0</cp:revision>
  <dcterms:created xsi:type="dcterms:W3CDTF">2019-07-31T12:45:46Z</dcterms:created>
  <dcterms:modified xsi:type="dcterms:W3CDTF">2020-01-22T20:13:38Z</dcterms:modified>
</cp:coreProperties>
</file>