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NG INTERNSHIP\"/>
    </mc:Choice>
  </mc:AlternateContent>
  <xr:revisionPtr revIDLastSave="0" documentId="13_ncr:1_{EC6486A3-2E94-4AC3-A01D-46D869CEB9AC}" xr6:coauthVersionLast="47" xr6:coauthVersionMax="47" xr10:uidLastSave="{00000000-0000-0000-0000-000000000000}"/>
  <bookViews>
    <workbookView xWindow="-110" yWindow="-110" windowWidth="19420" windowHeight="10420" activeTab="1" xr2:uid="{7C9A13D7-1EA1-4032-8B32-11AF9A3BFFD2}"/>
  </bookViews>
  <sheets>
    <sheet name="Undervalued Company &amp; Peers" sheetId="1" r:id="rId1"/>
    <sheet name="Valuation_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J14" i="2"/>
  <c r="K14" i="2" s="1"/>
  <c r="J15" i="2"/>
  <c r="J12" i="2"/>
  <c r="H13" i="2"/>
  <c r="H14" i="2"/>
  <c r="H15" i="2"/>
  <c r="K15" i="2" s="1"/>
  <c r="H12" i="2"/>
  <c r="K12" i="2" s="1"/>
  <c r="K13" i="2"/>
  <c r="J4" i="2"/>
  <c r="K4" i="2" s="1"/>
  <c r="J5" i="2"/>
  <c r="K5" i="2" s="1"/>
  <c r="H4" i="2"/>
  <c r="H5" i="2"/>
  <c r="H6" i="2"/>
  <c r="J6" i="2" s="1"/>
  <c r="K6" i="2" s="1"/>
  <c r="H3" i="2"/>
  <c r="J3" i="2" s="1"/>
  <c r="K3" i="2" s="1"/>
  <c r="D8" i="1"/>
  <c r="J8" i="1"/>
  <c r="E8" i="1"/>
  <c r="J7" i="1"/>
  <c r="H7" i="1"/>
  <c r="E38" i="1"/>
  <c r="D38" i="1"/>
  <c r="J37" i="1"/>
  <c r="J36" i="1"/>
  <c r="J35" i="1"/>
  <c r="J34" i="1"/>
  <c r="D28" i="1"/>
  <c r="E28" i="1"/>
  <c r="H27" i="1"/>
  <c r="J27" i="1" s="1"/>
  <c r="H26" i="1"/>
  <c r="J26" i="1" s="1"/>
  <c r="H24" i="1"/>
  <c r="J24" i="1" s="1"/>
  <c r="J28" i="1" s="1"/>
  <c r="J25" i="1"/>
  <c r="E18" i="1"/>
  <c r="D18" i="1"/>
  <c r="J17" i="1"/>
  <c r="J14" i="1"/>
  <c r="J16" i="1"/>
  <c r="J15" i="1"/>
  <c r="H6" i="1"/>
  <c r="J6" i="1" s="1"/>
  <c r="J5" i="1"/>
  <c r="H4" i="1"/>
  <c r="J4" i="1" s="1"/>
  <c r="J18" i="1" l="1"/>
  <c r="J38" i="1"/>
</calcChain>
</file>

<file path=xl/sharedStrings.xml><?xml version="1.0" encoding="utf-8"?>
<sst xmlns="http://schemas.openxmlformats.org/spreadsheetml/2006/main" count="137" uniqueCount="61">
  <si>
    <t>Company Name</t>
  </si>
  <si>
    <t>Sector</t>
  </si>
  <si>
    <t>Gross Margin (%)</t>
  </si>
  <si>
    <t>Gross Profit Growth (GPG) (%)</t>
  </si>
  <si>
    <t>Gross Profit (GP) ($M)</t>
  </si>
  <si>
    <t>Previous GP ($M)</t>
  </si>
  <si>
    <t>Price to Sales Ratio (P/S)</t>
  </si>
  <si>
    <t>Price to Earning Ratio (P/E)</t>
  </si>
  <si>
    <t>Atlanticus Holdings Corp</t>
  </si>
  <si>
    <t xml:space="preserve">Market Capitalization($) </t>
  </si>
  <si>
    <t>Total Revenue ($M)</t>
  </si>
  <si>
    <t>EZCorp, Inc. (sector peer)</t>
  </si>
  <si>
    <t>549.42M</t>
  </si>
  <si>
    <t>Oppenheimer Holdings Inc (sector peer)</t>
  </si>
  <si>
    <t>551.07M</t>
  </si>
  <si>
    <t>FINANCIAL SECTOR</t>
  </si>
  <si>
    <t>SECTOR AVERAGE</t>
  </si>
  <si>
    <t>TECHNOLOGY SECTOR</t>
  </si>
  <si>
    <t>TECHNOLOGY</t>
  </si>
  <si>
    <t>Diebold Nixdorf Inc</t>
  </si>
  <si>
    <t>3.39B</t>
  </si>
  <si>
    <t>1.04B</t>
  </si>
  <si>
    <t>272.13M</t>
  </si>
  <si>
    <t>111.0M</t>
  </si>
  <si>
    <t>492.58M</t>
  </si>
  <si>
    <t>REAL ESTATE SECTOR</t>
  </si>
  <si>
    <t>Canadian Solar Inc (sector peer)</t>
  </si>
  <si>
    <t>Rimini Street Inc. (sector peer)</t>
  </si>
  <si>
    <t>Telesat Corp (sector peer)</t>
  </si>
  <si>
    <t>62.29M</t>
  </si>
  <si>
    <t>Ready Capital Corp</t>
  </si>
  <si>
    <t>1.57B</t>
  </si>
  <si>
    <t>Comstock Holding Co. Inc (sector peer)</t>
  </si>
  <si>
    <t>5.62B</t>
  </si>
  <si>
    <t>128.83M</t>
  </si>
  <si>
    <t>Rithm Capital Corporation (sector peer)</t>
  </si>
  <si>
    <t>Sachem Capital Corp (sector peer)</t>
  </si>
  <si>
    <t>COMMUNICATION  SERVICES SECTOR</t>
  </si>
  <si>
    <t>Fox Corporation</t>
  </si>
  <si>
    <t xml:space="preserve">REAL ESTATE </t>
  </si>
  <si>
    <t>COMMUNICATION  SERVICES</t>
  </si>
  <si>
    <t>FINANCIAL</t>
  </si>
  <si>
    <t>17.22B</t>
  </si>
  <si>
    <t>7,21B</t>
  </si>
  <si>
    <t>2.63B</t>
  </si>
  <si>
    <t>14.39B</t>
  </si>
  <si>
    <t>85.06M</t>
  </si>
  <si>
    <t>Fanhua Inc ADR (sector peer)</t>
  </si>
  <si>
    <t>Liberty Media Corp (sector peer)</t>
  </si>
  <si>
    <t>TEGNA Inc (sector peer)</t>
  </si>
  <si>
    <t>Telefonica Brasil S.A., ADR (sector peer)</t>
  </si>
  <si>
    <t>VALUATION MODEL USING DCF</t>
  </si>
  <si>
    <t>Future GP (4 Years) ($M)</t>
  </si>
  <si>
    <t>ADJUSTED VALUATION MODEL USING ADDITIONAL VARIABLE</t>
  </si>
  <si>
    <t>Present Value Using DCF ($M)</t>
  </si>
  <si>
    <t>Discount Rate (%)</t>
  </si>
  <si>
    <t>Undervalued/Overvalued</t>
  </si>
  <si>
    <t xml:space="preserve">Market Capitalization($M) </t>
  </si>
  <si>
    <t>Adjusted Present Value Using DCF ($M)</t>
  </si>
  <si>
    <t>Market Condition = +5% on GP</t>
  </si>
  <si>
    <t xml:space="preserve">Adjusted Future GP (Future GP * 1.05) ($M)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</si>
</sst>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2" borderId="0" xfId="0" applyFill="1" applyAlignment="1">
      <alignment horizontal="center" wrapText="1"/>
    </xf>
    <xf numFmtId="4" fontId="1" fillId="3" borderId="0" xfId="0" applyNumberFormat="1" applyFont="1" applyFill="1" applyAlignment="1">
      <alignment horizontal="center"/>
    </xf>
    <xf numFmtId="4" fontId="0" fillId="0" borderId="0" xfId="0" applyNumberFormat="1"/>
    <xf numFmtId="4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 wrapText="1"/>
    </xf>
    <xf numFmtId="4" fontId="2" fillId="0" borderId="0" xfId="0" applyNumberFormat="1" applyFont="1"/>
    <xf numFmtId="4" fontId="0" fillId="5" borderId="0" xfId="0" applyNumberFormat="1" applyFill="1"/>
    <xf numFmtId="4" fontId="0" fillId="4" borderId="0" xfId="0" applyNumberFormat="1" applyFill="1"/>
    <xf numFmtId="0" fontId="0" fillId="2" borderId="0" xfId="0" applyFill="1"/>
    <xf numFmtId="0" fontId="0" fillId="2" borderId="0" xfId="0" applyFill="1" applyAlignment="1">
      <alignment wrapText="1"/>
    </xf>
    <xf numFmtId="4" fontId="1" fillId="3" borderId="0" xfId="0" applyNumberFormat="1" applyFont="1" applyFill="1"/>
    <xf numFmtId="4" fontId="1" fillId="3" borderId="0" xfId="0" applyNumberFormat="1" applyFont="1" applyFill="1" applyAlignment="1">
      <alignment horizontal="center" wrapText="1"/>
    </xf>
    <xf numFmtId="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Valuation</a:t>
            </a:r>
            <a:r>
              <a:rPr lang="en-US" baseline="0"/>
              <a:t> Model on GP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Valuation_Model!$F$2</c:f>
              <c:strCache>
                <c:ptCount val="1"/>
                <c:pt idx="0">
                  <c:v>Gross Profit (GP) ($M)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Valuation_Model!$A$3:$A$6</c:f>
              <c:strCache>
                <c:ptCount val="4"/>
                <c:pt idx="0">
                  <c:v>Atlanticus Holdings Corp</c:v>
                </c:pt>
                <c:pt idx="1">
                  <c:v>Diebold Nixdorf Inc</c:v>
                </c:pt>
                <c:pt idx="2">
                  <c:v>Ready Capital Corp</c:v>
                </c:pt>
                <c:pt idx="3">
                  <c:v>Fox Corporation</c:v>
                </c:pt>
              </c:strCache>
            </c:strRef>
          </c:cat>
          <c:val>
            <c:numRef>
              <c:f>Valuation_Model!$F$3:$F$6</c:f>
              <c:numCache>
                <c:formatCode>#,##0.00</c:formatCode>
                <c:ptCount val="4"/>
                <c:pt idx="0">
                  <c:v>1079.67</c:v>
                </c:pt>
                <c:pt idx="1">
                  <c:v>891.6</c:v>
                </c:pt>
                <c:pt idx="2">
                  <c:v>1089.31</c:v>
                </c:pt>
                <c:pt idx="3">
                  <c:v>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E-4C8D-BD65-64B3981C3C3F}"/>
            </c:ext>
          </c:extLst>
        </c:ser>
        <c:ser>
          <c:idx val="1"/>
          <c:order val="1"/>
          <c:tx>
            <c:strRef>
              <c:f>Valuation_Model!$H$2</c:f>
              <c:strCache>
                <c:ptCount val="1"/>
                <c:pt idx="0">
                  <c:v>Future GP (4 Years) ($M)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Valuation_Model!$A$3:$A$6</c:f>
              <c:strCache>
                <c:ptCount val="4"/>
                <c:pt idx="0">
                  <c:v>Atlanticus Holdings Corp</c:v>
                </c:pt>
                <c:pt idx="1">
                  <c:v>Diebold Nixdorf Inc</c:v>
                </c:pt>
                <c:pt idx="2">
                  <c:v>Ready Capital Corp</c:v>
                </c:pt>
                <c:pt idx="3">
                  <c:v>Fox Corporation</c:v>
                </c:pt>
              </c:strCache>
            </c:strRef>
          </c:cat>
          <c:val>
            <c:numRef>
              <c:f>Valuation_Model!$H$3:$H$6</c:f>
              <c:numCache>
                <c:formatCode>#,##0.00</c:formatCode>
                <c:ptCount val="4"/>
                <c:pt idx="0">
                  <c:v>1195.0125222679394</c:v>
                </c:pt>
                <c:pt idx="1">
                  <c:v>956.04526086006786</c:v>
                </c:pt>
                <c:pt idx="2">
                  <c:v>1261.1565567031446</c:v>
                </c:pt>
                <c:pt idx="3">
                  <c:v>3226.0516561147529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E-4C8D-BD65-64B3981C3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1209296"/>
        <c:axId val="1651216016"/>
      </c:barChart>
      <c:catAx>
        <c:axId val="165120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16016"/>
        <c:crosses val="autoZero"/>
        <c:auto val="1"/>
        <c:lblAlgn val="ctr"/>
        <c:lblOffset val="100"/>
        <c:noMultiLvlLbl val="0"/>
      </c:catAx>
      <c:valAx>
        <c:axId val="16512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Valuation_Model!$C$2</c:f>
              <c:strCache>
                <c:ptCount val="1"/>
                <c:pt idx="0">
                  <c:v>Market Capitalization($M)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E3-4463-AAF0-DFAE4BE3419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4A7-4C1E-B218-EA2DA83E382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A7-4C1E-B218-EA2DA83E382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A7-4C1E-B218-EA2DA83E3824}"/>
              </c:ext>
            </c:extLst>
          </c:dPt>
          <c:dLbls>
            <c:dLbl>
              <c:idx val="3"/>
              <c:layout>
                <c:manualLayout>
                  <c:x val="-2.3949654222216305E-2"/>
                  <c:y val="-4.318829305215352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A7-4C1E-B218-EA2DA83E38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Valuation_Model!$B$3:$B$6</c:f>
              <c:strCache>
                <c:ptCount val="4"/>
                <c:pt idx="0">
                  <c:v>FINANCIAL</c:v>
                </c:pt>
                <c:pt idx="1">
                  <c:v>TECHNOLOGY</c:v>
                </c:pt>
                <c:pt idx="2">
                  <c:v>REAL ESTATE </c:v>
                </c:pt>
                <c:pt idx="3">
                  <c:v>COMMUNICATION  SERVICES</c:v>
                </c:pt>
              </c:strCache>
            </c:strRef>
          </c:cat>
          <c:val>
            <c:numRef>
              <c:f>Valuation_Model!$C$3:$C$6</c:f>
              <c:numCache>
                <c:formatCode>#,##0.00</c:formatCode>
                <c:ptCount val="4"/>
                <c:pt idx="0">
                  <c:v>492.58</c:v>
                </c:pt>
                <c:pt idx="1">
                  <c:v>3390</c:v>
                </c:pt>
                <c:pt idx="2">
                  <c:v>1570</c:v>
                </c:pt>
                <c:pt idx="3">
                  <c:v>17220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7-4C1E-B218-EA2DA83E3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Conditions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Valuation_Model!$F$11</c:f>
              <c:strCache>
                <c:ptCount val="1"/>
                <c:pt idx="0">
                  <c:v>Gross Profit (GP) ($M)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Valuation_Model!$A$12:$A$15</c:f>
              <c:strCache>
                <c:ptCount val="4"/>
                <c:pt idx="0">
                  <c:v>Atlanticus Holdings Corp</c:v>
                </c:pt>
                <c:pt idx="1">
                  <c:v>Diebold Nixdorf Inc</c:v>
                </c:pt>
                <c:pt idx="2">
                  <c:v>Ready Capital Corp</c:v>
                </c:pt>
                <c:pt idx="3">
                  <c:v>Fox Corporation</c:v>
                </c:pt>
              </c:strCache>
            </c:strRef>
          </c:cat>
          <c:val>
            <c:numRef>
              <c:f>Valuation_Model!$F$12:$F$15</c:f>
              <c:numCache>
                <c:formatCode>#,##0.00</c:formatCode>
                <c:ptCount val="4"/>
                <c:pt idx="0">
                  <c:v>1079.67</c:v>
                </c:pt>
                <c:pt idx="1">
                  <c:v>891.6</c:v>
                </c:pt>
                <c:pt idx="2">
                  <c:v>1089.31</c:v>
                </c:pt>
                <c:pt idx="3">
                  <c:v>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0-419F-B63C-705356E393CC}"/>
            </c:ext>
          </c:extLst>
        </c:ser>
        <c:ser>
          <c:idx val="1"/>
          <c:order val="1"/>
          <c:tx>
            <c:strRef>
              <c:f>Valuation_Model!$H$11</c:f>
              <c:strCache>
                <c:ptCount val="1"/>
                <c:pt idx="0">
                  <c:v>Adjusted Future GP (Future GP * 1.05) ($M)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Valuation_Model!$A$12:$A$15</c:f>
              <c:strCache>
                <c:ptCount val="4"/>
                <c:pt idx="0">
                  <c:v>Atlanticus Holdings Corp</c:v>
                </c:pt>
                <c:pt idx="1">
                  <c:v>Diebold Nixdorf Inc</c:v>
                </c:pt>
                <c:pt idx="2">
                  <c:v>Ready Capital Corp</c:v>
                </c:pt>
                <c:pt idx="3">
                  <c:v>Fox Corporation</c:v>
                </c:pt>
              </c:strCache>
            </c:strRef>
          </c:cat>
          <c:val>
            <c:numRef>
              <c:f>Valuation_Model!$H$12:$H$15</c:f>
              <c:numCache>
                <c:formatCode>#,##0.00</c:formatCode>
                <c:ptCount val="4"/>
                <c:pt idx="0">
                  <c:v>1254.7631483813364</c:v>
                </c:pt>
                <c:pt idx="1">
                  <c:v>1003.8475239030713</c:v>
                </c:pt>
                <c:pt idx="2">
                  <c:v>1324.2143845383018</c:v>
                </c:pt>
                <c:pt idx="3">
                  <c:v>3387.3542389204908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0-419F-B63C-705356E39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8261248"/>
        <c:axId val="208262208"/>
      </c:barChart>
      <c:catAx>
        <c:axId val="2082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2208"/>
        <c:crosses val="autoZero"/>
        <c:auto val="1"/>
        <c:lblAlgn val="ctr"/>
        <c:lblOffset val="100"/>
        <c:noMultiLvlLbl val="0"/>
      </c:catAx>
      <c:valAx>
        <c:axId val="2082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 Valuation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Valuation_Model!$C$11</c:f>
              <c:strCache>
                <c:ptCount val="1"/>
                <c:pt idx="0">
                  <c:v>Market Capitalization($M)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Valuation_Model!$A$12:$A$15</c:f>
              <c:strCache>
                <c:ptCount val="4"/>
                <c:pt idx="0">
                  <c:v>Atlanticus Holdings Corp</c:v>
                </c:pt>
                <c:pt idx="1">
                  <c:v>Diebold Nixdorf Inc</c:v>
                </c:pt>
                <c:pt idx="2">
                  <c:v>Ready Capital Corp</c:v>
                </c:pt>
                <c:pt idx="3">
                  <c:v>Fox Corporation</c:v>
                </c:pt>
              </c:strCache>
            </c:strRef>
          </c:cat>
          <c:val>
            <c:numRef>
              <c:f>Valuation_Model!$C$12:$C$15</c:f>
              <c:numCache>
                <c:formatCode>#,##0.00</c:formatCode>
                <c:ptCount val="4"/>
                <c:pt idx="0">
                  <c:v>492.58</c:v>
                </c:pt>
                <c:pt idx="1">
                  <c:v>3390</c:v>
                </c:pt>
                <c:pt idx="2">
                  <c:v>1570</c:v>
                </c:pt>
                <c:pt idx="3">
                  <c:v>17220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2-41D7-A401-0779D7AF0AB8}"/>
            </c:ext>
          </c:extLst>
        </c:ser>
        <c:ser>
          <c:idx val="1"/>
          <c:order val="1"/>
          <c:tx>
            <c:strRef>
              <c:f>Valuation_Model!$J$11</c:f>
              <c:strCache>
                <c:ptCount val="1"/>
                <c:pt idx="0">
                  <c:v>Adjusted Present Value Using DCF ($M)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Valuation_Model!$A$12:$A$15</c:f>
              <c:strCache>
                <c:ptCount val="4"/>
                <c:pt idx="0">
                  <c:v>Atlanticus Holdings Corp</c:v>
                </c:pt>
                <c:pt idx="1">
                  <c:v>Diebold Nixdorf Inc</c:v>
                </c:pt>
                <c:pt idx="2">
                  <c:v>Ready Capital Corp</c:v>
                </c:pt>
                <c:pt idx="3">
                  <c:v>Fox Corporation</c:v>
                </c:pt>
              </c:strCache>
            </c:strRef>
          </c:cat>
          <c:val>
            <c:numRef>
              <c:f>Valuation_Model!$J$12:$J$15</c:f>
              <c:numCache>
                <c:formatCode>0.00</c:formatCode>
                <c:ptCount val="4"/>
                <c:pt idx="0">
                  <c:v>857.02011364069119</c:v>
                </c:pt>
                <c:pt idx="1">
                  <c:v>685.64136596070693</c:v>
                </c:pt>
                <c:pt idx="2">
                  <c:v>904.45624242763574</c:v>
                </c:pt>
                <c:pt idx="3">
                  <c:v>2313.6085232706032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2-41D7-A401-0779D7AF0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4354528"/>
        <c:axId val="209721760"/>
      </c:barChart>
      <c:catAx>
        <c:axId val="16543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1760"/>
        <c:crosses val="autoZero"/>
        <c:auto val="1"/>
        <c:lblAlgn val="ctr"/>
        <c:lblOffset val="100"/>
        <c:noMultiLvlLbl val="0"/>
      </c:catAx>
      <c:valAx>
        <c:axId val="2097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METRICS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Valuation_Model!$D$2</c:f>
              <c:strCache>
                <c:ptCount val="1"/>
                <c:pt idx="0">
                  <c:v>Price to Earning Ratio (P/E)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Valuation_Model!$A$3:$A$6</c:f>
              <c:strCache>
                <c:ptCount val="4"/>
                <c:pt idx="0">
                  <c:v>Atlanticus Holdings Corp</c:v>
                </c:pt>
                <c:pt idx="1">
                  <c:v>Diebold Nixdorf Inc</c:v>
                </c:pt>
                <c:pt idx="2">
                  <c:v>Ready Capital Corp</c:v>
                </c:pt>
                <c:pt idx="3">
                  <c:v>Fox Corporation</c:v>
                </c:pt>
              </c:strCache>
            </c:strRef>
          </c:cat>
          <c:val>
            <c:numRef>
              <c:f>Valuation_Model!$D$3:$D$6</c:f>
              <c:numCache>
                <c:formatCode>#,##0.00</c:formatCode>
                <c:ptCount val="4"/>
                <c:pt idx="0">
                  <c:v>7.84</c:v>
                </c:pt>
                <c:pt idx="1">
                  <c:v>0.88</c:v>
                </c:pt>
                <c:pt idx="2">
                  <c:v>5.87</c:v>
                </c:pt>
                <c:pt idx="3">
                  <c:v>11.55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A-40A9-9FB2-01E3F2B46F5D}"/>
            </c:ext>
          </c:extLst>
        </c:ser>
        <c:ser>
          <c:idx val="1"/>
          <c:order val="1"/>
          <c:tx>
            <c:strRef>
              <c:f>Valuation_Model!$E$2</c:f>
              <c:strCache>
                <c:ptCount val="1"/>
                <c:pt idx="0">
                  <c:v>Price to Sales Ratio (P/S)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Valuation_Model!$A$3:$A$6</c:f>
              <c:strCache>
                <c:ptCount val="4"/>
                <c:pt idx="0">
                  <c:v>Atlanticus Holdings Corp</c:v>
                </c:pt>
                <c:pt idx="1">
                  <c:v>Diebold Nixdorf Inc</c:v>
                </c:pt>
                <c:pt idx="2">
                  <c:v>Ready Capital Corp</c:v>
                </c:pt>
                <c:pt idx="3">
                  <c:v>Fox Corporation</c:v>
                </c:pt>
              </c:strCache>
            </c:strRef>
          </c:cat>
          <c:val>
            <c:numRef>
              <c:f>Valuation_Model!$E$3:$E$6</c:f>
              <c:numCache>
                <c:formatCode>#,##0.00</c:formatCode>
                <c:ptCount val="4"/>
                <c:pt idx="0">
                  <c:v>0.47</c:v>
                </c:pt>
                <c:pt idx="1">
                  <c:v>0.34</c:v>
                </c:pt>
                <c:pt idx="2">
                  <c:v>1.31</c:v>
                </c:pt>
                <c:pt idx="3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A-40A9-9FB2-01E3F2B46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7379520"/>
        <c:axId val="1707380000"/>
      </c:barChart>
      <c:catAx>
        <c:axId val="170737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80000"/>
        <c:crosses val="autoZero"/>
        <c:auto val="1"/>
        <c:lblAlgn val="ctr"/>
        <c:lblOffset val="100"/>
        <c:noMultiLvlLbl val="0"/>
      </c:catAx>
      <c:valAx>
        <c:axId val="17073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104775</xdr:rowOff>
    </xdr:from>
    <xdr:to>
      <xdr:col>1</xdr:col>
      <xdr:colOff>1679575</xdr:colOff>
      <xdr:row>28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9DA58-2009-5219-23D0-BBD7A8E99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16</xdr:row>
      <xdr:rowOff>60325</xdr:rowOff>
    </xdr:from>
    <xdr:to>
      <xdr:col>4</xdr:col>
      <xdr:colOff>1047750</xdr:colOff>
      <xdr:row>28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A76EE3-EA55-DA76-42DE-FCA6217BB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1419225</xdr:colOff>
      <xdr:row>16</xdr:row>
      <xdr:rowOff>3175</xdr:rowOff>
    </xdr:from>
    <xdr:to>
      <xdr:col>7</xdr:col>
      <xdr:colOff>666750</xdr:colOff>
      <xdr:row>28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DB8F08-16AB-F6E4-DF8E-5B9B83B34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790575</xdr:colOff>
      <xdr:row>16</xdr:row>
      <xdr:rowOff>41275</xdr:rowOff>
    </xdr:from>
    <xdr:to>
      <xdr:col>11</xdr:col>
      <xdr:colOff>203200</xdr:colOff>
      <xdr:row>28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291336-A2E4-9605-F37C-3235B08CC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</xdr:col>
      <xdr:colOff>1673225</xdr:colOff>
      <xdr:row>42</xdr:row>
      <xdr:rowOff>73025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73D1A7-8B00-442A-A900-AADCEDCD3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DFF1-1BF6-42AB-AD89-A228528368DA}">
  <dimension ref="A2:J38"/>
  <sheetViews>
    <sheetView workbookViewId="0">
      <selection activeCell="E8" sqref="E8"/>
    </sheetView>
  </sheetViews>
  <sheetFormatPr defaultRowHeight="14.5" x14ac:dyDescent="0.35"/>
  <cols>
    <col min="1" max="1" width="37.54296875" bestFit="1" customWidth="1"/>
    <col min="2" max="2" width="27.08984375" customWidth="1"/>
    <col min="3" max="3" width="22.90625" customWidth="1"/>
    <col min="4" max="4" width="13.26953125" customWidth="1"/>
    <col min="5" max="5" width="13.81640625" customWidth="1"/>
    <col min="6" max="6" width="17.7265625" bestFit="1" customWidth="1"/>
    <col min="7" max="7" width="18.26953125" customWidth="1"/>
    <col min="8" max="8" width="19.1796875" bestFit="1" customWidth="1"/>
    <col min="9" max="9" width="18.7265625" customWidth="1"/>
    <col min="10" max="10" width="15.26953125" customWidth="1"/>
  </cols>
  <sheetData>
    <row r="2" spans="1:10" x14ac:dyDescent="0.35">
      <c r="A2" s="4" t="s">
        <v>15</v>
      </c>
      <c r="B2" s="5"/>
      <c r="C2" s="5"/>
      <c r="D2" s="5"/>
      <c r="E2" s="5"/>
      <c r="F2" s="5"/>
      <c r="G2" s="5"/>
      <c r="H2" s="5"/>
      <c r="I2" s="5"/>
      <c r="J2" s="5"/>
    </row>
    <row r="3" spans="1:10" s="1" customFormat="1" ht="43.5" x14ac:dyDescent="0.35">
      <c r="A3" s="6" t="s">
        <v>0</v>
      </c>
      <c r="B3" s="6" t="s">
        <v>1</v>
      </c>
      <c r="C3" s="6" t="s">
        <v>9</v>
      </c>
      <c r="D3" s="7" t="s">
        <v>7</v>
      </c>
      <c r="E3" s="7" t="s">
        <v>6</v>
      </c>
      <c r="F3" s="6" t="s">
        <v>10</v>
      </c>
      <c r="G3" s="6" t="s">
        <v>2</v>
      </c>
      <c r="H3" s="6" t="s">
        <v>4</v>
      </c>
      <c r="I3" s="6" t="s">
        <v>5</v>
      </c>
      <c r="J3" s="7" t="s">
        <v>3</v>
      </c>
    </row>
    <row r="4" spans="1:10" x14ac:dyDescent="0.35">
      <c r="A4" s="5" t="s">
        <v>8</v>
      </c>
      <c r="B4" s="5" t="s">
        <v>41</v>
      </c>
      <c r="C4" s="5" t="s">
        <v>24</v>
      </c>
      <c r="D4" s="5">
        <v>7.84</v>
      </c>
      <c r="E4" s="5">
        <v>0.47</v>
      </c>
      <c r="F4" s="5">
        <v>1185.54</v>
      </c>
      <c r="G4" s="5">
        <v>91.07</v>
      </c>
      <c r="H4" s="5">
        <f>$F4*($G4 / 100)</f>
        <v>1079.6712779999998</v>
      </c>
      <c r="I4" s="5">
        <v>1052.6500000000001</v>
      </c>
      <c r="J4" s="5">
        <f xml:space="preserve"> (($H4 - $I4) / $I4 )* 100</f>
        <v>2.5669764879114338</v>
      </c>
    </row>
    <row r="5" spans="1:10" x14ac:dyDescent="0.35">
      <c r="A5" s="5" t="s">
        <v>11</v>
      </c>
      <c r="B5" s="5" t="s">
        <v>41</v>
      </c>
      <c r="C5" s="5" t="s">
        <v>12</v>
      </c>
      <c r="D5" s="5">
        <v>9.98</v>
      </c>
      <c r="E5" s="5">
        <v>0.85</v>
      </c>
      <c r="F5" s="5">
        <v>1111.92</v>
      </c>
      <c r="G5" s="5">
        <v>55.34</v>
      </c>
      <c r="H5" s="5">
        <v>615.36</v>
      </c>
      <c r="I5" s="5">
        <v>577.71</v>
      </c>
      <c r="J5" s="5">
        <f xml:space="preserve"> (($H5 - $I5) / $I5 )* 100</f>
        <v>6.5171106610583118</v>
      </c>
    </row>
    <row r="6" spans="1:10" x14ac:dyDescent="0.35">
      <c r="A6" s="5" t="s">
        <v>13</v>
      </c>
      <c r="B6" s="5" t="s">
        <v>41</v>
      </c>
      <c r="C6" s="5" t="s">
        <v>14</v>
      </c>
      <c r="D6" s="5">
        <v>14.39</v>
      </c>
      <c r="E6" s="5">
        <v>0.34</v>
      </c>
      <c r="F6" s="5">
        <v>1280.28</v>
      </c>
      <c r="G6" s="5">
        <v>95.14</v>
      </c>
      <c r="H6" s="5">
        <f>$F6*($G6 / 100)</f>
        <v>1218.0583919999999</v>
      </c>
      <c r="I6" s="5">
        <v>1185.8499999999999</v>
      </c>
      <c r="J6" s="5">
        <f xml:space="preserve"> (($H6 - $I6) / $I6 )* 100</f>
        <v>2.7160595353543879</v>
      </c>
    </row>
    <row r="7" spans="1:10" x14ac:dyDescent="0.35">
      <c r="A7" s="5" t="s">
        <v>47</v>
      </c>
      <c r="B7" s="5" t="s">
        <v>41</v>
      </c>
      <c r="C7" s="5" t="s">
        <v>46</v>
      </c>
      <c r="D7" s="5">
        <v>2.0699999999999998</v>
      </c>
      <c r="E7" s="5">
        <v>0.79</v>
      </c>
      <c r="F7" s="5">
        <v>448.69</v>
      </c>
      <c r="G7" s="5">
        <v>32.93</v>
      </c>
      <c r="H7" s="5">
        <f>$F7*($G7 / 100)</f>
        <v>147.75361699999999</v>
      </c>
      <c r="I7" s="5">
        <v>143.52000000000001</v>
      </c>
      <c r="J7" s="5">
        <f xml:space="preserve"> (($H7 - $I7) / $I7 )* 100</f>
        <v>2.9498446209587379</v>
      </c>
    </row>
    <row r="8" spans="1:10" x14ac:dyDescent="0.35">
      <c r="A8" s="10" t="s">
        <v>16</v>
      </c>
      <c r="B8" s="5"/>
      <c r="C8" s="5"/>
      <c r="D8" s="5">
        <f>(D4 +D5 +D6+D7)/4</f>
        <v>8.57</v>
      </c>
      <c r="E8" s="5">
        <f>(E4 + E5 + E6 + E7)/4</f>
        <v>0.61250000000000004</v>
      </c>
      <c r="F8" s="5"/>
      <c r="G8" s="5"/>
      <c r="H8" s="5"/>
      <c r="I8" s="5"/>
      <c r="J8" s="5">
        <f>(J4 + J5 + J6 + J7)/4</f>
        <v>3.6874978263207177</v>
      </c>
    </row>
    <row r="12" spans="1:10" x14ac:dyDescent="0.35">
      <c r="A12" s="4" t="s">
        <v>17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ht="43.5" x14ac:dyDescent="0.35">
      <c r="A13" s="6" t="s">
        <v>0</v>
      </c>
      <c r="B13" s="6" t="s">
        <v>1</v>
      </c>
      <c r="C13" s="6" t="s">
        <v>9</v>
      </c>
      <c r="D13" s="7" t="s">
        <v>7</v>
      </c>
      <c r="E13" s="7" t="s">
        <v>6</v>
      </c>
      <c r="F13" s="6" t="s">
        <v>10</v>
      </c>
      <c r="G13" s="6" t="s">
        <v>2</v>
      </c>
      <c r="H13" s="6" t="s">
        <v>4</v>
      </c>
      <c r="I13" s="6" t="s">
        <v>5</v>
      </c>
      <c r="J13" s="7" t="s">
        <v>3</v>
      </c>
    </row>
    <row r="14" spans="1:10" ht="16" x14ac:dyDescent="0.45">
      <c r="A14" s="8" t="s">
        <v>19</v>
      </c>
      <c r="B14" s="5" t="s">
        <v>18</v>
      </c>
      <c r="C14" s="5" t="s">
        <v>20</v>
      </c>
      <c r="D14" s="5">
        <v>0.88</v>
      </c>
      <c r="E14" s="5">
        <v>0.34</v>
      </c>
      <c r="F14" s="5">
        <v>3797.8</v>
      </c>
      <c r="G14" s="5">
        <v>23.48</v>
      </c>
      <c r="H14" s="5">
        <v>891.6</v>
      </c>
      <c r="I14" s="5">
        <v>876.2</v>
      </c>
      <c r="J14" s="5">
        <f xml:space="preserve"> (($H14 - $I14) / $I14 )* 100</f>
        <v>1.7575895914174819</v>
      </c>
    </row>
    <row r="15" spans="1:10" x14ac:dyDescent="0.35">
      <c r="A15" s="5" t="s">
        <v>26</v>
      </c>
      <c r="B15" s="5" t="s">
        <v>18</v>
      </c>
      <c r="C15" s="5" t="s">
        <v>21</v>
      </c>
      <c r="D15" s="5">
        <v>5.07</v>
      </c>
      <c r="E15" s="5">
        <v>0.18</v>
      </c>
      <c r="F15" s="5">
        <v>7241.46</v>
      </c>
      <c r="G15" s="5">
        <v>24.97</v>
      </c>
      <c r="H15" s="5">
        <v>1808.27</v>
      </c>
      <c r="I15" s="5">
        <v>1279.98</v>
      </c>
      <c r="J15" s="5">
        <f xml:space="preserve"> (($H15 - $I15) / $I15 )* 100</f>
        <v>41.273301145330393</v>
      </c>
    </row>
    <row r="16" spans="1:10" x14ac:dyDescent="0.35">
      <c r="A16" s="5" t="s">
        <v>27</v>
      </c>
      <c r="B16" s="5" t="s">
        <v>18</v>
      </c>
      <c r="C16" s="5" t="s">
        <v>22</v>
      </c>
      <c r="D16" s="5">
        <v>12.4</v>
      </c>
      <c r="E16" s="5">
        <v>0.68</v>
      </c>
      <c r="F16" s="5">
        <v>432.73</v>
      </c>
      <c r="G16" s="5">
        <v>61.62</v>
      </c>
      <c r="H16" s="5">
        <v>266.64999999999998</v>
      </c>
      <c r="I16" s="5">
        <v>268.98</v>
      </c>
      <c r="J16" s="5">
        <f xml:space="preserve"> (($H16 - $I16) / $I16 )* 100</f>
        <v>-0.86623540783702901</v>
      </c>
    </row>
    <row r="17" spans="1:10" x14ac:dyDescent="0.35">
      <c r="A17" s="5" t="s">
        <v>28</v>
      </c>
      <c r="B17" s="5" t="s">
        <v>18</v>
      </c>
      <c r="C17" s="5" t="s">
        <v>23</v>
      </c>
      <c r="D17" s="5">
        <v>1.1000000000000001</v>
      </c>
      <c r="E17" s="5">
        <v>0.23</v>
      </c>
      <c r="F17" s="5">
        <v>499.02</v>
      </c>
      <c r="G17" s="5">
        <v>49.95</v>
      </c>
      <c r="H17" s="5">
        <v>249.28</v>
      </c>
      <c r="I17" s="5">
        <v>260.77999999999997</v>
      </c>
      <c r="J17" s="5">
        <f xml:space="preserve"> (($H17 - $I17) / $I17 )* 100</f>
        <v>-4.4098473809341101</v>
      </c>
    </row>
    <row r="18" spans="1:10" x14ac:dyDescent="0.35">
      <c r="A18" s="9" t="s">
        <v>16</v>
      </c>
      <c r="B18" s="5"/>
      <c r="C18" s="5"/>
      <c r="D18" s="5">
        <f>(D14 + D15 + D16 +D17)/4</f>
        <v>4.8625000000000007</v>
      </c>
      <c r="E18" s="5">
        <f>(E14 + E15 +E16+E17)/4</f>
        <v>0.35750000000000004</v>
      </c>
      <c r="F18" s="5"/>
      <c r="G18" s="5"/>
      <c r="H18" s="5"/>
      <c r="I18" s="5"/>
      <c r="J18" s="5">
        <f>(J14+J15+J16+J17)/4</f>
        <v>9.4387019869941842</v>
      </c>
    </row>
    <row r="22" spans="1:10" x14ac:dyDescent="0.35">
      <c r="A22" s="4" t="s">
        <v>25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ht="43.5" x14ac:dyDescent="0.35">
      <c r="A23" s="6" t="s">
        <v>0</v>
      </c>
      <c r="B23" s="6" t="s">
        <v>1</v>
      </c>
      <c r="C23" s="6" t="s">
        <v>9</v>
      </c>
      <c r="D23" s="7" t="s">
        <v>7</v>
      </c>
      <c r="E23" s="7" t="s">
        <v>6</v>
      </c>
      <c r="F23" s="6" t="s">
        <v>10</v>
      </c>
      <c r="G23" s="6" t="s">
        <v>2</v>
      </c>
      <c r="H23" s="6" t="s">
        <v>4</v>
      </c>
      <c r="I23" s="6" t="s">
        <v>5</v>
      </c>
      <c r="J23" s="7" t="s">
        <v>3</v>
      </c>
    </row>
    <row r="24" spans="1:10" x14ac:dyDescent="0.35">
      <c r="A24" s="5" t="s">
        <v>30</v>
      </c>
      <c r="B24" s="5" t="s">
        <v>39</v>
      </c>
      <c r="C24" s="5" t="s">
        <v>31</v>
      </c>
      <c r="D24" s="5">
        <v>5.87</v>
      </c>
      <c r="E24" s="5">
        <v>1.31</v>
      </c>
      <c r="F24" s="5">
        <v>1201.53</v>
      </c>
      <c r="G24" s="5">
        <v>90.66</v>
      </c>
      <c r="H24" s="5">
        <f>$F24*($G24 / 100)</f>
        <v>1089.307098</v>
      </c>
      <c r="I24" s="5">
        <v>1050.1099999999999</v>
      </c>
      <c r="J24" s="5">
        <f xml:space="preserve"> (($H24 - $I24) / $I24 )* 100</f>
        <v>3.7326659111902658</v>
      </c>
    </row>
    <row r="25" spans="1:10" ht="16" x14ac:dyDescent="0.45">
      <c r="A25" s="8" t="s">
        <v>32</v>
      </c>
      <c r="B25" s="5" t="s">
        <v>39</v>
      </c>
      <c r="C25" s="5" t="s">
        <v>29</v>
      </c>
      <c r="D25" s="5">
        <v>8.1</v>
      </c>
      <c r="E25" s="5">
        <v>1.1499999999999999</v>
      </c>
      <c r="F25" s="5">
        <v>45.08</v>
      </c>
      <c r="G25" s="5">
        <v>25</v>
      </c>
      <c r="H25" s="5">
        <v>11.27</v>
      </c>
      <c r="I25" s="5">
        <v>11.47</v>
      </c>
      <c r="J25" s="5">
        <f xml:space="preserve"> (($H25 - $I25) / $I25 )* 100</f>
        <v>-1.7436791630340109</v>
      </c>
    </row>
    <row r="26" spans="1:10" x14ac:dyDescent="0.35">
      <c r="A26" s="5" t="s">
        <v>35</v>
      </c>
      <c r="B26" s="5" t="s">
        <v>39</v>
      </c>
      <c r="C26" s="5" t="s">
        <v>33</v>
      </c>
      <c r="D26" s="5">
        <v>7.76</v>
      </c>
      <c r="E26" s="5">
        <v>1.34</v>
      </c>
      <c r="F26" s="5">
        <v>4033.91</v>
      </c>
      <c r="G26" s="5">
        <v>96.04</v>
      </c>
      <c r="H26" s="5">
        <f>$F26*($G26 / 100)</f>
        <v>3874.167164</v>
      </c>
      <c r="I26" s="5">
        <v>3617.18</v>
      </c>
      <c r="J26" s="5">
        <f xml:space="preserve"> (($H26 - $I26) / $I26 )* 100</f>
        <v>7.104627472229752</v>
      </c>
    </row>
    <row r="27" spans="1:10" x14ac:dyDescent="0.35">
      <c r="A27" s="5" t="s">
        <v>36</v>
      </c>
      <c r="B27" s="5" t="s">
        <v>39</v>
      </c>
      <c r="C27" s="5" t="s">
        <v>34</v>
      </c>
      <c r="D27" s="5">
        <v>10.119999999999999</v>
      </c>
      <c r="E27" s="5">
        <v>1.83</v>
      </c>
      <c r="F27" s="5">
        <v>67.8</v>
      </c>
      <c r="G27" s="5">
        <v>99.53</v>
      </c>
      <c r="H27" s="5">
        <f>$F27*($G27 / 100)</f>
        <v>67.481339999999989</v>
      </c>
      <c r="I27" s="5">
        <v>64.5</v>
      </c>
      <c r="J27" s="5">
        <f xml:space="preserve"> (($H27 - $I27) / $I27 )* 100</f>
        <v>4.6222325581395181</v>
      </c>
    </row>
    <row r="28" spans="1:10" x14ac:dyDescent="0.35">
      <c r="A28" s="9" t="s">
        <v>16</v>
      </c>
      <c r="B28" s="5"/>
      <c r="C28" s="5"/>
      <c r="D28" s="5">
        <f>(D24+D25+D26+D27)/4</f>
        <v>7.9624999999999986</v>
      </c>
      <c r="E28" s="5">
        <f>(E24+E25+E26+E27)/4</f>
        <v>1.4075</v>
      </c>
      <c r="F28" s="5"/>
      <c r="G28" s="5"/>
      <c r="H28" s="5"/>
      <c r="I28" s="5"/>
      <c r="J28" s="5">
        <f>(J24 + J25+J26+J27)/4</f>
        <v>3.428961694631381</v>
      </c>
    </row>
    <row r="32" spans="1:10" x14ac:dyDescent="0.35">
      <c r="A32" s="4" t="s">
        <v>37</v>
      </c>
      <c r="B32" s="5"/>
      <c r="C32" s="5"/>
      <c r="D32" s="5"/>
      <c r="E32" s="5"/>
      <c r="F32" s="5"/>
      <c r="G32" s="5"/>
      <c r="H32" s="5"/>
      <c r="I32" s="5"/>
      <c r="J32" s="5"/>
    </row>
    <row r="33" spans="1:10" ht="43.5" x14ac:dyDescent="0.35">
      <c r="A33" s="6" t="s">
        <v>0</v>
      </c>
      <c r="B33" s="6" t="s">
        <v>1</v>
      </c>
      <c r="C33" s="6" t="s">
        <v>9</v>
      </c>
      <c r="D33" s="7" t="s">
        <v>7</v>
      </c>
      <c r="E33" s="7" t="s">
        <v>6</v>
      </c>
      <c r="F33" s="6" t="s">
        <v>10</v>
      </c>
      <c r="G33" s="6" t="s">
        <v>2</v>
      </c>
      <c r="H33" s="6" t="s">
        <v>4</v>
      </c>
      <c r="I33" s="6" t="s">
        <v>5</v>
      </c>
      <c r="J33" s="7" t="s">
        <v>3</v>
      </c>
    </row>
    <row r="34" spans="1:10" x14ac:dyDescent="0.35">
      <c r="A34" s="5" t="s">
        <v>38</v>
      </c>
      <c r="B34" s="5" t="s">
        <v>40</v>
      </c>
      <c r="C34" s="5" t="s">
        <v>42</v>
      </c>
      <c r="D34" s="5">
        <v>11.55</v>
      </c>
      <c r="E34" s="5">
        <v>1.07</v>
      </c>
      <c r="F34" s="5">
        <v>13920</v>
      </c>
      <c r="G34" s="5">
        <v>31.92</v>
      </c>
      <c r="H34" s="5">
        <v>4443</v>
      </c>
      <c r="I34" s="5">
        <v>4813</v>
      </c>
      <c r="J34" s="5">
        <f xml:space="preserve"> (($H34 - $I34) / $I34 )* 100</f>
        <v>-7.6875129856638278</v>
      </c>
    </row>
    <row r="35" spans="1:10" ht="16" x14ac:dyDescent="0.45">
      <c r="A35" s="8" t="s">
        <v>48</v>
      </c>
      <c r="B35" s="5" t="s">
        <v>40</v>
      </c>
      <c r="C35" s="5" t="s">
        <v>43</v>
      </c>
      <c r="D35" s="5">
        <v>9.1199999999999992</v>
      </c>
      <c r="E35" s="5">
        <v>0.8</v>
      </c>
      <c r="F35" s="5">
        <v>89711</v>
      </c>
      <c r="G35" s="5">
        <v>43.08</v>
      </c>
      <c r="H35" s="5">
        <v>3865</v>
      </c>
      <c r="I35" s="5">
        <v>3761</v>
      </c>
      <c r="J35" s="5">
        <f xml:space="preserve"> (($H35 - $I35) / $I35 )* 100</f>
        <v>2.7652220154214304</v>
      </c>
    </row>
    <row r="36" spans="1:10" x14ac:dyDescent="0.35">
      <c r="A36" s="5" t="s">
        <v>49</v>
      </c>
      <c r="B36" s="5" t="s">
        <v>40</v>
      </c>
      <c r="C36" s="5" t="s">
        <v>44</v>
      </c>
      <c r="D36" s="5">
        <v>5.42</v>
      </c>
      <c r="E36" s="5">
        <v>0.91</v>
      </c>
      <c r="F36" s="5">
        <v>2884.46</v>
      </c>
      <c r="G36" s="5">
        <v>36.42</v>
      </c>
      <c r="H36" s="5">
        <v>1050.74</v>
      </c>
      <c r="I36" s="5">
        <v>1078.8399999999999</v>
      </c>
      <c r="J36" s="5">
        <f xml:space="preserve"> (($H36 - $I36) / $I36 )* 100</f>
        <v>-2.6046494382855578</v>
      </c>
    </row>
    <row r="37" spans="1:10" x14ac:dyDescent="0.35">
      <c r="A37" s="5" t="s">
        <v>50</v>
      </c>
      <c r="B37" s="5" t="s">
        <v>40</v>
      </c>
      <c r="C37" s="5" t="s">
        <v>45</v>
      </c>
      <c r="D37" s="5">
        <v>13.98</v>
      </c>
      <c r="E37" s="5">
        <v>1.55</v>
      </c>
      <c r="F37" s="5">
        <v>10724.01</v>
      </c>
      <c r="G37" s="5">
        <v>39.32</v>
      </c>
      <c r="H37" s="5">
        <v>4216.2</v>
      </c>
      <c r="I37" s="5">
        <v>4062.72</v>
      </c>
      <c r="J37" s="5">
        <f xml:space="preserve"> (($H37 - $I37) / $I37 )* 100</f>
        <v>3.777764650283554</v>
      </c>
    </row>
    <row r="38" spans="1:10" x14ac:dyDescent="0.35">
      <c r="A38" s="9" t="s">
        <v>16</v>
      </c>
      <c r="B38" s="5"/>
      <c r="C38" s="5"/>
      <c r="D38" s="5">
        <f>(D34+D35+D36+D37)/4</f>
        <v>10.017500000000002</v>
      </c>
      <c r="E38" s="5">
        <f>(E34+E35+E36+E37)/4</f>
        <v>1.0825</v>
      </c>
      <c r="F38" s="5"/>
      <c r="G38" s="5"/>
      <c r="H38" s="5"/>
      <c r="I38" s="5"/>
      <c r="J38" s="5">
        <f>(J34 + J35+J36+J37)/4</f>
        <v>-0.93729393956110008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68CE-02BB-44F9-8EE2-08C20B93A626}">
  <dimension ref="A1:K15"/>
  <sheetViews>
    <sheetView tabSelected="1" workbookViewId="0">
      <selection activeCell="E8" sqref="E8"/>
    </sheetView>
  </sheetViews>
  <sheetFormatPr defaultRowHeight="14.5" x14ac:dyDescent="0.35"/>
  <cols>
    <col min="1" max="1" width="30.08984375" customWidth="1"/>
    <col min="2" max="2" width="25.1796875" bestFit="1" customWidth="1"/>
    <col min="3" max="3" width="17.453125" customWidth="1"/>
    <col min="4" max="4" width="16.6328125" customWidth="1"/>
    <col min="5" max="5" width="20.453125" customWidth="1"/>
    <col min="6" max="6" width="19.1796875" bestFit="1" customWidth="1"/>
    <col min="7" max="7" width="18.54296875" customWidth="1"/>
    <col min="8" max="8" width="17.90625" customWidth="1"/>
    <col min="9" max="9" width="14.54296875" customWidth="1"/>
    <col min="10" max="10" width="18.26953125" customWidth="1"/>
    <col min="11" max="11" width="13.26953125" customWidth="1"/>
  </cols>
  <sheetData>
    <row r="1" spans="1:11" x14ac:dyDescent="0.35">
      <c r="A1" s="4" t="s">
        <v>51</v>
      </c>
      <c r="B1" s="13"/>
      <c r="C1" s="5"/>
      <c r="D1" s="5"/>
      <c r="E1" s="5"/>
      <c r="F1" s="5"/>
      <c r="G1" s="5"/>
    </row>
    <row r="2" spans="1:11" ht="32" customHeight="1" x14ac:dyDescent="0.35">
      <c r="A2" s="6" t="s">
        <v>0</v>
      </c>
      <c r="B2" s="6" t="s">
        <v>1</v>
      </c>
      <c r="C2" s="7" t="s">
        <v>57</v>
      </c>
      <c r="D2" s="7" t="s">
        <v>7</v>
      </c>
      <c r="E2" s="7" t="s">
        <v>6</v>
      </c>
      <c r="F2" s="6" t="s">
        <v>4</v>
      </c>
      <c r="G2" s="7" t="s">
        <v>3</v>
      </c>
      <c r="H2" s="3" t="s">
        <v>52</v>
      </c>
      <c r="I2" s="3" t="s">
        <v>55</v>
      </c>
      <c r="J2" s="7" t="s">
        <v>54</v>
      </c>
      <c r="K2" s="12" t="s">
        <v>56</v>
      </c>
    </row>
    <row r="3" spans="1:11" x14ac:dyDescent="0.35">
      <c r="A3" s="5" t="s">
        <v>8</v>
      </c>
      <c r="B3" s="5" t="s">
        <v>41</v>
      </c>
      <c r="C3" s="5">
        <v>492.58</v>
      </c>
      <c r="D3" s="5">
        <v>7.84</v>
      </c>
      <c r="E3" s="5">
        <v>0.47</v>
      </c>
      <c r="F3" s="5">
        <v>1079.67</v>
      </c>
      <c r="G3" s="5">
        <v>2.57</v>
      </c>
      <c r="H3" s="5">
        <f>$F3*((1+($G3/100))^4)</f>
        <v>1195.0125222679394</v>
      </c>
      <c r="I3" s="5">
        <v>10</v>
      </c>
      <c r="J3" s="2">
        <f>$H3/(1+$I3/100)^4</f>
        <v>816.20963203875351</v>
      </c>
      <c r="K3" t="str">
        <f>IF(J3 &gt; C3, "Undervalued", "Overvalued")</f>
        <v>Undervalued</v>
      </c>
    </row>
    <row r="4" spans="1:11" ht="16" x14ac:dyDescent="0.45">
      <c r="A4" s="8" t="s">
        <v>19</v>
      </c>
      <c r="B4" s="5" t="s">
        <v>18</v>
      </c>
      <c r="C4" s="5">
        <v>3390</v>
      </c>
      <c r="D4" s="5">
        <v>0.88</v>
      </c>
      <c r="E4" s="5">
        <v>0.34</v>
      </c>
      <c r="F4" s="5">
        <v>891.6</v>
      </c>
      <c r="G4" s="5">
        <v>1.76</v>
      </c>
      <c r="H4" s="5">
        <f t="shared" ref="H4:H6" si="0">$F4*((1+($G4/100))^4)</f>
        <v>956.04526086006786</v>
      </c>
      <c r="I4" s="5">
        <v>10</v>
      </c>
      <c r="J4" s="2">
        <f t="shared" ref="J4:J6" si="1">$H4/(1+$I4/100)^4</f>
        <v>652.99177710543518</v>
      </c>
      <c r="K4" t="str">
        <f t="shared" ref="K4:K6" si="2">IF(J4 &gt; C4, "Undervalued", "Overvalued")</f>
        <v>Overvalued</v>
      </c>
    </row>
    <row r="5" spans="1:11" x14ac:dyDescent="0.35">
      <c r="A5" s="5" t="s">
        <v>30</v>
      </c>
      <c r="B5" s="5" t="s">
        <v>39</v>
      </c>
      <c r="C5" s="5">
        <v>1570</v>
      </c>
      <c r="D5" s="5">
        <v>5.87</v>
      </c>
      <c r="E5" s="5">
        <v>1.31</v>
      </c>
      <c r="F5" s="5">
        <v>1089.31</v>
      </c>
      <c r="G5" s="5">
        <v>3.73</v>
      </c>
      <c r="H5" s="5">
        <f t="shared" si="0"/>
        <v>1261.1565567031446</v>
      </c>
      <c r="I5" s="5">
        <v>10</v>
      </c>
      <c r="J5" s="2">
        <f t="shared" si="1"/>
        <v>861.38689755012922</v>
      </c>
      <c r="K5" t="str">
        <f t="shared" si="2"/>
        <v>Overvalued</v>
      </c>
    </row>
    <row r="6" spans="1:11" x14ac:dyDescent="0.35">
      <c r="A6" s="5" t="s">
        <v>38</v>
      </c>
      <c r="B6" s="5" t="s">
        <v>40</v>
      </c>
      <c r="C6" s="5">
        <v>17220</v>
      </c>
      <c r="D6" s="5">
        <v>11.55</v>
      </c>
      <c r="E6" s="5">
        <v>1.07</v>
      </c>
      <c r="F6" s="5">
        <v>4443</v>
      </c>
      <c r="G6" s="5">
        <v>-7.69</v>
      </c>
      <c r="H6" s="5">
        <f t="shared" si="0"/>
        <v>3226.0516561147529</v>
      </c>
      <c r="I6" s="5">
        <v>10</v>
      </c>
      <c r="J6" s="2">
        <f t="shared" si="1"/>
        <v>2203.4366888291456</v>
      </c>
      <c r="K6" t="str">
        <f t="shared" si="2"/>
        <v>Overvalued</v>
      </c>
    </row>
    <row r="9" spans="1:11" x14ac:dyDescent="0.35">
      <c r="A9" s="11" t="s">
        <v>59</v>
      </c>
    </row>
    <row r="10" spans="1:11" ht="29" x14ac:dyDescent="0.35">
      <c r="A10" s="14" t="s">
        <v>53</v>
      </c>
      <c r="B10" s="15"/>
      <c r="C10" s="5"/>
      <c r="D10" s="5"/>
      <c r="E10" s="5"/>
      <c r="F10" s="5"/>
      <c r="G10" s="5"/>
    </row>
    <row r="11" spans="1:11" ht="43.5" x14ac:dyDescent="0.35">
      <c r="A11" s="6" t="s">
        <v>0</v>
      </c>
      <c r="B11" s="6" t="s">
        <v>1</v>
      </c>
      <c r="C11" s="7" t="s">
        <v>57</v>
      </c>
      <c r="D11" s="7" t="s">
        <v>7</v>
      </c>
      <c r="E11" s="7" t="s">
        <v>6</v>
      </c>
      <c r="F11" s="6" t="s">
        <v>4</v>
      </c>
      <c r="G11" s="7" t="s">
        <v>3</v>
      </c>
      <c r="H11" s="3" t="s">
        <v>60</v>
      </c>
      <c r="I11" s="3" t="s">
        <v>55</v>
      </c>
      <c r="J11" s="7" t="s">
        <v>58</v>
      </c>
      <c r="K11" s="12" t="s">
        <v>56</v>
      </c>
    </row>
    <row r="12" spans="1:11" x14ac:dyDescent="0.35">
      <c r="A12" s="5" t="s">
        <v>8</v>
      </c>
      <c r="B12" s="5" t="s">
        <v>41</v>
      </c>
      <c r="C12" s="5">
        <v>492.58</v>
      </c>
      <c r="D12" s="5">
        <v>7.84</v>
      </c>
      <c r="E12" s="5">
        <v>0.47</v>
      </c>
      <c r="F12" s="5">
        <v>1079.67</v>
      </c>
      <c r="G12" s="5">
        <v>2.57</v>
      </c>
      <c r="H12" s="5">
        <f>$H3 * 1.05</f>
        <v>1254.7631483813364</v>
      </c>
      <c r="I12" s="5">
        <v>10</v>
      </c>
      <c r="J12" s="2">
        <f>$H12/(1+$I12/100)^4</f>
        <v>857.02011364069119</v>
      </c>
      <c r="K12" t="str">
        <f>IF(J12 &gt; C12, "Undervalued", "Overvalued")</f>
        <v>Undervalued</v>
      </c>
    </row>
    <row r="13" spans="1:11" ht="16" x14ac:dyDescent="0.45">
      <c r="A13" s="8" t="s">
        <v>19</v>
      </c>
      <c r="B13" s="5" t="s">
        <v>18</v>
      </c>
      <c r="C13" s="5">
        <v>3390</v>
      </c>
      <c r="D13" s="5">
        <v>0.88</v>
      </c>
      <c r="E13" s="5">
        <v>0.34</v>
      </c>
      <c r="F13" s="5">
        <v>891.6</v>
      </c>
      <c r="G13" s="5">
        <v>1.76</v>
      </c>
      <c r="H13" s="5">
        <f t="shared" ref="H13:H15" si="3">$H4 * 1.05</f>
        <v>1003.8475239030713</v>
      </c>
      <c r="I13" s="5">
        <v>10</v>
      </c>
      <c r="J13" s="2">
        <f t="shared" ref="J13:J15" si="4">$H13/(1+$I13/100)^4</f>
        <v>685.64136596070693</v>
      </c>
      <c r="K13" t="str">
        <f t="shared" ref="K13:K15" si="5">IF(J13 &gt; C13, "Undervalued", "Overvalued")</f>
        <v>Overvalued</v>
      </c>
    </row>
    <row r="14" spans="1:11" x14ac:dyDescent="0.35">
      <c r="A14" s="5" t="s">
        <v>30</v>
      </c>
      <c r="B14" s="5" t="s">
        <v>39</v>
      </c>
      <c r="C14" s="5">
        <v>1570</v>
      </c>
      <c r="D14" s="5">
        <v>5.87</v>
      </c>
      <c r="E14" s="5">
        <v>1.31</v>
      </c>
      <c r="F14" s="5">
        <v>1089.31</v>
      </c>
      <c r="G14" s="5">
        <v>3.73</v>
      </c>
      <c r="H14" s="5">
        <f t="shared" si="3"/>
        <v>1324.2143845383018</v>
      </c>
      <c r="I14" s="5">
        <v>10</v>
      </c>
      <c r="J14" s="2">
        <f t="shared" si="4"/>
        <v>904.45624242763574</v>
      </c>
      <c r="K14" t="str">
        <f t="shared" si="5"/>
        <v>Overvalued</v>
      </c>
    </row>
    <row r="15" spans="1:11" x14ac:dyDescent="0.35">
      <c r="A15" s="5" t="s">
        <v>38</v>
      </c>
      <c r="B15" s="5" t="s">
        <v>40</v>
      </c>
      <c r="C15" s="5">
        <v>17220</v>
      </c>
      <c r="D15" s="5">
        <v>11.55</v>
      </c>
      <c r="E15" s="5">
        <v>1.07</v>
      </c>
      <c r="F15" s="5">
        <v>4443</v>
      </c>
      <c r="G15" s="5">
        <v>-7.69</v>
      </c>
      <c r="H15" s="5">
        <f t="shared" si="3"/>
        <v>3387.3542389204908</v>
      </c>
      <c r="I15" s="5">
        <v>10</v>
      </c>
      <c r="J15" s="2">
        <f t="shared" si="4"/>
        <v>2313.6085232706032</v>
      </c>
      <c r="K15" t="str">
        <f t="shared" si="5"/>
        <v>Overvalued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Undervalued Company &amp; Peers</vt:lpstr>
      <vt:lpstr>Valuation_Model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jesutola adebowale</dc:creator>
  <cp:lastModifiedBy>jesutola adebowale</cp:lastModifiedBy>
  <dcterms:created xsi:type="dcterms:W3CDTF">2024-07-20T10:15:22Z</dcterms:created>
  <dcterms:modified xsi:type="dcterms:W3CDTF">2024-10-10T20:12:24Z</dcterms:modified>
</cp:coreProperties>
</file>