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5"/>
  </bookViews>
  <sheets>
    <sheet name="Fee Due" sheetId="1" r:id="rId1"/>
    <sheet name="Salary" sheetId="8" r:id="rId2"/>
    <sheet name="TB" sheetId="2" r:id="rId3"/>
    <sheet name="P &amp; L" sheetId="3" r:id="rId4"/>
    <sheet name="Sheet2" sheetId="6" r:id="rId5"/>
    <sheet name="BS" sheetId="4" r:id="rId6"/>
    <sheet name="Dep" sheetId="5" r:id="rId7"/>
    <sheet name="Dep Detail" sheetId="7" r:id="rId8"/>
    <sheet name="Depreciation working" sheetId="9" r:id="rId9"/>
  </sheets>
  <externalReferences>
    <externalReference r:id="rId10"/>
    <externalReference r:id="rId11"/>
  </externalReferences>
  <calcPr calcId="152511"/>
</workbook>
</file>

<file path=xl/calcChain.xml><?xml version="1.0" encoding="utf-8"?>
<calcChain xmlns="http://schemas.openxmlformats.org/spreadsheetml/2006/main">
  <c r="H69" i="4" l="1"/>
  <c r="H67" i="4"/>
  <c r="H68" i="4"/>
  <c r="H65" i="4"/>
  <c r="H64" i="4"/>
  <c r="H63" i="4"/>
  <c r="H61" i="4"/>
  <c r="H60" i="4"/>
  <c r="H59" i="4"/>
  <c r="H58" i="4"/>
  <c r="H57" i="4"/>
  <c r="H56" i="4"/>
  <c r="H55" i="4"/>
  <c r="H40" i="4" l="1"/>
  <c r="D34" i="4" l="1"/>
  <c r="H39" i="4"/>
  <c r="H73" i="4" l="1"/>
  <c r="H75" i="4" s="1"/>
  <c r="D17" i="9" l="1"/>
  <c r="D16" i="9"/>
  <c r="D14" i="9"/>
  <c r="D10" i="9"/>
  <c r="D9" i="9"/>
  <c r="D7" i="9"/>
  <c r="H23" i="2" l="1"/>
  <c r="I62" i="2"/>
  <c r="E35" i="1" l="1"/>
  <c r="E32" i="1"/>
  <c r="E31" i="1"/>
  <c r="E28" i="1"/>
  <c r="E27" i="1"/>
  <c r="E16" i="1"/>
  <c r="E14" i="1"/>
  <c r="E8" i="1"/>
  <c r="E60" i="1" s="1"/>
  <c r="K9" i="2" l="1"/>
  <c r="K15" i="2"/>
  <c r="K16" i="2" s="1"/>
  <c r="H126" i="2"/>
  <c r="I126" i="2"/>
  <c r="K126" i="2" l="1"/>
  <c r="E6" i="8"/>
  <c r="H6" i="8"/>
  <c r="K6" i="8"/>
  <c r="N6" i="8"/>
  <c r="Q6" i="8"/>
  <c r="T6" i="8"/>
  <c r="W6" i="8"/>
  <c r="Z6" i="8"/>
  <c r="AC6" i="8"/>
  <c r="AE6" i="8"/>
  <c r="AF6" i="8" s="1"/>
  <c r="AF9" i="8" s="1"/>
  <c r="AI6" i="8"/>
  <c r="AI9" i="8" s="1"/>
  <c r="AK6" i="8"/>
  <c r="AL6" i="8"/>
  <c r="AO6" i="8"/>
  <c r="AP6" i="8"/>
  <c r="E7" i="8"/>
  <c r="H7" i="8"/>
  <c r="K7" i="8"/>
  <c r="N7" i="8"/>
  <c r="Q7" i="8"/>
  <c r="T7" i="8"/>
  <c r="W7" i="8"/>
  <c r="Z7" i="8"/>
  <c r="AC7" i="8"/>
  <c r="AF7" i="8"/>
  <c r="AI7" i="8"/>
  <c r="AL7" i="8"/>
  <c r="AO7" i="8"/>
  <c r="AP7" i="8"/>
  <c r="AQ7" i="8"/>
  <c r="AR7" i="8"/>
  <c r="E8" i="8"/>
  <c r="H8" i="8"/>
  <c r="K8" i="8"/>
  <c r="N8" i="8"/>
  <c r="Q8" i="8"/>
  <c r="T8" i="8"/>
  <c r="W8" i="8"/>
  <c r="Z8" i="8"/>
  <c r="AC8" i="8"/>
  <c r="AF8" i="8"/>
  <c r="AI8" i="8"/>
  <c r="AL8" i="8"/>
  <c r="AO8" i="8"/>
  <c r="AP8" i="8"/>
  <c r="AQ8" i="8"/>
  <c r="AR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G9" i="8"/>
  <c r="AH9" i="8"/>
  <c r="AJ9" i="8"/>
  <c r="AK9" i="8"/>
  <c r="AL9" i="8"/>
  <c r="AM9" i="8"/>
  <c r="AN9" i="8"/>
  <c r="AO9" i="8"/>
  <c r="AP9" i="8"/>
  <c r="E11" i="8"/>
  <c r="H11" i="8"/>
  <c r="K11" i="8"/>
  <c r="N11" i="8"/>
  <c r="Q11" i="8"/>
  <c r="T11" i="8"/>
  <c r="W11" i="8"/>
  <c r="Z11" i="8"/>
  <c r="AC11" i="8"/>
  <c r="AF11" i="8"/>
  <c r="AI11" i="8"/>
  <c r="AL11" i="8"/>
  <c r="AO11" i="8"/>
  <c r="AP11" i="8"/>
  <c r="AQ11" i="8"/>
  <c r="AR11" i="8"/>
  <c r="E12" i="8"/>
  <c r="H12" i="8"/>
  <c r="K12" i="8"/>
  <c r="N12" i="8"/>
  <c r="Q12" i="8"/>
  <c r="T12" i="8"/>
  <c r="W12" i="8"/>
  <c r="Z12" i="8"/>
  <c r="AC12" i="8"/>
  <c r="AF12" i="8"/>
  <c r="AI12" i="8"/>
  <c r="AL12" i="8"/>
  <c r="AO12" i="8"/>
  <c r="AP12" i="8"/>
  <c r="AQ12" i="8"/>
  <c r="AR12" i="8"/>
  <c r="E13" i="8"/>
  <c r="H13" i="8"/>
  <c r="K13" i="8"/>
  <c r="N13" i="8"/>
  <c r="Q13" i="8"/>
  <c r="T13" i="8"/>
  <c r="W13" i="8"/>
  <c r="Z13" i="8"/>
  <c r="AC13" i="8"/>
  <c r="AF13" i="8"/>
  <c r="AI13" i="8"/>
  <c r="AL13" i="8"/>
  <c r="AO13" i="8"/>
  <c r="AP13" i="8"/>
  <c r="AQ13" i="8"/>
  <c r="AR13" i="8"/>
  <c r="E14" i="8"/>
  <c r="H14" i="8"/>
  <c r="K14" i="8"/>
  <c r="N14" i="8"/>
  <c r="Q14" i="8"/>
  <c r="T14" i="8"/>
  <c r="W14" i="8"/>
  <c r="Z14" i="8"/>
  <c r="AC14" i="8"/>
  <c r="AF14" i="8"/>
  <c r="AI14" i="8"/>
  <c r="AL14" i="8"/>
  <c r="AO14" i="8"/>
  <c r="AP14" i="8"/>
  <c r="AQ14" i="8"/>
  <c r="AR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 s="1"/>
  <c r="AD16" i="8"/>
  <c r="AG16" i="8"/>
  <c r="AH16" i="8"/>
  <c r="AJ16" i="8"/>
  <c r="AK16" i="8"/>
  <c r="AL16" i="8"/>
  <c r="AM16" i="8"/>
  <c r="AN16" i="8"/>
  <c r="AO16" i="8"/>
  <c r="AP16" i="8"/>
  <c r="E18" i="8"/>
  <c r="H18" i="8"/>
  <c r="K18" i="8"/>
  <c r="N18" i="8"/>
  <c r="Q18" i="8"/>
  <c r="T18" i="8"/>
  <c r="W18" i="8"/>
  <c r="Z18" i="8"/>
  <c r="AC18" i="8"/>
  <c r="AF18" i="8"/>
  <c r="AF33" i="8" s="1"/>
  <c r="AI18" i="8"/>
  <c r="AL18" i="8"/>
  <c r="AO18" i="8"/>
  <c r="AP18" i="8"/>
  <c r="AP33" i="8" s="1"/>
  <c r="AQ18" i="8"/>
  <c r="AR18" i="8"/>
  <c r="E19" i="8"/>
  <c r="H19" i="8"/>
  <c r="H34" i="8" s="1"/>
  <c r="K19" i="8"/>
  <c r="N19" i="8"/>
  <c r="N34" i="8" s="1"/>
  <c r="Q19" i="8"/>
  <c r="T19" i="8"/>
  <c r="T34" i="8" s="1"/>
  <c r="W19" i="8"/>
  <c r="Z19" i="8"/>
  <c r="AC19" i="8"/>
  <c r="AF19" i="8"/>
  <c r="AF34" i="8" s="1"/>
  <c r="AI19" i="8"/>
  <c r="AL19" i="8"/>
  <c r="AL34" i="8" s="1"/>
  <c r="AL35" i="8" s="1"/>
  <c r="AO19" i="8"/>
  <c r="AP19" i="8"/>
  <c r="AP34" i="8" s="1"/>
  <c r="AQ19" i="8"/>
  <c r="AR19" i="8"/>
  <c r="AR34" i="8" s="1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G22" i="8"/>
  <c r="AH22" i="8"/>
  <c r="AJ22" i="8"/>
  <c r="AK22" i="8"/>
  <c r="AL22" i="8"/>
  <c r="AM22" i="8"/>
  <c r="AN22" i="8"/>
  <c r="AO22" i="8"/>
  <c r="AP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G25" i="8"/>
  <c r="AH25" i="8"/>
  <c r="AJ25" i="8"/>
  <c r="AK25" i="8"/>
  <c r="AL25" i="8"/>
  <c r="AM25" i="8"/>
  <c r="AN25" i="8"/>
  <c r="AO25" i="8"/>
  <c r="AP25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G31" i="8"/>
  <c r="AH31" i="8"/>
  <c r="AJ31" i="8"/>
  <c r="AK31" i="8"/>
  <c r="AL31" i="8"/>
  <c r="AM31" i="8"/>
  <c r="AN31" i="8"/>
  <c r="AO31" i="8"/>
  <c r="AP31" i="8"/>
  <c r="C33" i="8"/>
  <c r="D33" i="8"/>
  <c r="D35" i="8" s="1"/>
  <c r="E33" i="8"/>
  <c r="F33" i="8"/>
  <c r="F35" i="8" s="1"/>
  <c r="G33" i="8"/>
  <c r="H33" i="8"/>
  <c r="I33" i="8"/>
  <c r="J33" i="8"/>
  <c r="J35" i="8" s="1"/>
  <c r="K33" i="8"/>
  <c r="L33" i="8"/>
  <c r="L35" i="8" s="1"/>
  <c r="M33" i="8"/>
  <c r="N33" i="8"/>
  <c r="O33" i="8"/>
  <c r="P33" i="8"/>
  <c r="P35" i="8" s="1"/>
  <c r="Q33" i="8"/>
  <c r="R33" i="8"/>
  <c r="R35" i="8" s="1"/>
  <c r="S33" i="8"/>
  <c r="T33" i="8"/>
  <c r="U33" i="8"/>
  <c r="V33" i="8"/>
  <c r="V35" i="8" s="1"/>
  <c r="W33" i="8"/>
  <c r="X33" i="8"/>
  <c r="X35" i="8" s="1"/>
  <c r="Y33" i="8"/>
  <c r="Z33" i="8"/>
  <c r="Z35" i="8" s="1"/>
  <c r="AB33" i="8"/>
  <c r="AC33" i="8"/>
  <c r="AD33" i="8"/>
  <c r="AE33" i="8"/>
  <c r="AI33" i="8"/>
  <c r="AL33" i="8"/>
  <c r="AO33" i="8"/>
  <c r="AQ33" i="8"/>
  <c r="C34" i="8"/>
  <c r="D34" i="8"/>
  <c r="E34" i="8"/>
  <c r="F34" i="8"/>
  <c r="G34" i="8"/>
  <c r="I34" i="8"/>
  <c r="J34" i="8"/>
  <c r="K34" i="8"/>
  <c r="L34" i="8"/>
  <c r="M34" i="8"/>
  <c r="O34" i="8"/>
  <c r="P34" i="8"/>
  <c r="Q34" i="8"/>
  <c r="R34" i="8"/>
  <c r="S34" i="8"/>
  <c r="U34" i="8"/>
  <c r="V34" i="8"/>
  <c r="W34" i="8"/>
  <c r="Z34" i="8"/>
  <c r="AA34" i="8"/>
  <c r="AB34" i="8"/>
  <c r="AC34" i="8"/>
  <c r="AD34" i="8"/>
  <c r="AE34" i="8"/>
  <c r="AH34" i="8"/>
  <c r="AH35" i="8" s="1"/>
  <c r="AI34" i="8"/>
  <c r="AK34" i="8"/>
  <c r="AO34" i="8"/>
  <c r="AQ34" i="8"/>
  <c r="C35" i="8"/>
  <c r="E35" i="8"/>
  <c r="G35" i="8"/>
  <c r="I35" i="8"/>
  <c r="K35" i="8"/>
  <c r="M35" i="8"/>
  <c r="O35" i="8"/>
  <c r="Q35" i="8"/>
  <c r="S35" i="8"/>
  <c r="U35" i="8"/>
  <c r="W35" i="8"/>
  <c r="Y35" i="8"/>
  <c r="AA35" i="8"/>
  <c r="AB35" i="8"/>
  <c r="AC35" i="8"/>
  <c r="AD35" i="8"/>
  <c r="AE35" i="8"/>
  <c r="AG35" i="8"/>
  <c r="AI35" i="8"/>
  <c r="AJ35" i="8"/>
  <c r="AK35" i="8"/>
  <c r="AM35" i="8"/>
  <c r="AN35" i="8"/>
  <c r="AO35" i="8"/>
  <c r="AQ35" i="8"/>
  <c r="E36" i="8"/>
  <c r="H36" i="8"/>
  <c r="K36" i="8"/>
  <c r="Q36" i="8"/>
  <c r="T36" i="8"/>
  <c r="W36" i="8"/>
  <c r="Z36" i="8"/>
  <c r="AC36" i="8"/>
  <c r="AF36" i="8"/>
  <c r="AI36" i="8"/>
  <c r="AL36" i="8"/>
  <c r="AO36" i="8"/>
  <c r="AP36" i="8"/>
  <c r="AP37" i="8" s="1"/>
  <c r="AR37" i="8" s="1"/>
  <c r="AQ36" i="8"/>
  <c r="AR36" i="8"/>
  <c r="AQ37" i="8"/>
  <c r="E38" i="8"/>
  <c r="H38" i="8"/>
  <c r="K38" i="8"/>
  <c r="Q38" i="8"/>
  <c r="T38" i="8"/>
  <c r="W38" i="8"/>
  <c r="Z38" i="8"/>
  <c r="AC38" i="8"/>
  <c r="AF38" i="8"/>
  <c r="AI38" i="8"/>
  <c r="AL38" i="8"/>
  <c r="AO38" i="8"/>
  <c r="AP38" i="8"/>
  <c r="AP39" i="8" s="1"/>
  <c r="AR39" i="8" s="1"/>
  <c r="AQ38" i="8"/>
  <c r="AR38" i="8"/>
  <c r="AQ39" i="8"/>
  <c r="E40" i="8"/>
  <c r="H40" i="8"/>
  <c r="K40" i="8"/>
  <c r="Q40" i="8"/>
  <c r="T40" i="8"/>
  <c r="W40" i="8"/>
  <c r="Z40" i="8"/>
  <c r="AC40" i="8"/>
  <c r="AF40" i="8"/>
  <c r="AI40" i="8"/>
  <c r="AL40" i="8"/>
  <c r="AO40" i="8"/>
  <c r="AP40" i="8"/>
  <c r="AP41" i="8" s="1"/>
  <c r="AR41" i="8" s="1"/>
  <c r="AQ40" i="8"/>
  <c r="AR40" i="8"/>
  <c r="AQ41" i="8"/>
  <c r="E42" i="8"/>
  <c r="H42" i="8"/>
  <c r="K42" i="8"/>
  <c r="Q42" i="8"/>
  <c r="T42" i="8"/>
  <c r="W42" i="8"/>
  <c r="Z42" i="8"/>
  <c r="AC42" i="8"/>
  <c r="AF42" i="8"/>
  <c r="AI42" i="8"/>
  <c r="AL42" i="8"/>
  <c r="AO42" i="8"/>
  <c r="AP42" i="8"/>
  <c r="AP43" i="8" s="1"/>
  <c r="AR43" i="8" s="1"/>
  <c r="AQ42" i="8"/>
  <c r="AR42" i="8"/>
  <c r="AQ43" i="8"/>
  <c r="AR33" i="8" l="1"/>
  <c r="AR35" i="8" s="1"/>
  <c r="AP35" i="8"/>
  <c r="AF35" i="8"/>
  <c r="AF16" i="8"/>
  <c r="AF22" i="8"/>
  <c r="AF25" i="8"/>
  <c r="AF31" i="8" s="1"/>
  <c r="T35" i="8"/>
  <c r="N35" i="8"/>
  <c r="H35" i="8"/>
  <c r="AI16" i="8"/>
  <c r="AI22" i="8"/>
  <c r="AI25" i="8"/>
  <c r="AI31" i="8" s="1"/>
  <c r="AE9" i="8"/>
  <c r="AQ6" i="8"/>
  <c r="Q92" i="7"/>
  <c r="H92" i="7"/>
  <c r="C92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C37" i="7"/>
  <c r="S77" i="7"/>
  <c r="S76" i="7"/>
  <c r="S75" i="7"/>
  <c r="S113" i="7"/>
  <c r="S111" i="7"/>
  <c r="S41" i="7"/>
  <c r="S80" i="7"/>
  <c r="S34" i="7"/>
  <c r="S33" i="7"/>
  <c r="H87" i="7"/>
  <c r="H77" i="7"/>
  <c r="H76" i="7"/>
  <c r="H86" i="7" s="1"/>
  <c r="H88" i="7" s="1"/>
  <c r="C88" i="7"/>
  <c r="O86" i="7"/>
  <c r="M86" i="7"/>
  <c r="K86" i="7"/>
  <c r="F86" i="7"/>
  <c r="D86" i="7"/>
  <c r="C86" i="7"/>
  <c r="S79" i="7"/>
  <c r="R79" i="7"/>
  <c r="Q79" i="7"/>
  <c r="P79" i="7"/>
  <c r="D79" i="7"/>
  <c r="G77" i="7"/>
  <c r="G76" i="7"/>
  <c r="G64" i="7"/>
  <c r="G70" i="7" s="1"/>
  <c r="F64" i="7"/>
  <c r="D64" i="7"/>
  <c r="C64" i="7"/>
  <c r="I63" i="7"/>
  <c r="E63" i="7"/>
  <c r="K63" i="7" s="1"/>
  <c r="N62" i="7"/>
  <c r="N63" i="7" s="1"/>
  <c r="I62" i="7"/>
  <c r="E62" i="7"/>
  <c r="K62" i="7" s="1"/>
  <c r="M61" i="7"/>
  <c r="I61" i="7"/>
  <c r="E61" i="7"/>
  <c r="K61" i="7" s="1"/>
  <c r="I60" i="7"/>
  <c r="E60" i="7"/>
  <c r="K60" i="7" s="1"/>
  <c r="I59" i="7"/>
  <c r="E59" i="7"/>
  <c r="K59" i="7" s="1"/>
  <c r="I58" i="7"/>
  <c r="E58" i="7"/>
  <c r="K58" i="7" s="1"/>
  <c r="I57" i="7"/>
  <c r="E57" i="7"/>
  <c r="K57" i="7" s="1"/>
  <c r="I56" i="7"/>
  <c r="E56" i="7"/>
  <c r="K56" i="7" s="1"/>
  <c r="I55" i="7"/>
  <c r="E55" i="7"/>
  <c r="K55" i="7" s="1"/>
  <c r="I54" i="7"/>
  <c r="E54" i="7"/>
  <c r="K54" i="7" s="1"/>
  <c r="I53" i="7"/>
  <c r="E53" i="7"/>
  <c r="K53" i="7" s="1"/>
  <c r="I52" i="7"/>
  <c r="E52" i="7"/>
  <c r="K52" i="7" s="1"/>
  <c r="I51" i="7"/>
  <c r="E51" i="7"/>
  <c r="K51" i="7" s="1"/>
  <c r="I50" i="7"/>
  <c r="I64" i="7" s="1"/>
  <c r="E50" i="7"/>
  <c r="K50" i="7" s="1"/>
  <c r="K64" i="7" s="1"/>
  <c r="E49" i="7"/>
  <c r="E64" i="7" s="1"/>
  <c r="R41" i="7"/>
  <c r="R86" i="7" s="1"/>
  <c r="Q41" i="7"/>
  <c r="P41" i="7"/>
  <c r="O41" i="7"/>
  <c r="N41" i="7"/>
  <c r="M41" i="7"/>
  <c r="L41" i="7"/>
  <c r="K41" i="7"/>
  <c r="J41" i="7"/>
  <c r="I41" i="7"/>
  <c r="G41" i="7"/>
  <c r="F41" i="7"/>
  <c r="E41" i="7"/>
  <c r="D41" i="7"/>
  <c r="C41" i="7"/>
  <c r="R35" i="7"/>
  <c r="P35" i="7"/>
  <c r="O35" i="7"/>
  <c r="N35" i="7"/>
  <c r="M35" i="7"/>
  <c r="L35" i="7"/>
  <c r="K35" i="7"/>
  <c r="J35" i="7"/>
  <c r="I35" i="7"/>
  <c r="G35" i="7"/>
  <c r="F35" i="7"/>
  <c r="E35" i="7"/>
  <c r="D35" i="7"/>
  <c r="O33" i="7"/>
  <c r="K33" i="7"/>
  <c r="K37" i="7" s="1"/>
  <c r="I33" i="7"/>
  <c r="F33" i="7"/>
  <c r="F37" i="7" s="1"/>
  <c r="R28" i="7"/>
  <c r="R29" i="7" s="1"/>
  <c r="Q28" i="7"/>
  <c r="P28" i="7"/>
  <c r="P29" i="7" s="1"/>
  <c r="O28" i="7"/>
  <c r="N28" i="7"/>
  <c r="N29" i="7" s="1"/>
  <c r="M28" i="7"/>
  <c r="L28" i="7"/>
  <c r="L29" i="7" s="1"/>
  <c r="K28" i="7"/>
  <c r="J28" i="7"/>
  <c r="J29" i="7" s="1"/>
  <c r="I28" i="7"/>
  <c r="I42" i="7" s="1"/>
  <c r="I87" i="7" s="1"/>
  <c r="G28" i="7"/>
  <c r="G29" i="7" s="1"/>
  <c r="F28" i="7"/>
  <c r="F42" i="7" s="1"/>
  <c r="F87" i="7" s="1"/>
  <c r="E28" i="7"/>
  <c r="E29" i="7" s="1"/>
  <c r="D28" i="7"/>
  <c r="D42" i="7" s="1"/>
  <c r="D87" i="7" s="1"/>
  <c r="C28" i="7"/>
  <c r="C29" i="7" s="1"/>
  <c r="S27" i="7"/>
  <c r="R24" i="7"/>
  <c r="R33" i="7" s="1"/>
  <c r="Q24" i="7"/>
  <c r="Q33" i="7" s="1"/>
  <c r="Q37" i="7" s="1"/>
  <c r="P24" i="7"/>
  <c r="P33" i="7" s="1"/>
  <c r="P37" i="7" s="1"/>
  <c r="O24" i="7"/>
  <c r="N24" i="7"/>
  <c r="N33" i="7" s="1"/>
  <c r="N37" i="7" s="1"/>
  <c r="M24" i="7"/>
  <c r="M33" i="7" s="1"/>
  <c r="M37" i="7" s="1"/>
  <c r="L24" i="7"/>
  <c r="L33" i="7" s="1"/>
  <c r="L37" i="7" s="1"/>
  <c r="K24" i="7"/>
  <c r="J24" i="7"/>
  <c r="J33" i="7" s="1"/>
  <c r="J37" i="7" s="1"/>
  <c r="I24" i="7"/>
  <c r="G24" i="7"/>
  <c r="G33" i="7" s="1"/>
  <c r="G37" i="7" s="1"/>
  <c r="F24" i="7"/>
  <c r="E24" i="7"/>
  <c r="E33" i="7" s="1"/>
  <c r="E37" i="7" s="1"/>
  <c r="D24" i="7"/>
  <c r="D33" i="7" s="1"/>
  <c r="D37" i="7" s="1"/>
  <c r="C24" i="7"/>
  <c r="C33" i="7" s="1"/>
  <c r="S22" i="7"/>
  <c r="S21" i="7"/>
  <c r="S20" i="7"/>
  <c r="S24" i="7" s="1"/>
  <c r="R14" i="7"/>
  <c r="Q14" i="7"/>
  <c r="P14" i="7"/>
  <c r="O14" i="7"/>
  <c r="N14" i="7"/>
  <c r="M14" i="7"/>
  <c r="L14" i="7"/>
  <c r="K14" i="7"/>
  <c r="J14" i="7"/>
  <c r="I14" i="7"/>
  <c r="G14" i="7"/>
  <c r="F14" i="7"/>
  <c r="E14" i="7"/>
  <c r="D14" i="7"/>
  <c r="C14" i="7"/>
  <c r="S13" i="7"/>
  <c r="S14" i="7" s="1"/>
  <c r="S11" i="7"/>
  <c r="A3" i="7"/>
  <c r="AQ9" i="8" l="1"/>
  <c r="AR6" i="8"/>
  <c r="AR9" i="8" s="1"/>
  <c r="AE16" i="8"/>
  <c r="AE22" i="8"/>
  <c r="AE25" i="8"/>
  <c r="AE31" i="8" s="1"/>
  <c r="S35" i="7"/>
  <c r="R37" i="7"/>
  <c r="I37" i="7"/>
  <c r="O37" i="7"/>
  <c r="D88" i="7"/>
  <c r="D92" i="7" s="1"/>
  <c r="F88" i="7"/>
  <c r="F92" i="7" s="1"/>
  <c r="S37" i="7"/>
  <c r="I102" i="7"/>
  <c r="E42" i="7"/>
  <c r="J42" i="7"/>
  <c r="J43" i="7" s="1"/>
  <c r="N42" i="7"/>
  <c r="N87" i="7" s="1"/>
  <c r="R42" i="7"/>
  <c r="R87" i="7" s="1"/>
  <c r="R88" i="7" s="1"/>
  <c r="R92" i="7" s="1"/>
  <c r="C42" i="7"/>
  <c r="G42" i="7"/>
  <c r="G43" i="7" s="1"/>
  <c r="L42" i="7"/>
  <c r="L87" i="7" s="1"/>
  <c r="P42" i="7"/>
  <c r="P87" i="7" s="1"/>
  <c r="G86" i="7"/>
  <c r="G87" i="7"/>
  <c r="J87" i="7"/>
  <c r="E86" i="7"/>
  <c r="J86" i="7"/>
  <c r="L86" i="7"/>
  <c r="N86" i="7"/>
  <c r="N88" i="7" s="1"/>
  <c r="N92" i="7" s="1"/>
  <c r="P86" i="7"/>
  <c r="I86" i="7"/>
  <c r="I88" i="7" s="1"/>
  <c r="I92" i="7" s="1"/>
  <c r="Q86" i="7"/>
  <c r="T80" i="7"/>
  <c r="K42" i="7"/>
  <c r="K29" i="7"/>
  <c r="M42" i="7"/>
  <c r="M87" i="7" s="1"/>
  <c r="M88" i="7" s="1"/>
  <c r="M92" i="7" s="1"/>
  <c r="M29" i="7"/>
  <c r="O42" i="7"/>
  <c r="O43" i="7" s="1"/>
  <c r="O29" i="7"/>
  <c r="Q42" i="7"/>
  <c r="Q87" i="7" s="1"/>
  <c r="Q29" i="7"/>
  <c r="S28" i="7"/>
  <c r="S29" i="7" s="1"/>
  <c r="F29" i="7"/>
  <c r="D43" i="7"/>
  <c r="F43" i="7"/>
  <c r="I43" i="7"/>
  <c r="Q43" i="7"/>
  <c r="D29" i="7"/>
  <c r="I29" i="7"/>
  <c r="R43" i="7"/>
  <c r="C43" i="7"/>
  <c r="D11" i="3"/>
  <c r="H31" i="4"/>
  <c r="AR16" i="8" l="1"/>
  <c r="AR22" i="8"/>
  <c r="AR25" i="8"/>
  <c r="AR31" i="8" s="1"/>
  <c r="AQ16" i="8"/>
  <c r="AQ22" i="8"/>
  <c r="AQ25" i="8"/>
  <c r="AQ31" i="8" s="1"/>
  <c r="G88" i="7"/>
  <c r="G92" i="7" s="1"/>
  <c r="E87" i="7"/>
  <c r="S42" i="7"/>
  <c r="S43" i="7" s="1"/>
  <c r="E88" i="7"/>
  <c r="E92" i="7" s="1"/>
  <c r="P43" i="7"/>
  <c r="J88" i="7"/>
  <c r="J92" i="7" s="1"/>
  <c r="L88" i="7"/>
  <c r="L92" i="7" s="1"/>
  <c r="P88" i="7"/>
  <c r="P92" i="7" s="1"/>
  <c r="S86" i="7"/>
  <c r="K43" i="7"/>
  <c r="K87" i="7"/>
  <c r="K88" i="7" s="1"/>
  <c r="K92" i="7" s="1"/>
  <c r="O87" i="7"/>
  <c r="O88" i="7" s="1"/>
  <c r="O92" i="7" s="1"/>
  <c r="L43" i="7"/>
  <c r="M43" i="7"/>
  <c r="Q88" i="7"/>
  <c r="N43" i="7"/>
  <c r="E43" i="7"/>
  <c r="T88" i="7"/>
  <c r="U88" i="7" s="1"/>
  <c r="H135" i="4"/>
  <c r="H143" i="4" s="1"/>
  <c r="S87" i="7" l="1"/>
  <c r="S88" i="7" s="1"/>
  <c r="H34" i="4"/>
  <c r="G113" i="6" l="1"/>
  <c r="G119" i="6" s="1"/>
  <c r="F113" i="6"/>
  <c r="D113" i="6"/>
  <c r="C113" i="6"/>
  <c r="I112" i="6"/>
  <c r="E112" i="6"/>
  <c r="K112" i="6" s="1"/>
  <c r="N111" i="6"/>
  <c r="N112" i="6" s="1"/>
  <c r="I111" i="6"/>
  <c r="E111" i="6"/>
  <c r="K111" i="6" s="1"/>
  <c r="M110" i="6"/>
  <c r="I110" i="6"/>
  <c r="E110" i="6"/>
  <c r="K110" i="6" s="1"/>
  <c r="I109" i="6"/>
  <c r="E109" i="6"/>
  <c r="I108" i="6"/>
  <c r="E108" i="6"/>
  <c r="K108" i="6" s="1"/>
  <c r="I107" i="6"/>
  <c r="E107" i="6"/>
  <c r="K107" i="6" s="1"/>
  <c r="I106" i="6"/>
  <c r="E106" i="6"/>
  <c r="K106" i="6" s="1"/>
  <c r="I105" i="6"/>
  <c r="E105" i="6"/>
  <c r="I104" i="6"/>
  <c r="E104" i="6"/>
  <c r="K104" i="6" s="1"/>
  <c r="I103" i="6"/>
  <c r="E103" i="6"/>
  <c r="K103" i="6" s="1"/>
  <c r="I102" i="6"/>
  <c r="E102" i="6"/>
  <c r="K102" i="6" s="1"/>
  <c r="I101" i="6"/>
  <c r="E101" i="6"/>
  <c r="I100" i="6"/>
  <c r="E100" i="6"/>
  <c r="E113" i="6" s="1"/>
  <c r="I99" i="6"/>
  <c r="I113" i="6" s="1"/>
  <c r="E99" i="6"/>
  <c r="K99" i="6" s="1"/>
  <c r="K113" i="6" s="1"/>
  <c r="E98" i="6"/>
  <c r="Q86" i="6"/>
  <c r="O86" i="6"/>
  <c r="M86" i="6"/>
  <c r="K86" i="6"/>
  <c r="I86" i="6"/>
  <c r="C86" i="6"/>
  <c r="C88" i="6" s="1"/>
  <c r="R80" i="6"/>
  <c r="O80" i="6"/>
  <c r="N80" i="6"/>
  <c r="M80" i="6"/>
  <c r="F80" i="6"/>
  <c r="E80" i="6"/>
  <c r="D80" i="6"/>
  <c r="C80" i="6"/>
  <c r="R79" i="6"/>
  <c r="Q79" i="6"/>
  <c r="P79" i="6"/>
  <c r="O79" i="6"/>
  <c r="J79" i="6"/>
  <c r="D79" i="6"/>
  <c r="S79" i="6" s="1"/>
  <c r="P77" i="6"/>
  <c r="P80" i="6" s="1"/>
  <c r="N77" i="6"/>
  <c r="L77" i="6"/>
  <c r="K77" i="6"/>
  <c r="K80" i="6" s="1"/>
  <c r="J77" i="6"/>
  <c r="J80" i="6" s="1"/>
  <c r="I77" i="6"/>
  <c r="I80" i="6" s="1"/>
  <c r="H77" i="6"/>
  <c r="H87" i="6" s="1"/>
  <c r="G77" i="6"/>
  <c r="P76" i="6"/>
  <c r="L76" i="6"/>
  <c r="L80" i="6" s="1"/>
  <c r="H76" i="6"/>
  <c r="H86" i="6" s="1"/>
  <c r="H88" i="6" s="1"/>
  <c r="G76" i="6"/>
  <c r="G80" i="6" s="1"/>
  <c r="Q75" i="6"/>
  <c r="G64" i="6"/>
  <c r="G70" i="6" s="1"/>
  <c r="F64" i="6"/>
  <c r="D64" i="6"/>
  <c r="C64" i="6"/>
  <c r="I63" i="6"/>
  <c r="E63" i="6"/>
  <c r="K63" i="6" s="1"/>
  <c r="N62" i="6"/>
  <c r="N63" i="6" s="1"/>
  <c r="I62" i="6"/>
  <c r="E62" i="6"/>
  <c r="K62" i="6" s="1"/>
  <c r="M61" i="6"/>
  <c r="I61" i="6"/>
  <c r="E61" i="6"/>
  <c r="K61" i="6" s="1"/>
  <c r="I60" i="6"/>
  <c r="E60" i="6"/>
  <c r="K60" i="6" s="1"/>
  <c r="I59" i="6"/>
  <c r="E59" i="6"/>
  <c r="K59" i="6" s="1"/>
  <c r="I58" i="6"/>
  <c r="E58" i="6"/>
  <c r="I57" i="6"/>
  <c r="E57" i="6"/>
  <c r="K57" i="6" s="1"/>
  <c r="I56" i="6"/>
  <c r="E56" i="6"/>
  <c r="K56" i="6" s="1"/>
  <c r="I55" i="6"/>
  <c r="E55" i="6"/>
  <c r="K55" i="6" s="1"/>
  <c r="I54" i="6"/>
  <c r="E54" i="6"/>
  <c r="I53" i="6"/>
  <c r="E53" i="6"/>
  <c r="K53" i="6" s="1"/>
  <c r="I52" i="6"/>
  <c r="E52" i="6"/>
  <c r="K52" i="6" s="1"/>
  <c r="I51" i="6"/>
  <c r="E51" i="6"/>
  <c r="K51" i="6" s="1"/>
  <c r="I50" i="6"/>
  <c r="I64" i="6" s="1"/>
  <c r="E50" i="6"/>
  <c r="E49" i="6"/>
  <c r="E64" i="6" s="1"/>
  <c r="R41" i="6"/>
  <c r="R86" i="6" s="1"/>
  <c r="Q41" i="6"/>
  <c r="Q43" i="6" s="1"/>
  <c r="P41" i="6"/>
  <c r="P86" i="6" s="1"/>
  <c r="O41" i="6"/>
  <c r="N41" i="6"/>
  <c r="N86" i="6" s="1"/>
  <c r="M41" i="6"/>
  <c r="L41" i="6"/>
  <c r="K41" i="6"/>
  <c r="J41" i="6"/>
  <c r="J86" i="6" s="1"/>
  <c r="I41" i="6"/>
  <c r="G41" i="6"/>
  <c r="F41" i="6"/>
  <c r="F86" i="6" s="1"/>
  <c r="E41" i="6"/>
  <c r="E86" i="6" s="1"/>
  <c r="D41" i="6"/>
  <c r="D86" i="6" s="1"/>
  <c r="C41" i="6"/>
  <c r="S41" i="6" s="1"/>
  <c r="R35" i="6"/>
  <c r="R37" i="6" s="1"/>
  <c r="P35" i="6"/>
  <c r="O35" i="6"/>
  <c r="N35" i="6"/>
  <c r="N37" i="6" s="1"/>
  <c r="M35" i="6"/>
  <c r="L35" i="6"/>
  <c r="K35" i="6"/>
  <c r="J35" i="6"/>
  <c r="J37" i="6" s="1"/>
  <c r="I35" i="6"/>
  <c r="G35" i="6"/>
  <c r="F35" i="6"/>
  <c r="E35" i="6"/>
  <c r="E37" i="6" s="1"/>
  <c r="D35" i="6"/>
  <c r="S34" i="6"/>
  <c r="R28" i="6"/>
  <c r="R29" i="6" s="1"/>
  <c r="Q28" i="6"/>
  <c r="Q42" i="6" s="1"/>
  <c r="Q87" i="6" s="1"/>
  <c r="P28" i="6"/>
  <c r="O28" i="6"/>
  <c r="N28" i="6"/>
  <c r="M28" i="6"/>
  <c r="L28" i="6"/>
  <c r="K28" i="6"/>
  <c r="J28" i="6"/>
  <c r="I28" i="6"/>
  <c r="G28" i="6"/>
  <c r="F28" i="6"/>
  <c r="E28" i="6"/>
  <c r="D28" i="6"/>
  <c r="C28" i="6"/>
  <c r="S28" i="6" s="1"/>
  <c r="S29" i="6" s="1"/>
  <c r="S27" i="6"/>
  <c r="R24" i="6"/>
  <c r="R33" i="6" s="1"/>
  <c r="Q24" i="6"/>
  <c r="Q33" i="6" s="1"/>
  <c r="Q37" i="6" s="1"/>
  <c r="P24" i="6"/>
  <c r="P33" i="6" s="1"/>
  <c r="O24" i="6"/>
  <c r="O33" i="6" s="1"/>
  <c r="N24" i="6"/>
  <c r="N33" i="6" s="1"/>
  <c r="M24" i="6"/>
  <c r="M33" i="6" s="1"/>
  <c r="L24" i="6"/>
  <c r="L33" i="6" s="1"/>
  <c r="K24" i="6"/>
  <c r="K33" i="6" s="1"/>
  <c r="J24" i="6"/>
  <c r="J33" i="6" s="1"/>
  <c r="I24" i="6"/>
  <c r="I33" i="6" s="1"/>
  <c r="G24" i="6"/>
  <c r="G33" i="6" s="1"/>
  <c r="F24" i="6"/>
  <c r="F33" i="6" s="1"/>
  <c r="E24" i="6"/>
  <c r="E33" i="6" s="1"/>
  <c r="D24" i="6"/>
  <c r="D33" i="6" s="1"/>
  <c r="C24" i="6"/>
  <c r="C33" i="6" s="1"/>
  <c r="C37" i="6" s="1"/>
  <c r="S22" i="6"/>
  <c r="S21" i="6"/>
  <c r="S20" i="6"/>
  <c r="S24" i="6" s="1"/>
  <c r="R14" i="6"/>
  <c r="Q14" i="6"/>
  <c r="P14" i="6"/>
  <c r="O14" i="6"/>
  <c r="N14" i="6"/>
  <c r="M14" i="6"/>
  <c r="L14" i="6"/>
  <c r="K14" i="6"/>
  <c r="J14" i="6"/>
  <c r="I14" i="6"/>
  <c r="G14" i="6"/>
  <c r="F14" i="6"/>
  <c r="E14" i="6"/>
  <c r="D14" i="6"/>
  <c r="C14" i="6"/>
  <c r="S13" i="6"/>
  <c r="S11" i="6"/>
  <c r="S14" i="6" s="1"/>
  <c r="A3" i="6"/>
  <c r="G37" i="6" l="1"/>
  <c r="L37" i="6"/>
  <c r="P37" i="6"/>
  <c r="E42" i="6"/>
  <c r="E87" i="6" s="1"/>
  <c r="E88" i="6" s="1"/>
  <c r="G42" i="6"/>
  <c r="G87" i="6" s="1"/>
  <c r="J42" i="6"/>
  <c r="J87" i="6" s="1"/>
  <c r="J88" i="6" s="1"/>
  <c r="L42" i="6"/>
  <c r="L87" i="6" s="1"/>
  <c r="N42" i="6"/>
  <c r="N87" i="6" s="1"/>
  <c r="N88" i="6" s="1"/>
  <c r="P42" i="6"/>
  <c r="P87" i="6" s="1"/>
  <c r="P88" i="6" s="1"/>
  <c r="S35" i="6"/>
  <c r="F37" i="6"/>
  <c r="I37" i="6"/>
  <c r="K37" i="6"/>
  <c r="M37" i="6"/>
  <c r="O37" i="6"/>
  <c r="G43" i="6"/>
  <c r="L43" i="6"/>
  <c r="P43" i="6"/>
  <c r="D37" i="6"/>
  <c r="S33" i="6"/>
  <c r="C29" i="6"/>
  <c r="E29" i="6"/>
  <c r="G29" i="6"/>
  <c r="J29" i="6"/>
  <c r="L29" i="6"/>
  <c r="N29" i="6"/>
  <c r="P29" i="6"/>
  <c r="C42" i="6"/>
  <c r="S76" i="6"/>
  <c r="H80" i="6"/>
  <c r="G86" i="6"/>
  <c r="K100" i="6"/>
  <c r="D42" i="6"/>
  <c r="D87" i="6" s="1"/>
  <c r="F42" i="6"/>
  <c r="F87" i="6" s="1"/>
  <c r="F88" i="6" s="1"/>
  <c r="I42" i="6"/>
  <c r="I87" i="6" s="1"/>
  <c r="I88" i="6" s="1"/>
  <c r="K42" i="6"/>
  <c r="K87" i="6" s="1"/>
  <c r="K88" i="6" s="1"/>
  <c r="M42" i="6"/>
  <c r="M87" i="6" s="1"/>
  <c r="M88" i="6" s="1"/>
  <c r="O42" i="6"/>
  <c r="O87" i="6" s="1"/>
  <c r="O88" i="6" s="1"/>
  <c r="D29" i="6"/>
  <c r="F29" i="6"/>
  <c r="I29" i="6"/>
  <c r="K29" i="6"/>
  <c r="M29" i="6"/>
  <c r="O29" i="6"/>
  <c r="Q29" i="6"/>
  <c r="L86" i="6"/>
  <c r="R42" i="6"/>
  <c r="R87" i="6" s="1"/>
  <c r="R88" i="6" s="1"/>
  <c r="J43" i="6"/>
  <c r="R43" i="6"/>
  <c r="K50" i="6"/>
  <c r="K64" i="6" s="1"/>
  <c r="K54" i="6"/>
  <c r="K58" i="6"/>
  <c r="Q80" i="6"/>
  <c r="S75" i="6"/>
  <c r="S80" i="6" s="1"/>
  <c r="S77" i="6"/>
  <c r="Q88" i="6"/>
  <c r="K101" i="6"/>
  <c r="K105" i="6"/>
  <c r="K109" i="6"/>
  <c r="N43" i="6" l="1"/>
  <c r="E43" i="6"/>
  <c r="S37" i="6"/>
  <c r="D43" i="6"/>
  <c r="F43" i="6"/>
  <c r="L88" i="6"/>
  <c r="G88" i="6"/>
  <c r="S87" i="6"/>
  <c r="S86" i="6"/>
  <c r="S42" i="6"/>
  <c r="S43" i="6" s="1"/>
  <c r="C43" i="6"/>
  <c r="M43" i="6"/>
  <c r="I43" i="6"/>
  <c r="O43" i="6"/>
  <c r="K43" i="6"/>
  <c r="D88" i="6"/>
  <c r="H203" i="5"/>
  <c r="F177" i="5"/>
  <c r="F176" i="5"/>
  <c r="H174" i="5"/>
  <c r="I171" i="5"/>
  <c r="I170" i="5"/>
  <c r="I172" i="5" s="1"/>
  <c r="I169" i="5"/>
  <c r="F165" i="5"/>
  <c r="F166" i="5" s="1"/>
  <c r="K154" i="5"/>
  <c r="J153" i="5"/>
  <c r="F152" i="5"/>
  <c r="F153" i="5" s="1"/>
  <c r="F141" i="5"/>
  <c r="F142" i="5" s="1"/>
  <c r="I135" i="5"/>
  <c r="F132" i="5"/>
  <c r="E133" i="5" s="1"/>
  <c r="F131" i="5"/>
  <c r="F122" i="5"/>
  <c r="E123" i="5" s="1"/>
  <c r="F121" i="5"/>
  <c r="K111" i="5"/>
  <c r="J110" i="5"/>
  <c r="F109" i="5"/>
  <c r="F110" i="5" s="1"/>
  <c r="K99" i="5"/>
  <c r="J98" i="5"/>
  <c r="F98" i="5"/>
  <c r="F97" i="5"/>
  <c r="K87" i="5"/>
  <c r="J86" i="5"/>
  <c r="F86" i="5"/>
  <c r="F85" i="5"/>
  <c r="K75" i="5"/>
  <c r="J74" i="5"/>
  <c r="F71" i="5"/>
  <c r="F72" i="5" s="1"/>
  <c r="F73" i="5" s="1"/>
  <c r="F74" i="5" s="1"/>
  <c r="F75" i="5" s="1"/>
  <c r="F76" i="5" s="1"/>
  <c r="F77" i="5" s="1"/>
  <c r="F78" i="5" s="1"/>
  <c r="L78" i="5" s="1"/>
  <c r="F59" i="5"/>
  <c r="F60" i="5" s="1"/>
  <c r="F61" i="5" s="1"/>
  <c r="F62" i="5" s="1"/>
  <c r="F63" i="5" s="1"/>
  <c r="F64" i="5" s="1"/>
  <c r="F65" i="5" s="1"/>
  <c r="L65" i="5" s="1"/>
  <c r="K48" i="5"/>
  <c r="J47" i="5"/>
  <c r="F45" i="5"/>
  <c r="F46" i="5" s="1"/>
  <c r="F35" i="5"/>
  <c r="F36" i="5" s="1"/>
  <c r="F28" i="5"/>
  <c r="L28" i="5" s="1"/>
  <c r="F26" i="5"/>
  <c r="F27" i="5" s="1"/>
  <c r="F25" i="5"/>
  <c r="F17" i="5"/>
  <c r="F18" i="5" s="1"/>
  <c r="L18" i="5" s="1"/>
  <c r="F15" i="5"/>
  <c r="F16" i="5" s="1"/>
  <c r="F8" i="5"/>
  <c r="L8" i="5" s="1"/>
  <c r="F7" i="5"/>
  <c r="S88" i="6" l="1"/>
  <c r="E47" i="5"/>
  <c r="F47" i="5" s="1"/>
  <c r="F48" i="5" s="1"/>
  <c r="F49" i="5" s="1"/>
  <c r="F50" i="5" s="1"/>
  <c r="F51" i="5" s="1"/>
  <c r="F52" i="5" s="1"/>
  <c r="L52" i="5" s="1"/>
  <c r="E154" i="5"/>
  <c r="F154" i="5"/>
  <c r="F155" i="5" s="1"/>
  <c r="F156" i="5" s="1"/>
  <c r="F157" i="5" s="1"/>
  <c r="F158" i="5" s="1"/>
  <c r="F159" i="5" s="1"/>
  <c r="L159" i="5" s="1"/>
  <c r="E37" i="5"/>
  <c r="F37" i="5" s="1"/>
  <c r="F38" i="5" s="1"/>
  <c r="L38" i="5" s="1"/>
  <c r="E111" i="5"/>
  <c r="F111" i="5"/>
  <c r="F112" i="5" s="1"/>
  <c r="F113" i="5" s="1"/>
  <c r="F114" i="5" s="1"/>
  <c r="F115" i="5" s="1"/>
  <c r="L115" i="5" s="1"/>
  <c r="E143" i="5"/>
  <c r="F143" i="5" s="1"/>
  <c r="F144" i="5" s="1"/>
  <c r="L144" i="5" s="1"/>
  <c r="E167" i="5"/>
  <c r="F167" i="5" s="1"/>
  <c r="E87" i="5"/>
  <c r="F87" i="5" s="1"/>
  <c r="F88" i="5" s="1"/>
  <c r="F89" i="5" s="1"/>
  <c r="F90" i="5" s="1"/>
  <c r="L90" i="5" s="1"/>
  <c r="E99" i="5"/>
  <c r="F99" i="5" s="1"/>
  <c r="F100" i="5" s="1"/>
  <c r="F101" i="5" s="1"/>
  <c r="F102" i="5" s="1"/>
  <c r="F103" i="5" s="1"/>
  <c r="L103" i="5" s="1"/>
  <c r="F123" i="5"/>
  <c r="F124" i="5" s="1"/>
  <c r="L124" i="5" s="1"/>
  <c r="F133" i="5"/>
  <c r="F134" i="5" s="1"/>
  <c r="L135" i="5" s="1"/>
  <c r="D42" i="4"/>
  <c r="D36" i="4"/>
  <c r="H79" i="4"/>
  <c r="H80" i="4" s="1"/>
  <c r="D15" i="3"/>
  <c r="D18" i="4"/>
  <c r="D25" i="4"/>
  <c r="H51" i="4"/>
  <c r="H45" i="4"/>
  <c r="H28" i="4"/>
  <c r="H20" i="4"/>
  <c r="H12" i="4"/>
  <c r="H21" i="4" s="1"/>
  <c r="I78" i="3"/>
  <c r="I14" i="3"/>
  <c r="D10" i="3"/>
  <c r="I9" i="3"/>
  <c r="D24" i="3"/>
  <c r="D43" i="4" l="1"/>
  <c r="D27" i="4"/>
  <c r="D29" i="3"/>
  <c r="D33" i="3" s="1"/>
  <c r="E168" i="5"/>
  <c r="F168" i="5" s="1"/>
  <c r="L169" i="5" s="1"/>
  <c r="L174" i="5" s="1"/>
  <c r="D45" i="4" l="1"/>
</calcChain>
</file>

<file path=xl/sharedStrings.xml><?xml version="1.0" encoding="utf-8"?>
<sst xmlns="http://schemas.openxmlformats.org/spreadsheetml/2006/main" count="1271" uniqueCount="520">
  <si>
    <t>Student Name</t>
  </si>
  <si>
    <t>Per Month</t>
  </si>
  <si>
    <t>Due Month</t>
  </si>
  <si>
    <t>Total</t>
  </si>
  <si>
    <t>2 - Saad Ahmed</t>
  </si>
  <si>
    <t>1500/-</t>
  </si>
  <si>
    <t>May-24 to July-24</t>
  </si>
  <si>
    <t>5 - M.Ghani</t>
  </si>
  <si>
    <t>6 - Aiza Danish</t>
  </si>
  <si>
    <t>7 - Muhib Bin Muhammad (Ghashrib)</t>
  </si>
  <si>
    <t>2500/-</t>
  </si>
  <si>
    <t>April-24 to July-24</t>
  </si>
  <si>
    <t>8 - Kashif Saleem</t>
  </si>
  <si>
    <t>1000/-</t>
  </si>
  <si>
    <t>9 - Filza Fatima</t>
  </si>
  <si>
    <t>Sep-23 to July-24</t>
  </si>
  <si>
    <t>14 - Ume Habiba</t>
  </si>
  <si>
    <t>4000/-</t>
  </si>
  <si>
    <t>17 - Ayesha Murtaza</t>
  </si>
  <si>
    <t>19 - M.Farhan Ali</t>
  </si>
  <si>
    <t>4500/-</t>
  </si>
  <si>
    <t>20 - Shahir</t>
  </si>
  <si>
    <t>18000/-</t>
  </si>
  <si>
    <t>21 - Ashar Hussain</t>
  </si>
  <si>
    <t>22 - M.Ahmed</t>
  </si>
  <si>
    <t>Oct-23 to July-24</t>
  </si>
  <si>
    <t>24 - A.Moiz Sheikh</t>
  </si>
  <si>
    <t>Feb-23 to July-24</t>
  </si>
  <si>
    <t>26 - M.Rayyan Riaz</t>
  </si>
  <si>
    <t>5000/-</t>
  </si>
  <si>
    <t>27 - M.Sufyan Riaz</t>
  </si>
  <si>
    <t>28 - Maya Azher</t>
  </si>
  <si>
    <t>Feb-24 to July-24</t>
  </si>
  <si>
    <t>29 - Hassan Ahtesham</t>
  </si>
  <si>
    <t>May-23 to July-24</t>
  </si>
  <si>
    <t>30 - Syed Aiman Fatima</t>
  </si>
  <si>
    <t>8000/-</t>
  </si>
  <si>
    <t>31 - M.Umer Hassan</t>
  </si>
  <si>
    <t>32 - Noor Fatima</t>
  </si>
  <si>
    <t>10000/-</t>
  </si>
  <si>
    <t>33 - M.Azeem (Muzammil Ashraf)</t>
  </si>
  <si>
    <t>34 - Syed Kumail Raza</t>
  </si>
  <si>
    <t>March-24 to July-24</t>
  </si>
  <si>
    <t>35 - M.Mustafa</t>
  </si>
  <si>
    <t>36 - WMO</t>
  </si>
  <si>
    <t>130000/-</t>
  </si>
  <si>
    <t>40 - Hassan Razzaq</t>
  </si>
  <si>
    <t>12500/-</t>
  </si>
  <si>
    <t>July-23 to July-24</t>
  </si>
  <si>
    <t>41 - Shifa Kulsoom</t>
  </si>
  <si>
    <t>15000/-</t>
  </si>
  <si>
    <t>42 - Faqir A.Wahab</t>
  </si>
  <si>
    <t>43 - Faizan Hameed</t>
  </si>
  <si>
    <t>6000/-</t>
  </si>
  <si>
    <t>Nov-23 to July-24</t>
  </si>
  <si>
    <t>44 - Munhib Ahmed</t>
  </si>
  <si>
    <t>45 - Arslan Bin Ayub Barki</t>
  </si>
  <si>
    <t>20000/-</t>
  </si>
  <si>
    <t>46 - Syeda Rija Kiran</t>
  </si>
  <si>
    <t>49 - Rayyan Wasiq</t>
  </si>
  <si>
    <t>50 - Umaima Ishaq</t>
  </si>
  <si>
    <t>2000/-</t>
  </si>
  <si>
    <t>57 - Hamdan Siddiqi</t>
  </si>
  <si>
    <t>Jan-24 to July-24</t>
  </si>
  <si>
    <t>61 - Rafay Siddiqui</t>
  </si>
  <si>
    <t>7000/-</t>
  </si>
  <si>
    <t>62 - Zoha Fatima</t>
  </si>
  <si>
    <t>3000/-</t>
  </si>
  <si>
    <t>July--24</t>
  </si>
  <si>
    <t>63 - Ibrahim</t>
  </si>
  <si>
    <t>64 - Paristish</t>
  </si>
  <si>
    <t>65 - Haroon</t>
  </si>
  <si>
    <t>66 - Eman A.Sattar</t>
  </si>
  <si>
    <t>67 - Abdullah Malik</t>
  </si>
  <si>
    <t>68 - Hafeezur Rehman</t>
  </si>
  <si>
    <t>69 - Syed M.Abbas</t>
  </si>
  <si>
    <t>70 - M.Danyal Shehzad</t>
  </si>
  <si>
    <t>71 - M.Anas Zulfiqar</t>
  </si>
  <si>
    <t>72 - Usaid Umer</t>
  </si>
  <si>
    <t>73 - Abiha Fatima</t>
  </si>
  <si>
    <t>74 - Saqib Ali</t>
  </si>
  <si>
    <t>76 - Sufyan Ibrahim Khoso</t>
  </si>
  <si>
    <t>77 - Laiba</t>
  </si>
  <si>
    <t>80 - Ahmed Raza</t>
  </si>
  <si>
    <t>81 - Talha</t>
  </si>
  <si>
    <t>82 - Sohaib Naeem</t>
  </si>
  <si>
    <t>86 - Alveera Aalam</t>
  </si>
  <si>
    <t>87 - Syed Maaz Ali</t>
  </si>
  <si>
    <t>TRIAL BALANCE AS AT JUNE 30, 2024</t>
  </si>
  <si>
    <t>GL Account</t>
  </si>
  <si>
    <t>Opening Balance</t>
  </si>
  <si>
    <t>Debit</t>
  </si>
  <si>
    <t>Credit</t>
  </si>
  <si>
    <t>Closing Balance</t>
  </si>
  <si>
    <t>Assets</t>
  </si>
  <si>
    <t>1010101002 - Lease Hold Improvements</t>
  </si>
  <si>
    <t>1010101003 - Land leased</t>
  </si>
  <si>
    <t>1010101004 - Building leased</t>
  </si>
  <si>
    <t>1010101005 - Computer &amp; Accessories</t>
  </si>
  <si>
    <t>1010101006 - Vehicles owned</t>
  </si>
  <si>
    <t>1010101009 - Furnitures &amp; Fixtures</t>
  </si>
  <si>
    <t>1010101010 - Equipment</t>
  </si>
  <si>
    <t>Assets - Accumulated</t>
  </si>
  <si>
    <t>1010102001 - Accumulated depreciation building owned</t>
  </si>
  <si>
    <t>1010102003 - Accumulated depreciation Leasehold Improvements</t>
  </si>
  <si>
    <t>1010102004 - Accumulated depreciation Computer &amp; Accessories</t>
  </si>
  <si>
    <t>1010102005 - Accumulated depreciation Vehicles onwed</t>
  </si>
  <si>
    <t>1010102008 - Accumulated depreciation Furnitures &amp; Fixtures</t>
  </si>
  <si>
    <t>1010102009 - Accumulated depreciation Equipment</t>
  </si>
  <si>
    <t>Assets - Long Term deposit</t>
  </si>
  <si>
    <t>1010301001 - Long-Term Deposits Suppliers</t>
  </si>
  <si>
    <t>Assets - Long Term Investment</t>
  </si>
  <si>
    <t>1010601001 - Investments in PIBs</t>
  </si>
  <si>
    <t>Assets - Intrest Receivable</t>
  </si>
  <si>
    <t>10201101001 - Interest Receivable PIBs</t>
  </si>
  <si>
    <t>10201101002 - Interest Receivable Treasury Bills</t>
  </si>
  <si>
    <t>10201101004 - Profit Receivable Savings Account</t>
  </si>
  <si>
    <t>Assets - Fee Receivable</t>
  </si>
  <si>
    <t>1020301003 - Fee Receivable-Tuition</t>
  </si>
  <si>
    <t>Assets - Other Receivable</t>
  </si>
  <si>
    <t>1020403001 - Suspense  Account</t>
  </si>
  <si>
    <t>1020403003 - Account Receiveable</t>
  </si>
  <si>
    <t>Assets - Short Term Investment</t>
  </si>
  <si>
    <t>1020501001 - Investments in Mutual Funds</t>
  </si>
  <si>
    <t>1020501005 - Investments in Market Treasury Bills</t>
  </si>
  <si>
    <t>Assets -  Advances, Deposits &amp; Prepayments</t>
  </si>
  <si>
    <t>1020601001 - Prepaid Insurance</t>
  </si>
  <si>
    <t>1020601002 - Prepaid Expenses</t>
  </si>
  <si>
    <t>Assets  -  Advance Tax</t>
  </si>
  <si>
    <t>1020701001 - Advance tax under section 147</t>
  </si>
  <si>
    <t>1020701006 - Withholding  Tax on Interest  Earned</t>
  </si>
  <si>
    <t>Assets  -  Cash &amp; Cash Equalant</t>
  </si>
  <si>
    <t>1020901001 - Petty Cash</t>
  </si>
  <si>
    <t>1020902001 - HMB Multiplier A/c20614-106804</t>
  </si>
  <si>
    <t>1020902002 - HMB FCY A/c20310-113924</t>
  </si>
  <si>
    <t>Liabilities - Trade Payable</t>
  </si>
  <si>
    <t>2020401001 - ACCOUNTS PAYABLE</t>
  </si>
  <si>
    <t>Liabilities - Advance</t>
  </si>
  <si>
    <t>2020402001 - Tuition Fee in Advance</t>
  </si>
  <si>
    <t>Liabilities - Accrued Exp</t>
  </si>
  <si>
    <t>2020404001 - ACCRUED EXPENSES</t>
  </si>
  <si>
    <t>2020404002 - ACCRUED STAFF EXPENSES</t>
  </si>
  <si>
    <t>2020404003 - ACCRUED OPERATING EXPENSES</t>
  </si>
  <si>
    <t>Liabilities - Salaries Payable</t>
  </si>
  <si>
    <t>2020407001 - SALARY PAYABLE</t>
  </si>
  <si>
    <t>2020407002 - EOBI PAYABLE</t>
  </si>
  <si>
    <t>Liabilities - WHT</t>
  </si>
  <si>
    <t>2020502002 - Withholding taxes payable - services</t>
  </si>
  <si>
    <t>2020503001 - WITHHOLDING TAX ON SALARY</t>
  </si>
  <si>
    <t>2020503002 - Withholding Tax on Supplies</t>
  </si>
  <si>
    <t>2020503003 - Withholding Tax Payable on Services</t>
  </si>
  <si>
    <t>Capital</t>
  </si>
  <si>
    <t>3040101001 - Unrestricted Net Assets</t>
  </si>
  <si>
    <t>3040101002 - Endowment Fund</t>
  </si>
  <si>
    <t>Revenues - Income</t>
  </si>
  <si>
    <t>4010104001 - Tuition Fee</t>
  </si>
  <si>
    <t>4010104003 - Admission Income</t>
  </si>
  <si>
    <t>4010104004 - Membership Income</t>
  </si>
  <si>
    <t>4010104005 - Assessment Income</t>
  </si>
  <si>
    <t>4010104008 - DIARY INCOME</t>
  </si>
  <si>
    <t>Revenues - Donation &amp; Grands</t>
  </si>
  <si>
    <t>4010105002 - Donations Local</t>
  </si>
  <si>
    <t>4010105003 - Grants &amp; Sponsorship</t>
  </si>
  <si>
    <t>4010105004 - Zakat</t>
  </si>
  <si>
    <t>Revenues - Service tax SRB</t>
  </si>
  <si>
    <t>4020102001 - Service tax SRB</t>
  </si>
  <si>
    <t>Revenues - Sundry income</t>
  </si>
  <si>
    <t>4020103001 - Sundry  income</t>
  </si>
  <si>
    <t>Expense - Salary exp</t>
  </si>
  <si>
    <t>5010101001 - Salary Expense</t>
  </si>
  <si>
    <t>5010101005 - Staff Gratuity</t>
  </si>
  <si>
    <t>5010101007 - Leave Encashment</t>
  </si>
  <si>
    <t>5010101008 - Bonus</t>
  </si>
  <si>
    <t>5010101009 - Ex-Gratia</t>
  </si>
  <si>
    <t>5010101011 - Co Contribution to EOBI</t>
  </si>
  <si>
    <t>5010101012 - Training &amp; Development</t>
  </si>
  <si>
    <t>Expense -  Utilities</t>
  </si>
  <si>
    <t>5010102001 - Electricity</t>
  </si>
  <si>
    <t>5010102002 - Gas</t>
  </si>
  <si>
    <t>5010102004 - Generator Fuel</t>
  </si>
  <si>
    <t>Expense -  Communication</t>
  </si>
  <si>
    <t>5010103002 - Telephone-Mobile</t>
  </si>
  <si>
    <t>5010103003 - Internet Charges</t>
  </si>
  <si>
    <t>5010103004 - Internet Devices</t>
  </si>
  <si>
    <t>5010103007 - Postage &amp; Courier</t>
  </si>
  <si>
    <t>5010103008 - Web and Email Hosting Services</t>
  </si>
  <si>
    <t>Expense -  Printing &amp; Stationery</t>
  </si>
  <si>
    <t>5010106001 - Stationery Supplies</t>
  </si>
  <si>
    <t>5010106002 - Printing Charges</t>
  </si>
  <si>
    <t>5010106004 - Photocopying Charges</t>
  </si>
  <si>
    <t>5010106007 - Computer Papers</t>
  </si>
  <si>
    <t>5010106008 - Computer Accessories</t>
  </si>
  <si>
    <t>5010106009 - Printer Accessories</t>
  </si>
  <si>
    <t>5010106010 - Consumables</t>
  </si>
  <si>
    <t>5010106011 - Stationery &amp; Other Supplies ( Education)</t>
  </si>
  <si>
    <t>Expense -  Travelling &amp; Conveyence</t>
  </si>
  <si>
    <t>5010107005 - Conveyance Reimbursement</t>
  </si>
  <si>
    <t>5010107006 - Van Contractor Service Charges</t>
  </si>
  <si>
    <t>Expense -  Entertainment</t>
  </si>
  <si>
    <t>5010108001 - Staff entertainment</t>
  </si>
  <si>
    <t>5010108002 - Guests entertainment</t>
  </si>
  <si>
    <t>5010108003 - Rehab programs - food &amp; beverages</t>
  </si>
  <si>
    <t>5010108004 - Hearing &amp; IQ test  CP Child</t>
  </si>
  <si>
    <t>Expense -  Legal &amp; Professional Expenses</t>
  </si>
  <si>
    <t>5010110003 - Other Legal Expnses</t>
  </si>
  <si>
    <t>5010110005 - Professional Fee</t>
  </si>
  <si>
    <t>Expense -  Repair And Maintenance</t>
  </si>
  <si>
    <t>5010111001 - Repair &amp; Maintenance Premises</t>
  </si>
  <si>
    <t>5010111002 - Office Maintenance</t>
  </si>
  <si>
    <t>5010111003 - Equipment Maintenance</t>
  </si>
  <si>
    <t>5010111004 - Air Conditioner Maintenance</t>
  </si>
  <si>
    <t>5010111005 - Generator Maintenance</t>
  </si>
  <si>
    <t>5010111006 - Furniture &amp; Fixture  Maintenance</t>
  </si>
  <si>
    <t>5010111007 - Computer Maintenance</t>
  </si>
  <si>
    <t>5010111009 - Lift Maintenance</t>
  </si>
  <si>
    <t>5010111010 - Electric Fittings</t>
  </si>
  <si>
    <t>5010111011 - Repair &amp; Maintenance CCTV Camera</t>
  </si>
  <si>
    <t>Expense -  General Expense</t>
  </si>
  <si>
    <t>5010112001 - General Expenses</t>
  </si>
  <si>
    <t>5010112002 - Fees and Subscriptions</t>
  </si>
  <si>
    <t>5010112003 - Books/Newspapers/Journals</t>
  </si>
  <si>
    <t>5010112005 - Seminars Conference and Functions</t>
  </si>
  <si>
    <t>Expense -  Vehicle Maintenance</t>
  </si>
  <si>
    <t>5010113001 - Vehicle Repair &amp; Maintenance</t>
  </si>
  <si>
    <t>5010113002 - Vehicle Fuel</t>
  </si>
  <si>
    <t>5010113003 - Vehicle Insurance</t>
  </si>
  <si>
    <t>5010113004 - Vehicle Registration &amp; Taxes</t>
  </si>
  <si>
    <t>Expense -  Insurance</t>
  </si>
  <si>
    <t>5010115001 - Other Fixed Assets Insurance</t>
  </si>
  <si>
    <t>5010115005 - Building Terrorism</t>
  </si>
  <si>
    <t>Expense -  Depreciation Expense</t>
  </si>
  <si>
    <t>5010116001 - Depreciation building owned</t>
  </si>
  <si>
    <t>5010116006 - Depreciation vehicles onwed</t>
  </si>
  <si>
    <t>5010116009 - Depreciation Furnitures &amp; Fixtures</t>
  </si>
  <si>
    <t>5010116011 - Depreciation Leasehold Improvements</t>
  </si>
  <si>
    <t>5010116012 - Depreciation Equipment</t>
  </si>
  <si>
    <t>Expense -  Bad Debts</t>
  </si>
  <si>
    <t>5010119001 - Provision for bad debts - Fee receivable</t>
  </si>
  <si>
    <t>Expense -  Security Charges</t>
  </si>
  <si>
    <t>5010120001 - Security Charges</t>
  </si>
  <si>
    <t>Expense - Other Expenses</t>
  </si>
  <si>
    <t>50102001 - Other Expenses</t>
  </si>
  <si>
    <t>50102002 - Other CP Cild Exp</t>
  </si>
  <si>
    <t>Expense -  Financial charges</t>
  </si>
  <si>
    <t>60101001 - Bank Charges</t>
  </si>
  <si>
    <t>Revenues - Other Income</t>
  </si>
  <si>
    <t>70101002 - Dividend Income unlisted</t>
  </si>
  <si>
    <t>70101004 - Gain/Loss On FCYExchange</t>
  </si>
  <si>
    <t>70101005 - Dividend income mutual funds</t>
  </si>
  <si>
    <t>70101006 - Profit Earned on Term Deposit Receipts</t>
  </si>
  <si>
    <t>70101007 - Profit Earned on Treasury Bills</t>
  </si>
  <si>
    <t>70101010 - Profit Earned on PIBs</t>
  </si>
  <si>
    <t>70101011 - Profit Earned on Bank Account</t>
  </si>
  <si>
    <t>70101019 - Rounding Difference - PKR</t>
  </si>
  <si>
    <t>70101020 - Gain/Loss on Mutual Funds Revaluation</t>
  </si>
  <si>
    <t>Grand Total        &gt;&gt;&gt;&gt;&gt;&gt;&gt;&gt;</t>
  </si>
  <si>
    <t xml:space="preserve"> </t>
  </si>
  <si>
    <t>INCOME</t>
  </si>
  <si>
    <t>Donations</t>
  </si>
  <si>
    <t>Donations in kind</t>
  </si>
  <si>
    <t>Foreign donations</t>
  </si>
  <si>
    <t xml:space="preserve">Zakat receipts </t>
  </si>
  <si>
    <t xml:space="preserve">Sponsorship </t>
  </si>
  <si>
    <t>Tuition and other fee</t>
  </si>
  <si>
    <t>Investment income</t>
  </si>
  <si>
    <t>Exchange gain / (loss) on foreign currency account</t>
  </si>
  <si>
    <t>Liability no longer payable written back</t>
  </si>
  <si>
    <t xml:space="preserve">Other income </t>
  </si>
  <si>
    <t>EXPENDITURE</t>
  </si>
  <si>
    <t>Rehabilitation and education program</t>
  </si>
  <si>
    <t>Program administration</t>
  </si>
  <si>
    <t>Taxation</t>
  </si>
  <si>
    <t>Surplus / (deficit) of income over expenditure</t>
  </si>
  <si>
    <t xml:space="preserve"> for the year</t>
  </si>
  <si>
    <t>Other comprehensive income</t>
  </si>
  <si>
    <t>Total comprehensive income / (loss)</t>
  </si>
  <si>
    <t>The annexed notes 1 to 23 form an integral part of these financial statements.</t>
  </si>
  <si>
    <t>AL-UMEED REHABILITATION ASSOCIATION</t>
  </si>
  <si>
    <t>FOR CEREBRAL PALSY</t>
  </si>
  <si>
    <t xml:space="preserve">STATEMENT OF FINANCIAL POSITION </t>
  </si>
  <si>
    <t>AS AT JUNE 30, 2023</t>
  </si>
  <si>
    <t>Note</t>
  </si>
  <si>
    <t>ASSETS</t>
  </si>
  <si>
    <t>NON-CURRENT ASSETS</t>
  </si>
  <si>
    <t>Property and equipment</t>
  </si>
  <si>
    <t>Long-term investments</t>
  </si>
  <si>
    <t>Long-term deposits</t>
  </si>
  <si>
    <t>CURRENT ASSETS</t>
  </si>
  <si>
    <t xml:space="preserve">Short-term investments </t>
  </si>
  <si>
    <t xml:space="preserve">Accrued return </t>
  </si>
  <si>
    <t>Tuition and other fee receivable</t>
  </si>
  <si>
    <t>Advances and prepayments</t>
  </si>
  <si>
    <t>Cash and bank balances</t>
  </si>
  <si>
    <t>TOTAL ASSETS</t>
  </si>
  <si>
    <t>Deferred liabilities</t>
  </si>
  <si>
    <t>CURRENT LIABILITIES</t>
  </si>
  <si>
    <t>Accrued expenses and other liabilities</t>
  </si>
  <si>
    <t>NET ASSETS</t>
  </si>
  <si>
    <t>FINANCED BY:</t>
  </si>
  <si>
    <t>General fund - Unrestricted</t>
  </si>
  <si>
    <t>Endowment fund - Restricted</t>
  </si>
  <si>
    <t>TOTAL  Liabilities</t>
  </si>
  <si>
    <t>Less Accumulated Depericiation</t>
  </si>
  <si>
    <t>Net Fixed Assets</t>
  </si>
  <si>
    <t>Term Deposit Receipts (TDRs)</t>
  </si>
  <si>
    <t xml:space="preserve">Government securities - National Investment </t>
  </si>
  <si>
    <t>Trust (NIT) units</t>
  </si>
  <si>
    <t>Treasury Bills (T-Bills)</t>
  </si>
  <si>
    <t>Accrued return on PIBs</t>
  </si>
  <si>
    <t>Advances and Prepayments</t>
  </si>
  <si>
    <t>Add Profit during period 2023-24</t>
  </si>
  <si>
    <t>Total General fund - Unrestricted</t>
  </si>
  <si>
    <t>Current Period 2023-24</t>
  </si>
  <si>
    <t xml:space="preserve">TOTAL  </t>
  </si>
  <si>
    <t>Leasehold land  (10%)</t>
  </si>
  <si>
    <t>Date</t>
  </si>
  <si>
    <t>Description</t>
  </si>
  <si>
    <t>DR</t>
  </si>
  <si>
    <t>CR</t>
  </si>
  <si>
    <t>Bal</t>
  </si>
  <si>
    <t>01.07.22</t>
  </si>
  <si>
    <t>O/Balalnce - Cost</t>
  </si>
  <si>
    <t>Accumulated Dep.</t>
  </si>
  <si>
    <t>Building on leasehold land   (10%)</t>
  </si>
  <si>
    <t>Depreciation Lease hold land Period 2023-24</t>
  </si>
  <si>
    <t>30.06.23</t>
  </si>
  <si>
    <t>Accumulated Dep for the Period 2022-23</t>
  </si>
  <si>
    <t>Accumulated Dep. Lease hold land Period 2023-24</t>
  </si>
  <si>
    <t>30.06.24</t>
  </si>
  <si>
    <t>Accumulated Dep for the Period 2023-24</t>
  </si>
  <si>
    <t>Leasehold - improvements works  (10%)</t>
  </si>
  <si>
    <t>Depreciation Lease hold Improment work  Period 2023-24</t>
  </si>
  <si>
    <t>Accumulated Dep.leasedhold Improment work Period 2023-24</t>
  </si>
  <si>
    <t>Equipment - Generators   (15%)</t>
  </si>
  <si>
    <t>Depreciation Exp Generator  Period 2023-24</t>
  </si>
  <si>
    <t>Accumulated Dep.Generator Period 2023-24</t>
  </si>
  <si>
    <t>Equipment - Electrical   (15%)</t>
  </si>
  <si>
    <t>Depreciation Exp Electrical item  Period 2023-24</t>
  </si>
  <si>
    <t>Accumulated Dep.Electrical item Period 2023-24</t>
  </si>
  <si>
    <t>06.12.23</t>
  </si>
  <si>
    <t>Purchase LED TV 55" For Farah Vohra Auditorium</t>
  </si>
  <si>
    <t>Accumulated Dep. 7-month Period 2023-24</t>
  </si>
  <si>
    <t>15.04.24</t>
  </si>
  <si>
    <t>Focus Technologies for Thump identify machine for staff Attendence</t>
  </si>
  <si>
    <t>Accumulated Dep. 2.5 -month Period 2023-24</t>
  </si>
  <si>
    <t>Equipment - Solar System   (20%)</t>
  </si>
  <si>
    <t>15.03.24</t>
  </si>
  <si>
    <t>1 set Solar Inverter 20 kw Knox with Stand Ready to fit Jest 36-pair</t>
  </si>
  <si>
    <r>
      <t>36-Long 580watt x-6 (HIMO 6) @28,130/-</t>
    </r>
    <r>
      <rPr>
        <sz val="11"/>
        <color theme="1"/>
        <rFont val="Calibri"/>
        <family val="2"/>
        <scheme val="minor"/>
      </rPr>
      <t xml:space="preserve"> for Solar System</t>
    </r>
  </si>
  <si>
    <t>Depreciation Exp Solar System Period 2023-24</t>
  </si>
  <si>
    <t>02.04.24</t>
  </si>
  <si>
    <t>Royal Worth on behalf of Royal Home for Purchas Solar System</t>
  </si>
  <si>
    <t>Accumulated Dep.Solar SystemPeriod 2023-24</t>
  </si>
  <si>
    <t>Accumulated Dep. for 3-month Period 2023-24</t>
  </si>
  <si>
    <t>Equipment - computers and peripherals   (30%)</t>
  </si>
  <si>
    <t>02.09.22</t>
  </si>
  <si>
    <t xml:space="preserve">Huzaifa Camera for CCTV Installtion </t>
  </si>
  <si>
    <t>Accumulated Dep.for the Year 2023 (30%)</t>
  </si>
  <si>
    <t>Depreciation Exp Computer &amp; Perpherals Period 2023-24</t>
  </si>
  <si>
    <t>Accumulated Dep.for 9-months (30%)</t>
  </si>
  <si>
    <t>Accumulated Dep.Computer &amp; Perpherals Period 2023-24</t>
  </si>
  <si>
    <t>Accumulated Dep. for the Period 2023-24</t>
  </si>
  <si>
    <t>21.11.23</t>
  </si>
  <si>
    <t>3-CPU Core i-5 3rd Generation, 3-LED 19"inch,3-Key board &amp; Mouse, 3-Cable</t>
  </si>
  <si>
    <t>Equipment - lift / elevator   (10%)</t>
  </si>
  <si>
    <t>Depreciation Exp Lift Period 2023-24</t>
  </si>
  <si>
    <t>Accumulated Dep. for the Period 2022-23</t>
  </si>
  <si>
    <t>Accumulated Dep.Lift Period 2023-24</t>
  </si>
  <si>
    <t>24.11.23</t>
  </si>
  <si>
    <t>Purchase parts for 2-Handicap Ceiling Lifts</t>
  </si>
  <si>
    <t>Equipment - wheel chairs   (15%)</t>
  </si>
  <si>
    <t>Depreciation Exp wheel chairs Period 2023-24</t>
  </si>
  <si>
    <t>Accumulated Dep.wheel chairs Period 2023-24</t>
  </si>
  <si>
    <t>01.05.24</t>
  </si>
  <si>
    <t>Making leather belt Inserter,small step &amp; Big steps for Wheel chair</t>
  </si>
  <si>
    <t>Accumulated Dep.for 2-month Period 2023-24</t>
  </si>
  <si>
    <t>Equipment - clinical    (15%)</t>
  </si>
  <si>
    <t>Depreciation Exp Clinical Period 2023-24</t>
  </si>
  <si>
    <t>Accumulated Dep.Clinical Period 2023-24</t>
  </si>
  <si>
    <t>07.12.23</t>
  </si>
  <si>
    <t>Purchase Surgical Item from Anas Surgical</t>
  </si>
  <si>
    <t>12.12.23</t>
  </si>
  <si>
    <t>Smart Surgical for Purchase Height &amp; weight Scale</t>
  </si>
  <si>
    <t>Accumulated Dep. for 7-month Period 2023-24</t>
  </si>
  <si>
    <t>Equipment - tools    (15%)</t>
  </si>
  <si>
    <t>Depreciation Exp Tools Period 2023-24</t>
  </si>
  <si>
    <t>Accumulated Dep.for the Period 2022-23</t>
  </si>
  <si>
    <t>Accumulated Dep.Tools Period 2023-24</t>
  </si>
  <si>
    <t>Accumulated Dep.for the Period 2023-24</t>
  </si>
  <si>
    <t>Equipment - Others   (15%)</t>
  </si>
  <si>
    <t>Depreciation Exp Equipment others  Period 2023-24</t>
  </si>
  <si>
    <t>Furniture and Fixtures    (15%)</t>
  </si>
  <si>
    <t>Depreciation Exp Furniture &amp; Fixture others  Period 2023-24</t>
  </si>
  <si>
    <t>Accumulated Dep.Furniture &amp; FixturePeriod 2023-24</t>
  </si>
  <si>
    <t>Motor Vehicles    (20%)</t>
  </si>
  <si>
    <t>Depreciation Exp Motor Vehicals Period 2023-24</t>
  </si>
  <si>
    <t>Accumulated Dep.Motor Vehicals Period 2023-24</t>
  </si>
  <si>
    <t>16.01.24</t>
  </si>
  <si>
    <t>Purchase new suzuki bolan</t>
  </si>
  <si>
    <t>21.03.24</t>
  </si>
  <si>
    <t>4-New Tyre Purchase EA-0252</t>
  </si>
  <si>
    <t>Accumulated Dep. Suzuki bolan 5-month</t>
  </si>
  <si>
    <t>Accumulated Dep. 4-tyre EA-252 (3-month)</t>
  </si>
  <si>
    <t>AC Power Conditioner    (10%)</t>
  </si>
  <si>
    <t>Depreciation Exp AC Power Condtioner Period 2023-24</t>
  </si>
  <si>
    <t>Accumulated Dep.AC Power Condtioner Period 2023-24</t>
  </si>
  <si>
    <t>Year End June 30, 2024</t>
  </si>
  <si>
    <t>Net book value as at July 1, 2023</t>
  </si>
  <si>
    <t>Additions during the year</t>
  </si>
  <si>
    <r>
      <t>Depreciation charge for the 
  year (note 18 &amp; 19)</t>
    </r>
    <r>
      <rPr>
        <sz val="11"/>
        <color indexed="9"/>
        <rFont val="Arial"/>
        <family val="2"/>
      </rPr>
      <t xml:space="preserve"> </t>
    </r>
  </si>
  <si>
    <t>Accumulated depreciation</t>
  </si>
  <si>
    <t>Net book value</t>
  </si>
  <si>
    <t>Annual rate of depreciation (%) 2024</t>
  </si>
  <si>
    <t>As at June 30, 2024</t>
  </si>
  <si>
    <t>Cost</t>
  </si>
  <si>
    <t>Annual rate of depreciation (%) 2023</t>
  </si>
  <si>
    <t>PROPERTY AND EQUIPMENT</t>
  </si>
  <si>
    <t>Operating assets</t>
  </si>
  <si>
    <t>The following is the statement of operating fixed assets:</t>
  </si>
  <si>
    <t xml:space="preserve">Leasehold land </t>
  </si>
  <si>
    <t xml:space="preserve">Building on leasehold land </t>
  </si>
  <si>
    <t>Leasehold - improvements works</t>
  </si>
  <si>
    <t xml:space="preserve">Equipment - generators </t>
  </si>
  <si>
    <t xml:space="preserve">Equipment - electrical </t>
  </si>
  <si>
    <t xml:space="preserve">Equipment - Solar Panel </t>
  </si>
  <si>
    <t xml:space="preserve">Equipment - computers and peripherals </t>
  </si>
  <si>
    <t xml:space="preserve">Equipment - lift / elevator </t>
  </si>
  <si>
    <t>Equipment - wheel chairs</t>
  </si>
  <si>
    <t xml:space="preserve">Equipment - clinical </t>
  </si>
  <si>
    <t xml:space="preserve">Equipment - tools </t>
  </si>
  <si>
    <t>Equipment - others</t>
  </si>
  <si>
    <t xml:space="preserve">Furniture and fixtures </t>
  </si>
  <si>
    <t xml:space="preserve">Motor vehicles </t>
  </si>
  <si>
    <t xml:space="preserve">Other assets </t>
  </si>
  <si>
    <t xml:space="preserve">AC power conditioner </t>
  </si>
  <si>
    <t>---------------------------------------------------------------------------------------------------------------------------------------------------Rupees---------------------------------------------------------------------------------------------------------------------------------------------</t>
  </si>
  <si>
    <t>As at July 1, 2021</t>
  </si>
  <si>
    <t xml:space="preserve">Net book value </t>
  </si>
  <si>
    <t>Net book value - restated</t>
  </si>
  <si>
    <t>Year ended June 30, 2022</t>
  </si>
  <si>
    <t>Net book value as at July 1, 2021</t>
  </si>
  <si>
    <t>Net book value as at June 30, 2022</t>
  </si>
  <si>
    <t>As at June 30, 2022</t>
  </si>
  <si>
    <t>Year ended June 30, 2023</t>
  </si>
  <si>
    <t>Net book value as at July 1, 2022</t>
  </si>
  <si>
    <t>Net book value as at June 30, 2023</t>
  </si>
  <si>
    <t>As at June 30, 2023</t>
  </si>
  <si>
    <t xml:space="preserve">Leasehold improvements </t>
  </si>
  <si>
    <t xml:space="preserve">Equipment - lift/elevator </t>
  </si>
  <si>
    <t>Total Rupees</t>
  </si>
  <si>
    <t>2019: Total Rupees</t>
  </si>
  <si>
    <t>cond/p4</t>
  </si>
  <si>
    <t>Closing/Bal</t>
  </si>
  <si>
    <t>10 - Ramla Zaheer</t>
  </si>
  <si>
    <t>15 - Hamda Naveed</t>
  </si>
  <si>
    <t>16 - M.Usaid Zeeshan</t>
  </si>
  <si>
    <t>18 - Kuslsoom Jawwad</t>
  </si>
  <si>
    <t>23 - Akber Ali Naqvi</t>
  </si>
  <si>
    <t>25 - Moazama Shakil</t>
  </si>
  <si>
    <t>Total Amount</t>
  </si>
  <si>
    <t>Accrued return on Bank Deposits Profit</t>
  </si>
  <si>
    <t xml:space="preserve">Equipment - Solar System </t>
  </si>
  <si>
    <t>%age</t>
  </si>
  <si>
    <t>Van contributors</t>
  </si>
  <si>
    <t>EOBi deducted</t>
  </si>
  <si>
    <t>EOBI contributors</t>
  </si>
  <si>
    <t>HMB-Cash cheque</t>
  </si>
  <si>
    <t>HMB-credited to account</t>
  </si>
  <si>
    <t>Salary Payable</t>
  </si>
  <si>
    <t>Witholding Tax on Salary</t>
  </si>
  <si>
    <t>EOBI Payable</t>
  </si>
  <si>
    <t>Van Contractor Service charges</t>
  </si>
  <si>
    <t>Salaries &amp; Benefits</t>
  </si>
  <si>
    <t>ACCOUNTING ENTRIES</t>
  </si>
  <si>
    <t>CURRENT ACCOUNTING ENTRIES</t>
  </si>
  <si>
    <t>AS PER SALARY SHEET</t>
  </si>
  <si>
    <t>Check Total</t>
  </si>
  <si>
    <t>Salary paid via Cash Cheque</t>
  </si>
  <si>
    <t>Salary paid via Bank</t>
  </si>
  <si>
    <t>Net Payable</t>
  </si>
  <si>
    <t>WH Tax</t>
  </si>
  <si>
    <t>EOBI</t>
  </si>
  <si>
    <t>Leave Deduction</t>
  </si>
  <si>
    <t>Van Deductions</t>
  </si>
  <si>
    <t>Deductions</t>
  </si>
  <si>
    <t>Other Benefits</t>
  </si>
  <si>
    <t>Restructuring 7.5%</t>
  </si>
  <si>
    <t>Gross Pay</t>
  </si>
  <si>
    <t>Admin</t>
  </si>
  <si>
    <t>Rehab</t>
  </si>
  <si>
    <t>July 2023 to June 2024</t>
  </si>
  <si>
    <t>Arrears-July to Aug 2023</t>
  </si>
  <si>
    <t>CLEAR</t>
  </si>
  <si>
    <t>June-24 &amp; July-24</t>
  </si>
  <si>
    <t>June-24 to July-24</t>
  </si>
  <si>
    <t>No Call</t>
  </si>
  <si>
    <t>22 - Akber Ali Naqvi</t>
  </si>
  <si>
    <t>60 - A.Hadi</t>
  </si>
  <si>
    <t>Book Value</t>
  </si>
  <si>
    <t>Vehical</t>
  </si>
  <si>
    <t>Purchase</t>
  </si>
  <si>
    <t>Disposal</t>
  </si>
  <si>
    <t>Acc.Dep</t>
  </si>
  <si>
    <t>Depreciation Current</t>
  </si>
  <si>
    <t>Less Adjustment Suspense a/c</t>
  </si>
  <si>
    <t>1020601002 - Prepaid Expenses (Generator Exp)</t>
  </si>
  <si>
    <t>2020401001 - A/c Payable - Saleem van contractor</t>
  </si>
  <si>
    <t>2020401001 - A/c Payable - Alingment Business (ERP)</t>
  </si>
  <si>
    <t>2020404003 - Accrued Operating Exp - Gas Bill</t>
  </si>
  <si>
    <t>2020404003 - Accrued Operating Exp - Web site Bill (Google)</t>
  </si>
  <si>
    <t>2020404003 - Accrued Operating Exp - EOBI Staff June-24</t>
  </si>
  <si>
    <t>2020404003 - Accrued Operating Exp - EOBI Contribution June-24</t>
  </si>
  <si>
    <t>2020404003 - Accrued Operating Exp - Awami Filling Station June-24</t>
  </si>
  <si>
    <t>2020503001 - WHT Salary Amtul Abbas</t>
  </si>
  <si>
    <t>2020503001 - WHT Salary Irshad Sahab</t>
  </si>
  <si>
    <t>2020503001 - WHT Salary Old 2022-2023</t>
  </si>
  <si>
    <t>2020503002 - WHT on Supplies - Jahangir Saleem</t>
  </si>
  <si>
    <t>2020503003 - WHT on Services - Saleem Van Contractor</t>
  </si>
  <si>
    <t>2020503003 - WHT on Services - Aling Business (ERP Software)</t>
  </si>
  <si>
    <t>2020407001 - Salary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</si>
</sst>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"/>
    <numFmt numFmtId="166" formatCode="0.0"/>
    <numFmt numFmtId="167" formatCode="_(* #,##0.000_);_(* \(#,##0.000\);_(* &quot;-&quot;??_);_(@_)"/>
    <numFmt numFmtId="168" formatCode="_(* #,##0.0_);_(* \(#,##0.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0"/>
      <name val="Arial"/>
      <family val="2"/>
    </font>
    <font>
      <b/>
      <sz val="11"/>
      <color indexed="8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1"/>
      <name val="Arial"/>
      <family val="2"/>
    </font>
    <font>
      <sz val="10"/>
      <color rgb="FF002060"/>
      <name val="Arial"/>
      <family val="2"/>
    </font>
    <font>
      <sz val="11"/>
      <color rgb="FF575757"/>
      <name val="Arial"/>
      <family val="2"/>
    </font>
    <font>
      <b/>
      <i/>
      <sz val="14"/>
      <color theme="1"/>
      <name val="Calibri"/>
      <family val="2"/>
    </font>
    <font>
      <b/>
      <sz val="11"/>
      <color theme="1"/>
      <name val="Arial"/>
      <family val="2"/>
    </font>
    <font>
      <sz val="11"/>
      <name val="Times New Roman"/>
      <family val="1"/>
    </font>
    <font>
      <sz val="11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26" fillId="0" borderId="0" applyFont="0" applyFill="0" applyBorder="0" applyAlignment="0" applyProtection="0"/>
    <xf numFmtId="0" fontId="11" fillId="0" borderId="0"/>
    <xf numFmtId="0" fontId="6" fillId="0" borderId="0"/>
    <xf numFmtId="0" fontId="3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4" fillId="2" borderId="1" xfId="0" applyFont="1" applyFill="1" applyBorder="1"/>
    <xf numFmtId="164" fontId="2" fillId="0" borderId="2" xfId="0" applyNumberFormat="1" applyFont="1" applyBorder="1"/>
    <xf numFmtId="0" fontId="0" fillId="0" borderId="0" xfId="0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4" fontId="0" fillId="0" borderId="0" xfId="0" applyNumberFormat="1" applyAlignment="1">
      <alignment vertical="top"/>
    </xf>
    <xf numFmtId="4" fontId="0" fillId="3" borderId="0" xfId="0" applyNumberFormat="1" applyFill="1" applyAlignment="1">
      <alignment vertical="top"/>
    </xf>
    <xf numFmtId="43" fontId="0" fillId="0" borderId="0" xfId="1" applyFont="1" applyAlignment="1">
      <alignment vertical="top"/>
    </xf>
    <xf numFmtId="4" fontId="0" fillId="3" borderId="3" xfId="0" applyNumberFormat="1" applyFill="1" applyBorder="1" applyAlignment="1">
      <alignment vertical="top"/>
    </xf>
    <xf numFmtId="0" fontId="6" fillId="0" borderId="0" xfId="0" applyFont="1" applyAlignment="1">
      <alignment vertical="top"/>
    </xf>
    <xf numFmtId="4" fontId="0" fillId="2" borderId="0" xfId="0" applyNumberFormat="1" applyFill="1" applyBorder="1" applyAlignment="1">
      <alignment vertical="top"/>
    </xf>
    <xf numFmtId="4" fontId="0" fillId="3" borderId="4" xfId="0" applyNumberFormat="1" applyFill="1" applyBorder="1" applyAlignment="1">
      <alignment vertical="top"/>
    </xf>
    <xf numFmtId="4" fontId="0" fillId="3" borderId="5" xfId="0" applyNumberFormat="1" applyFill="1" applyBorder="1" applyAlignment="1">
      <alignment vertical="top"/>
    </xf>
    <xf numFmtId="4" fontId="0" fillId="3" borderId="6" xfId="0" applyNumberFormat="1" applyFill="1" applyBorder="1" applyAlignment="1">
      <alignment vertical="top"/>
    </xf>
    <xf numFmtId="0" fontId="7" fillId="4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4" fontId="5" fillId="0" borderId="7" xfId="0" applyNumberFormat="1" applyFont="1" applyBorder="1" applyAlignment="1">
      <alignment vertical="center"/>
    </xf>
    <xf numFmtId="4" fontId="0" fillId="2" borderId="0" xfId="0" applyNumberFormat="1" applyFill="1" applyAlignment="1">
      <alignment vertical="top"/>
    </xf>
    <xf numFmtId="43" fontId="6" fillId="2" borderId="0" xfId="1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43" fontId="0" fillId="0" borderId="0" xfId="0" applyNumberFormat="1" applyAlignment="1">
      <alignment vertical="top"/>
    </xf>
    <xf numFmtId="43" fontId="6" fillId="2" borderId="0" xfId="1" applyFont="1" applyFill="1" applyBorder="1" applyAlignment="1">
      <alignment vertical="top"/>
    </xf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10" fillId="0" borderId="0" xfId="0" applyFont="1" applyFill="1" applyAlignment="1"/>
    <xf numFmtId="0" fontId="10" fillId="0" borderId="0" xfId="0" applyFont="1" applyFill="1" applyAlignment="1">
      <alignment horizontal="center" vertical="center"/>
    </xf>
    <xf numFmtId="43" fontId="11" fillId="0" borderId="0" xfId="1" applyFont="1" applyFill="1" applyAlignment="1">
      <alignment horizontal="center" vertical="center"/>
    </xf>
    <xf numFmtId="164" fontId="9" fillId="0" borderId="8" xfId="2" applyNumberFormat="1" applyFont="1" applyFill="1" applyBorder="1"/>
    <xf numFmtId="164" fontId="10" fillId="0" borderId="0" xfId="1" applyNumberFormat="1" applyFont="1" applyFill="1" applyAlignment="1">
      <alignment horizontal="center" vertical="center"/>
    </xf>
    <xf numFmtId="164" fontId="9" fillId="0" borderId="8" xfId="0" applyNumberFormat="1" applyFont="1" applyFill="1" applyBorder="1" applyAlignment="1">
      <alignment horizontal="left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vertical="top"/>
    </xf>
    <xf numFmtId="0" fontId="9" fillId="0" borderId="0" xfId="0" applyFont="1" applyFill="1" applyAlignment="1">
      <alignment wrapText="1"/>
    </xf>
    <xf numFmtId="164" fontId="9" fillId="0" borderId="9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/>
    <xf numFmtId="43" fontId="0" fillId="0" borderId="0" xfId="0" applyNumberFormat="1"/>
    <xf numFmtId="0" fontId="14" fillId="4" borderId="0" xfId="0" applyFont="1" applyFill="1" applyBorder="1" applyAlignment="1">
      <alignment horizontal="left"/>
    </xf>
    <xf numFmtId="0" fontId="10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 indent="1"/>
    </xf>
    <xf numFmtId="0" fontId="9" fillId="0" borderId="0" xfId="0" applyNumberFormat="1" applyFont="1" applyFill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0" fillId="0" borderId="8" xfId="1" applyNumberFormat="1" applyFont="1" applyFill="1" applyBorder="1" applyAlignment="1"/>
    <xf numFmtId="164" fontId="10" fillId="0" borderId="0" xfId="1" applyNumberFormat="1" applyFont="1" applyFill="1" applyBorder="1" applyAlignment="1"/>
    <xf numFmtId="0" fontId="9" fillId="0" borderId="9" xfId="0" applyFont="1" applyFill="1" applyBorder="1" applyAlignment="1"/>
    <xf numFmtId="0" fontId="10" fillId="0" borderId="9" xfId="0" applyNumberFormat="1" applyFont="1" applyFill="1" applyBorder="1" applyAlignment="1">
      <alignment horizontal="center"/>
    </xf>
    <xf numFmtId="0" fontId="15" fillId="0" borderId="0" xfId="0" applyFont="1" applyFill="1" applyAlignment="1"/>
    <xf numFmtId="164" fontId="0" fillId="2" borderId="0" xfId="1" applyNumberFormat="1" applyFont="1" applyFill="1" applyAlignment="1">
      <alignment vertical="top"/>
    </xf>
    <xf numFmtId="164" fontId="0" fillId="0" borderId="0" xfId="1" applyNumberFormat="1" applyFont="1"/>
    <xf numFmtId="0" fontId="16" fillId="0" borderId="0" xfId="0" applyFont="1" applyAlignment="1">
      <alignment vertical="top"/>
    </xf>
    <xf numFmtId="164" fontId="6" fillId="2" borderId="0" xfId="1" applyNumberFormat="1" applyFont="1" applyFill="1" applyAlignment="1">
      <alignment vertical="top"/>
    </xf>
    <xf numFmtId="164" fontId="8" fillId="0" borderId="9" xfId="0" applyNumberFormat="1" applyFont="1" applyBorder="1"/>
    <xf numFmtId="164" fontId="17" fillId="0" borderId="0" xfId="1" applyNumberFormat="1" applyFont="1" applyFill="1" applyAlignment="1"/>
    <xf numFmtId="164" fontId="18" fillId="0" borderId="0" xfId="1" applyNumberFormat="1" applyFont="1" applyFill="1" applyAlignment="1"/>
    <xf numFmtId="164" fontId="8" fillId="2" borderId="0" xfId="1" applyNumberFormat="1" applyFont="1" applyFill="1" applyBorder="1" applyAlignment="1">
      <alignment vertical="top"/>
    </xf>
    <xf numFmtId="164" fontId="8" fillId="2" borderId="11" xfId="1" applyNumberFormat="1" applyFont="1" applyFill="1" applyBorder="1" applyAlignment="1">
      <alignment vertical="top"/>
    </xf>
    <xf numFmtId="0" fontId="10" fillId="0" borderId="0" xfId="0" applyFont="1" applyFill="1" applyAlignment="1">
      <alignment horizontal="left" indent="1"/>
    </xf>
    <xf numFmtId="164" fontId="0" fillId="2" borderId="0" xfId="1" applyNumberFormat="1" applyFont="1" applyFill="1" applyBorder="1" applyAlignment="1">
      <alignment vertical="top"/>
    </xf>
    <xf numFmtId="164" fontId="8" fillId="0" borderId="9" xfId="1" applyNumberFormat="1" applyFont="1" applyBorder="1"/>
    <xf numFmtId="0" fontId="10" fillId="0" borderId="0" xfId="0" applyFont="1" applyFill="1" applyAlignment="1">
      <alignment vertical="top"/>
    </xf>
    <xf numFmtId="0" fontId="10" fillId="0" borderId="0" xfId="0" applyFont="1" applyFill="1" applyAlignment="1">
      <alignment vertical="top" wrapText="1"/>
    </xf>
    <xf numFmtId="164" fontId="17" fillId="0" borderId="8" xfId="1" applyNumberFormat="1" applyFont="1" applyFill="1" applyBorder="1" applyAlignment="1"/>
    <xf numFmtId="164" fontId="17" fillId="0" borderId="9" xfId="1" applyNumberFormat="1" applyFont="1" applyFill="1" applyBorder="1" applyAlignment="1"/>
    <xf numFmtId="164" fontId="19" fillId="0" borderId="10" xfId="1" applyNumberFormat="1" applyFont="1" applyFill="1" applyBorder="1" applyAlignment="1"/>
    <xf numFmtId="164" fontId="0" fillId="2" borderId="4" xfId="1" applyNumberFormat="1" applyFont="1" applyFill="1" applyBorder="1" applyAlignment="1">
      <alignment vertical="top"/>
    </xf>
    <xf numFmtId="164" fontId="0" fillId="2" borderId="5" xfId="1" applyNumberFormat="1" applyFont="1" applyFill="1" applyBorder="1" applyAlignment="1">
      <alignment vertical="top"/>
    </xf>
    <xf numFmtId="164" fontId="17" fillId="0" borderId="5" xfId="1" applyNumberFormat="1" applyFont="1" applyFill="1" applyBorder="1" applyAlignment="1"/>
    <xf numFmtId="164" fontId="0" fillId="2" borderId="6" xfId="1" applyNumberFormat="1" applyFont="1" applyFill="1" applyBorder="1" applyAlignment="1">
      <alignment vertical="top"/>
    </xf>
    <xf numFmtId="164" fontId="19" fillId="0" borderId="9" xfId="1" applyNumberFormat="1" applyFont="1" applyFill="1" applyBorder="1" applyAlignment="1"/>
    <xf numFmtId="0" fontId="21" fillId="0" borderId="0" xfId="0" applyFont="1" applyAlignment="1">
      <alignment vertical="top"/>
    </xf>
    <xf numFmtId="164" fontId="21" fillId="2" borderId="0" xfId="1" applyNumberFormat="1" applyFont="1" applyFill="1" applyAlignment="1">
      <alignment vertical="top"/>
    </xf>
    <xf numFmtId="0" fontId="0" fillId="0" borderId="0" xfId="0" applyFont="1"/>
    <xf numFmtId="0" fontId="18" fillId="0" borderId="0" xfId="0" applyFont="1" applyFill="1" applyAlignment="1"/>
    <xf numFmtId="0" fontId="17" fillId="0" borderId="0" xfId="0" applyNumberFormat="1" applyFont="1" applyFill="1" applyAlignment="1">
      <alignment horizontal="center"/>
    </xf>
    <xf numFmtId="164" fontId="17" fillId="0" borderId="0" xfId="1" applyNumberFormat="1" applyFont="1" applyFill="1" applyBorder="1" applyAlignment="1"/>
    <xf numFmtId="0" fontId="17" fillId="0" borderId="0" xfId="0" applyFont="1" applyFill="1" applyAlignment="1"/>
    <xf numFmtId="0" fontId="18" fillId="0" borderId="9" xfId="0" applyFont="1" applyFill="1" applyBorder="1" applyAlignment="1"/>
    <xf numFmtId="0" fontId="17" fillId="0" borderId="9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164" fontId="17" fillId="0" borderId="0" xfId="0" applyNumberFormat="1" applyFont="1" applyFill="1" applyBorder="1" applyAlignment="1"/>
    <xf numFmtId="0" fontId="17" fillId="0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/>
    <xf numFmtId="164" fontId="20" fillId="2" borderId="0" xfId="1" applyNumberFormat="1" applyFont="1" applyFill="1" applyAlignment="1">
      <alignment vertical="top"/>
    </xf>
    <xf numFmtId="164" fontId="0" fillId="0" borderId="9" xfId="0" applyNumberFormat="1" applyBorder="1"/>
    <xf numFmtId="164" fontId="17" fillId="0" borderId="0" xfId="0" applyNumberFormat="1" applyFont="1" applyFill="1" applyAlignment="1">
      <alignment horizontal="center"/>
    </xf>
    <xf numFmtId="164" fontId="17" fillId="0" borderId="4" xfId="1" applyNumberFormat="1" applyFont="1" applyFill="1" applyBorder="1" applyAlignment="1">
      <alignment horizontal="center"/>
    </xf>
    <xf numFmtId="164" fontId="17" fillId="0" borderId="6" xfId="1" applyNumberFormat="1" applyFont="1" applyFill="1" applyBorder="1" applyAlignment="1">
      <alignment horizontal="center"/>
    </xf>
    <xf numFmtId="0" fontId="23" fillId="5" borderId="12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11" fillId="0" borderId="1" xfId="1" applyNumberFormat="1" applyFont="1" applyBorder="1"/>
    <xf numFmtId="164" fontId="11" fillId="0" borderId="0" xfId="1" applyNumberFormat="1" applyFont="1"/>
    <xf numFmtId="164" fontId="0" fillId="0" borderId="0" xfId="0" applyNumberFormat="1"/>
    <xf numFmtId="0" fontId="17" fillId="0" borderId="1" xfId="0" applyFont="1" applyBorder="1"/>
    <xf numFmtId="0" fontId="24" fillId="0" borderId="0" xfId="0" applyFont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4" fontId="25" fillId="0" borderId="13" xfId="3" applyNumberFormat="1" applyFont="1" applyFill="1" applyBorder="1" applyAlignment="1">
      <alignment vertical="center"/>
    </xf>
    <xf numFmtId="164" fontId="0" fillId="8" borderId="1" xfId="1" applyNumberFormat="1" applyFont="1" applyFill="1" applyBorder="1"/>
    <xf numFmtId="164" fontId="27" fillId="5" borderId="13" xfId="4" applyNumberFormat="1" applyFont="1" applyFill="1" applyBorder="1" applyAlignment="1">
      <alignment vertical="center"/>
    </xf>
    <xf numFmtId="164" fontId="0" fillId="3" borderId="1" xfId="1" applyNumberFormat="1" applyFont="1" applyFill="1" applyBorder="1"/>
    <xf numFmtId="0" fontId="28" fillId="0" borderId="0" xfId="0" applyFont="1"/>
    <xf numFmtId="0" fontId="29" fillId="0" borderId="14" xfId="0" applyFont="1" applyFill="1" applyBorder="1" applyAlignment="1">
      <alignment vertical="center"/>
    </xf>
    <xf numFmtId="0" fontId="0" fillId="0" borderId="1" xfId="0" applyFont="1" applyBorder="1"/>
    <xf numFmtId="43" fontId="0" fillId="0" borderId="1" xfId="1" applyNumberFormat="1" applyFont="1" applyBorder="1"/>
    <xf numFmtId="43" fontId="0" fillId="8" borderId="1" xfId="1" applyNumberFormat="1" applyFont="1" applyFill="1" applyBorder="1"/>
    <xf numFmtId="0" fontId="0" fillId="8" borderId="1" xfId="0" applyFill="1" applyBorder="1"/>
    <xf numFmtId="0" fontId="30" fillId="2" borderId="0" xfId="0" applyNumberFormat="1" applyFont="1" applyFill="1" applyAlignment="1">
      <alignment horizontal="center"/>
    </xf>
    <xf numFmtId="0" fontId="11" fillId="0" borderId="0" xfId="5"/>
    <xf numFmtId="164" fontId="11" fillId="0" borderId="0" xfId="5" applyNumberFormat="1"/>
    <xf numFmtId="41" fontId="11" fillId="0" borderId="0" xfId="5" applyNumberFormat="1"/>
    <xf numFmtId="0" fontId="9" fillId="0" borderId="0" xfId="6" applyFont="1" applyAlignment="1">
      <alignment vertical="top"/>
    </xf>
    <xf numFmtId="0" fontId="10" fillId="0" borderId="0" xfId="7" applyFont="1"/>
    <xf numFmtId="164" fontId="10" fillId="0" borderId="0" xfId="2" applyNumberFormat="1" applyFont="1" applyFill="1"/>
    <xf numFmtId="0" fontId="10" fillId="0" borderId="0" xfId="7" applyFont="1" applyFill="1"/>
    <xf numFmtId="0" fontId="10" fillId="0" borderId="0" xfId="7" applyFont="1" applyFill="1" applyAlignment="1">
      <alignment horizontal="center"/>
    </xf>
    <xf numFmtId="164" fontId="10" fillId="0" borderId="0" xfId="2" applyNumberFormat="1" applyFont="1" applyFill="1" applyAlignment="1">
      <alignment horizontal="center"/>
    </xf>
    <xf numFmtId="0" fontId="10" fillId="0" borderId="0" xfId="5" applyFont="1" applyFill="1"/>
    <xf numFmtId="0" fontId="10" fillId="0" borderId="0" xfId="6" applyFont="1" applyAlignment="1">
      <alignment vertical="top"/>
    </xf>
    <xf numFmtId="164" fontId="10" fillId="0" borderId="0" xfId="7" applyNumberFormat="1" applyFont="1"/>
    <xf numFmtId="164" fontId="10" fillId="8" borderId="1" xfId="7" applyNumberFormat="1" applyFont="1" applyFill="1" applyBorder="1"/>
    <xf numFmtId="164" fontId="10" fillId="0" borderId="0" xfId="5" applyNumberFormat="1" applyFont="1" applyFill="1"/>
    <xf numFmtId="0" fontId="10" fillId="0" borderId="0" xfId="6" quotePrefix="1" applyFont="1" applyAlignment="1">
      <alignment vertical="top"/>
    </xf>
    <xf numFmtId="164" fontId="10" fillId="0" borderId="0" xfId="5" applyNumberFormat="1" applyFont="1"/>
    <xf numFmtId="164" fontId="10" fillId="0" borderId="9" xfId="7" applyNumberFormat="1" applyFont="1" applyBorder="1"/>
    <xf numFmtId="164" fontId="10" fillId="0" borderId="2" xfId="7" applyNumberFormat="1" applyFont="1" applyBorder="1"/>
    <xf numFmtId="164" fontId="10" fillId="0" borderId="0" xfId="7" applyNumberFormat="1" applyFont="1" applyBorder="1"/>
    <xf numFmtId="43" fontId="10" fillId="0" borderId="2" xfId="8" applyFont="1" applyFill="1" applyBorder="1"/>
    <xf numFmtId="9" fontId="10" fillId="0" borderId="2" xfId="7" applyNumberFormat="1" applyFont="1" applyBorder="1"/>
    <xf numFmtId="0" fontId="10" fillId="0" borderId="0" xfId="5" applyFont="1"/>
    <xf numFmtId="0" fontId="11" fillId="0" borderId="0" xfId="7" applyFont="1"/>
    <xf numFmtId="0" fontId="11" fillId="0" borderId="0" xfId="7" applyFont="1" applyAlignment="1">
      <alignment horizontal="center"/>
    </xf>
    <xf numFmtId="165" fontId="33" fillId="0" borderId="0" xfId="5" applyNumberFormat="1" applyFont="1" applyAlignment="1">
      <alignment horizontal="left"/>
    </xf>
    <xf numFmtId="0" fontId="33" fillId="0" borderId="0" xfId="5" applyFont="1"/>
    <xf numFmtId="0" fontId="34" fillId="0" borderId="0" xfId="7" applyFont="1"/>
    <xf numFmtId="0" fontId="35" fillId="0" borderId="0" xfId="7" applyFont="1" applyAlignment="1">
      <alignment horizontal="center"/>
    </xf>
    <xf numFmtId="0" fontId="34" fillId="0" borderId="0" xfId="5" applyFont="1"/>
    <xf numFmtId="0" fontId="2" fillId="0" borderId="0" xfId="7" applyFont="1" applyAlignment="1">
      <alignment horizontal="center"/>
    </xf>
    <xf numFmtId="166" fontId="33" fillId="0" borderId="0" xfId="7" applyNumberFormat="1" applyFont="1" applyAlignment="1">
      <alignment horizontal="left"/>
    </xf>
    <xf numFmtId="0" fontId="33" fillId="0" borderId="0" xfId="7" applyFont="1"/>
    <xf numFmtId="41" fontId="34" fillId="0" borderId="0" xfId="7" applyNumberFormat="1" applyFont="1"/>
    <xf numFmtId="166" fontId="36" fillId="0" borderId="0" xfId="7" applyNumberFormat="1" applyFont="1" applyAlignment="1">
      <alignment horizontal="left"/>
    </xf>
    <xf numFmtId="0" fontId="36" fillId="0" borderId="0" xfId="7" applyFont="1"/>
    <xf numFmtId="41" fontId="11" fillId="0" borderId="0" xfId="7" applyNumberFormat="1" applyFont="1"/>
    <xf numFmtId="0" fontId="11" fillId="0" borderId="0" xfId="7" applyFont="1" applyAlignment="1">
      <alignment vertical="center"/>
    </xf>
    <xf numFmtId="0" fontId="36" fillId="0" borderId="15" xfId="6" applyFont="1" applyBorder="1" applyAlignment="1">
      <alignment horizontal="center" vertical="center" wrapText="1"/>
    </xf>
    <xf numFmtId="0" fontId="36" fillId="0" borderId="15" xfId="5" applyFont="1" applyBorder="1" applyAlignment="1">
      <alignment horizontal="center" vertical="center"/>
    </xf>
    <xf numFmtId="0" fontId="9" fillId="0" borderId="0" xfId="7" applyFont="1"/>
    <xf numFmtId="0" fontId="10" fillId="0" borderId="0" xfId="7" applyFont="1" applyAlignment="1">
      <alignment horizontal="center"/>
    </xf>
    <xf numFmtId="164" fontId="10" fillId="0" borderId="0" xfId="8" applyNumberFormat="1" applyFont="1"/>
    <xf numFmtId="164" fontId="10" fillId="0" borderId="0" xfId="8" applyNumberFormat="1" applyFont="1" applyFill="1"/>
    <xf numFmtId="164" fontId="10" fillId="0" borderId="0" xfId="8" applyNumberFormat="1" applyFont="1" applyAlignment="1">
      <alignment horizontal="center"/>
    </xf>
    <xf numFmtId="167" fontId="10" fillId="0" borderId="0" xfId="5" applyNumberFormat="1" applyFont="1"/>
    <xf numFmtId="164" fontId="10" fillId="0" borderId="0" xfId="8" applyNumberFormat="1" applyFont="1" applyBorder="1"/>
    <xf numFmtId="43" fontId="10" fillId="0" borderId="0" xfId="8" applyFont="1"/>
    <xf numFmtId="164" fontId="10" fillId="0" borderId="8" xfId="7" applyNumberFormat="1" applyFont="1" applyBorder="1"/>
    <xf numFmtId="168" fontId="11" fillId="0" borderId="0" xfId="7" applyNumberFormat="1" applyFont="1"/>
    <xf numFmtId="0" fontId="11" fillId="8" borderId="0" xfId="5" applyFill="1"/>
    <xf numFmtId="164" fontId="0" fillId="0" borderId="0" xfId="8" applyNumberFormat="1" applyFont="1"/>
    <xf numFmtId="41" fontId="11" fillId="0" borderId="9" xfId="7" applyNumberFormat="1" applyFont="1" applyBorder="1"/>
    <xf numFmtId="0" fontId="0" fillId="0" borderId="0" xfId="7" applyFont="1" applyAlignment="1">
      <alignment horizontal="left" vertical="center" wrapText="1"/>
    </xf>
    <xf numFmtId="0" fontId="11" fillId="0" borderId="0" xfId="7" applyFont="1" applyAlignment="1">
      <alignment horizontal="right"/>
    </xf>
    <xf numFmtId="164" fontId="37" fillId="0" borderId="0" xfId="1" applyNumberFormat="1" applyFont="1"/>
    <xf numFmtId="164" fontId="37" fillId="0" borderId="9" xfId="0" applyNumberFormat="1" applyFont="1" applyBorder="1"/>
    <xf numFmtId="3" fontId="0" fillId="2" borderId="0" xfId="0" applyNumberFormat="1" applyFill="1" applyBorder="1" applyAlignment="1">
      <alignment vertical="top"/>
    </xf>
    <xf numFmtId="0" fontId="38" fillId="0" borderId="0" xfId="0" applyFont="1" applyFill="1" applyAlignment="1">
      <alignment horizontal="center" vertical="center"/>
    </xf>
    <xf numFmtId="164" fontId="1" fillId="0" borderId="0" xfId="1" applyNumberFormat="1" applyFont="1"/>
    <xf numFmtId="0" fontId="16" fillId="0" borderId="0" xfId="0" applyFont="1" applyAlignment="1">
      <alignment horizontal="center"/>
    </xf>
    <xf numFmtId="164" fontId="4" fillId="0" borderId="9" xfId="0" applyNumberFormat="1" applyFont="1" applyBorder="1"/>
    <xf numFmtId="0" fontId="4" fillId="0" borderId="0" xfId="0" applyFont="1"/>
    <xf numFmtId="164" fontId="40" fillId="0" borderId="0" xfId="1" applyNumberFormat="1" applyFont="1"/>
    <xf numFmtId="164" fontId="10" fillId="0" borderId="0" xfId="1" applyNumberFormat="1" applyFont="1"/>
    <xf numFmtId="0" fontId="4" fillId="0" borderId="1" xfId="0" applyFont="1" applyBorder="1" applyAlignment="1">
      <alignment horizontal="center"/>
    </xf>
    <xf numFmtId="0" fontId="0" fillId="0" borderId="0" xfId="0" applyFill="1" applyAlignment="1"/>
    <xf numFmtId="164" fontId="0" fillId="0" borderId="0" xfId="1" applyNumberFormat="1" applyFont="1" applyFill="1" applyAlignment="1"/>
    <xf numFmtId="164" fontId="8" fillId="0" borderId="0" xfId="1" applyNumberFormat="1" applyFont="1" applyFill="1" applyAlignment="1"/>
    <xf numFmtId="10" fontId="0" fillId="0" borderId="0" xfId="9" applyNumberFormat="1" applyFont="1" applyFill="1" applyAlignment="1"/>
    <xf numFmtId="164" fontId="1" fillId="0" borderId="0" xfId="1" applyNumberFormat="1" applyFont="1" applyFill="1" applyAlignment="1"/>
    <xf numFmtId="43" fontId="0" fillId="0" borderId="0" xfId="1" applyNumberFormat="1" applyFont="1" applyFill="1" applyAlignment="1"/>
    <xf numFmtId="9" fontId="0" fillId="0" borderId="0" xfId="9" applyNumberFormat="1" applyFont="1" applyFill="1" applyAlignment="1"/>
    <xf numFmtId="164" fontId="0" fillId="0" borderId="11" xfId="1" applyNumberFormat="1" applyFont="1" applyFill="1" applyBorder="1" applyAlignment="1"/>
    <xf numFmtId="164" fontId="0" fillId="0" borderId="17" xfId="1" applyNumberFormat="1" applyFont="1" applyFill="1" applyBorder="1" applyAlignment="1"/>
    <xf numFmtId="0" fontId="41" fillId="0" borderId="0" xfId="0" applyFont="1" applyFill="1" applyAlignment="1"/>
    <xf numFmtId="164" fontId="0" fillId="0" borderId="0" xfId="1" applyNumberFormat="1" applyFont="1" applyAlignment="1"/>
    <xf numFmtId="0" fontId="0" fillId="0" borderId="1" xfId="0" applyFill="1" applyBorder="1" applyAlignment="1">
      <alignment horizontal="center"/>
    </xf>
    <xf numFmtId="0" fontId="0" fillId="8" borderId="0" xfId="0" applyFill="1"/>
    <xf numFmtId="4" fontId="0" fillId="8" borderId="0" xfId="0" applyNumberFormat="1" applyFill="1" applyBorder="1" applyAlignment="1">
      <alignment vertical="top"/>
    </xf>
    <xf numFmtId="43" fontId="6" fillId="8" borderId="0" xfId="1" applyFont="1" applyFill="1" applyAlignment="1">
      <alignment vertical="top"/>
    </xf>
    <xf numFmtId="43" fontId="0" fillId="2" borderId="0" xfId="1" applyFont="1" applyFill="1" applyAlignment="1">
      <alignment vertical="top"/>
    </xf>
    <xf numFmtId="164" fontId="39" fillId="8" borderId="0" xfId="1" applyNumberFormat="1" applyFont="1" applyFill="1" applyBorder="1" applyAlignment="1">
      <alignment vertical="top"/>
    </xf>
    <xf numFmtId="0" fontId="39" fillId="0" borderId="0" xfId="0" applyFont="1"/>
    <xf numFmtId="164" fontId="39" fillId="2" borderId="0" xfId="1" applyNumberFormat="1" applyFont="1" applyFill="1" applyAlignment="1">
      <alignment vertical="top"/>
    </xf>
    <xf numFmtId="164" fontId="0" fillId="0" borderId="16" xfId="1" applyNumberFormat="1" applyFont="1" applyFill="1" applyBorder="1" applyAlignment="1">
      <alignment horizontal="center"/>
    </xf>
    <xf numFmtId="17" fontId="0" fillId="0" borderId="19" xfId="0" applyNumberFormat="1" applyFill="1" applyBorder="1" applyAlignment="1">
      <alignment horizontal="center"/>
    </xf>
    <xf numFmtId="17" fontId="0" fillId="0" borderId="17" xfId="0" applyNumberFormat="1" applyFill="1" applyBorder="1" applyAlignment="1">
      <alignment horizontal="center"/>
    </xf>
    <xf numFmtId="17" fontId="0" fillId="0" borderId="18" xfId="0" applyNumberFormat="1" applyFill="1" applyBorder="1" applyAlignment="1">
      <alignment horizontal="center"/>
    </xf>
    <xf numFmtId="17" fontId="6" fillId="0" borderId="19" xfId="0" applyNumberFormat="1" applyFont="1" applyFill="1" applyBorder="1" applyAlignment="1">
      <alignment horizontal="center"/>
    </xf>
    <xf numFmtId="17" fontId="0" fillId="0" borderId="1" xfId="0" applyNumberFormat="1" applyFill="1" applyBorder="1" applyAlignment="1">
      <alignment horizontal="center"/>
    </xf>
    <xf numFmtId="17" fontId="6" fillId="0" borderId="1" xfId="0" applyNumberFormat="1" applyFont="1" applyFill="1" applyBorder="1" applyAlignment="1">
      <alignment horizontal="center"/>
    </xf>
    <xf numFmtId="0" fontId="36" fillId="0" borderId="16" xfId="7" quotePrefix="1" applyFont="1" applyBorder="1" applyAlignment="1">
      <alignment horizontal="center"/>
    </xf>
    <xf numFmtId="0" fontId="10" fillId="0" borderId="0" xfId="6" applyFont="1" applyAlignment="1">
      <alignment horizontal="left" vertical="top" wrapText="1"/>
    </xf>
    <xf numFmtId="164" fontId="39" fillId="9" borderId="0" xfId="1" applyNumberFormat="1" applyFont="1" applyFill="1" applyAlignment="1">
      <alignment vertical="top"/>
    </xf>
    <xf numFmtId="164" fontId="39" fillId="0" borderId="0" xfId="1" applyNumberFormat="1" applyFont="1"/>
  </cellXfs>
  <cellStyles count="10">
    <cellStyle name="Comma" xfId="1" builtinId="3"/>
    <cellStyle name="Comma 2" xfId="2"/>
    <cellStyle name="Comma 2 2 2" xfId="8"/>
    <cellStyle name="Comma 2 2 5" xfId="4"/>
    <cellStyle name="Normal" xfId="0" builtinId="0"/>
    <cellStyle name="Normal 13 4" xfId="3"/>
    <cellStyle name="Normal 2 3 2 2" xfId="7"/>
    <cellStyle name="Normal 3 3" xfId="5"/>
    <cellStyle name="Normal_Fixed assets new" xfId="6"/>
    <cellStyle name="Percent" xfId="9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D\Financial%20Statment%202023-2024%20A.Wahid\FINANCIAL%20STATEMENTS%20Working%202023-2024%20-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D\Financial%20Statment%202023-2024%20A.Wahid\FINANCIAL%20STATEMENTS%202022-2023%20version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ance"/>
      <sheetName val="TB Working"/>
      <sheetName val="Balance Sheet"/>
      <sheetName val="Income &amp; Expenditure"/>
      <sheetName val="Note 6-FA schedule"/>
      <sheetName val="Note 7 to 19"/>
      <sheetName val="Operating Expenes"/>
      <sheetName val="Salary"/>
      <sheetName val="Sheet2"/>
      <sheetName val="FA Summary"/>
      <sheetName val="Inve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J7">
            <v>446608</v>
          </cell>
        </row>
        <row r="8">
          <cell r="J8">
            <v>97341</v>
          </cell>
        </row>
        <row r="9">
          <cell r="J9">
            <v>27082</v>
          </cell>
        </row>
        <row r="10">
          <cell r="J10">
            <v>114677</v>
          </cell>
        </row>
        <row r="11">
          <cell r="J11">
            <v>100244</v>
          </cell>
        </row>
        <row r="12">
          <cell r="J12">
            <v>46303</v>
          </cell>
        </row>
        <row r="13">
          <cell r="J13">
            <v>21182</v>
          </cell>
        </row>
        <row r="14">
          <cell r="J14">
            <v>22022</v>
          </cell>
        </row>
        <row r="15">
          <cell r="J15">
            <v>40572</v>
          </cell>
        </row>
        <row r="16">
          <cell r="J16">
            <v>2529</v>
          </cell>
        </row>
        <row r="17">
          <cell r="J17">
            <v>1712</v>
          </cell>
        </row>
        <row r="18">
          <cell r="J18">
            <v>2478</v>
          </cell>
        </row>
        <row r="20">
          <cell r="J20">
            <v>0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ance"/>
      <sheetName val="Balance Sheet"/>
      <sheetName val="Income &amp; Expenditure"/>
      <sheetName val="Note 6-FA schedule"/>
      <sheetName val="Note 7 to 19"/>
      <sheetName val="Operating Expenes"/>
      <sheetName val="Salary"/>
      <sheetName val="FA Summary"/>
      <sheetName val="Inve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J7">
            <v>490778</v>
          </cell>
        </row>
        <row r="8">
          <cell r="J8">
            <v>106968</v>
          </cell>
        </row>
        <row r="9">
          <cell r="J9">
            <v>31861</v>
          </cell>
        </row>
        <row r="10">
          <cell r="J10">
            <v>119637</v>
          </cell>
        </row>
        <row r="11">
          <cell r="J11">
            <v>34426</v>
          </cell>
        </row>
        <row r="12">
          <cell r="J12">
            <v>19352</v>
          </cell>
        </row>
        <row r="13">
          <cell r="J13">
            <v>18988</v>
          </cell>
        </row>
        <row r="14">
          <cell r="J14">
            <v>37871</v>
          </cell>
        </row>
        <row r="15">
          <cell r="J15">
            <v>2975</v>
          </cell>
        </row>
        <row r="16">
          <cell r="J16">
            <v>108</v>
          </cell>
        </row>
        <row r="17">
          <cell r="J17">
            <v>2916</v>
          </cell>
        </row>
        <row r="18">
          <cell r="J18">
            <v>910230</v>
          </cell>
        </row>
        <row r="20">
          <cell r="J20">
            <v>4971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1"/>
  <sheetViews>
    <sheetView topLeftCell="A46" workbookViewId="0">
      <selection sqref="A1:XFD1048576"/>
    </sheetView>
  </sheetViews>
  <sheetFormatPr defaultRowHeight="15.75" x14ac:dyDescent="0.25"/>
  <cols>
    <col min="1" max="1" width="4.140625" style="2" customWidth="1"/>
    <col min="2" max="2" width="43.7109375" style="2" customWidth="1"/>
    <col min="3" max="3" width="12.85546875" style="2" customWidth="1"/>
    <col min="4" max="4" width="21.85546875" style="2" customWidth="1"/>
    <col min="5" max="5" width="14.5703125" style="2" bestFit="1" customWidth="1"/>
    <col min="6" max="6" width="10.42578125" style="2" bestFit="1" customWidth="1"/>
    <col min="7" max="16384" width="9.140625" style="2"/>
  </cols>
  <sheetData>
    <row r="2" spans="2:6" ht="18.7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6" ht="18.75" x14ac:dyDescent="0.3">
      <c r="B3" s="3" t="s">
        <v>4</v>
      </c>
      <c r="C3" s="4" t="s">
        <v>5</v>
      </c>
      <c r="D3" s="6" t="s">
        <v>492</v>
      </c>
      <c r="E3" s="5">
        <v>0</v>
      </c>
    </row>
    <row r="4" spans="2:6" ht="18.75" x14ac:dyDescent="0.3">
      <c r="B4" s="3" t="s">
        <v>7</v>
      </c>
      <c r="C4" s="4" t="s">
        <v>5</v>
      </c>
      <c r="D4" s="4" t="s">
        <v>493</v>
      </c>
      <c r="E4" s="5">
        <v>3000</v>
      </c>
    </row>
    <row r="5" spans="2:6" ht="18.75" x14ac:dyDescent="0.3">
      <c r="B5" s="3" t="s">
        <v>8</v>
      </c>
      <c r="C5" s="4" t="s">
        <v>5</v>
      </c>
      <c r="D5" s="4" t="s">
        <v>493</v>
      </c>
      <c r="E5" s="5">
        <v>3000</v>
      </c>
    </row>
    <row r="6" spans="2:6" ht="18.75" x14ac:dyDescent="0.3">
      <c r="B6" s="3" t="s">
        <v>9</v>
      </c>
      <c r="C6" s="4" t="s">
        <v>10</v>
      </c>
      <c r="D6" s="6" t="s">
        <v>494</v>
      </c>
      <c r="E6" s="5">
        <v>5000</v>
      </c>
    </row>
    <row r="7" spans="2:6" ht="18.75" x14ac:dyDescent="0.3">
      <c r="B7" s="3" t="s">
        <v>12</v>
      </c>
      <c r="C7" s="4" t="s">
        <v>13</v>
      </c>
      <c r="D7" s="6" t="s">
        <v>492</v>
      </c>
      <c r="E7" s="5">
        <v>0</v>
      </c>
    </row>
    <row r="8" spans="2:6" ht="18.75" x14ac:dyDescent="0.3">
      <c r="B8" s="3" t="s">
        <v>14</v>
      </c>
      <c r="C8" s="4" t="s">
        <v>10</v>
      </c>
      <c r="D8" s="6" t="s">
        <v>15</v>
      </c>
      <c r="E8" s="5">
        <f>25000+2500</f>
        <v>27500</v>
      </c>
    </row>
    <row r="9" spans="2:6" ht="18.75" x14ac:dyDescent="0.3">
      <c r="B9" s="3" t="s">
        <v>16</v>
      </c>
      <c r="C9" s="4" t="s">
        <v>17</v>
      </c>
      <c r="D9" s="4" t="s">
        <v>493</v>
      </c>
      <c r="E9" s="5">
        <v>8000</v>
      </c>
      <c r="F9" s="179" t="s">
        <v>495</v>
      </c>
    </row>
    <row r="10" spans="2:6" ht="18.75" x14ac:dyDescent="0.3">
      <c r="B10" s="3" t="s">
        <v>18</v>
      </c>
      <c r="C10" s="4" t="s">
        <v>17</v>
      </c>
      <c r="D10" s="4" t="s">
        <v>493</v>
      </c>
      <c r="E10" s="5">
        <v>8000</v>
      </c>
    </row>
    <row r="11" spans="2:6" ht="18.75" x14ac:dyDescent="0.3">
      <c r="B11" s="3" t="s">
        <v>19</v>
      </c>
      <c r="C11" s="4" t="s">
        <v>20</v>
      </c>
      <c r="D11" s="4" t="s">
        <v>493</v>
      </c>
      <c r="E11" s="5">
        <v>9000</v>
      </c>
    </row>
    <row r="12" spans="2:6" ht="18.75" x14ac:dyDescent="0.3">
      <c r="B12" s="3" t="s">
        <v>21</v>
      </c>
      <c r="C12" s="4" t="s">
        <v>22</v>
      </c>
      <c r="D12" s="6" t="s">
        <v>492</v>
      </c>
      <c r="E12" s="5">
        <v>0</v>
      </c>
    </row>
    <row r="13" spans="2:6" ht="18.75" x14ac:dyDescent="0.3">
      <c r="B13" s="3" t="s">
        <v>23</v>
      </c>
      <c r="C13" s="4" t="s">
        <v>20</v>
      </c>
      <c r="D13" s="4" t="s">
        <v>493</v>
      </c>
      <c r="E13" s="5">
        <v>9000</v>
      </c>
      <c r="F13" s="179" t="s">
        <v>495</v>
      </c>
    </row>
    <row r="14" spans="2:6" ht="18.75" x14ac:dyDescent="0.3">
      <c r="B14" s="3" t="s">
        <v>24</v>
      </c>
      <c r="C14" s="4" t="s">
        <v>20</v>
      </c>
      <c r="D14" s="6" t="s">
        <v>25</v>
      </c>
      <c r="E14" s="5">
        <f>4500*10</f>
        <v>45000</v>
      </c>
    </row>
    <row r="15" spans="2:6" ht="18.75" x14ac:dyDescent="0.3">
      <c r="B15" s="3" t="s">
        <v>496</v>
      </c>
      <c r="C15" s="4" t="s">
        <v>20</v>
      </c>
      <c r="D15" s="6" t="s">
        <v>492</v>
      </c>
      <c r="E15" s="5">
        <v>0</v>
      </c>
    </row>
    <row r="16" spans="2:6" ht="18.75" x14ac:dyDescent="0.3">
      <c r="B16" s="3" t="s">
        <v>26</v>
      </c>
      <c r="C16" s="4" t="s">
        <v>20</v>
      </c>
      <c r="D16" s="6" t="s">
        <v>27</v>
      </c>
      <c r="E16" s="5">
        <f>76500+4500</f>
        <v>81000</v>
      </c>
    </row>
    <row r="17" spans="2:6" ht="18.75" x14ac:dyDescent="0.3">
      <c r="B17" s="3" t="s">
        <v>28</v>
      </c>
      <c r="C17" s="4" t="s">
        <v>29</v>
      </c>
      <c r="D17" s="6" t="s">
        <v>494</v>
      </c>
      <c r="E17" s="5">
        <v>10000</v>
      </c>
      <c r="F17" s="179" t="s">
        <v>495</v>
      </c>
    </row>
    <row r="18" spans="2:6" ht="18.75" x14ac:dyDescent="0.3">
      <c r="B18" s="3" t="s">
        <v>30</v>
      </c>
      <c r="C18" s="4" t="s">
        <v>29</v>
      </c>
      <c r="D18" s="6" t="s">
        <v>494</v>
      </c>
      <c r="E18" s="5">
        <v>10000</v>
      </c>
      <c r="F18" s="179" t="s">
        <v>495</v>
      </c>
    </row>
    <row r="19" spans="2:6" ht="18.75" x14ac:dyDescent="0.3">
      <c r="B19" s="3" t="s">
        <v>31</v>
      </c>
      <c r="C19" s="4" t="s">
        <v>29</v>
      </c>
      <c r="D19" s="6" t="s">
        <v>32</v>
      </c>
      <c r="E19" s="5">
        <v>30000</v>
      </c>
    </row>
    <row r="20" spans="2:6" ht="18.75" x14ac:dyDescent="0.3">
      <c r="B20" s="3" t="s">
        <v>33</v>
      </c>
      <c r="C20" s="4" t="s">
        <v>29</v>
      </c>
      <c r="D20" s="6" t="s">
        <v>34</v>
      </c>
      <c r="E20" s="5">
        <v>75000</v>
      </c>
    </row>
    <row r="21" spans="2:6" ht="18.75" x14ac:dyDescent="0.3">
      <c r="B21" s="3" t="s">
        <v>35</v>
      </c>
      <c r="C21" s="4" t="s">
        <v>36</v>
      </c>
      <c r="D21" s="6" t="s">
        <v>6</v>
      </c>
      <c r="E21" s="5">
        <v>24000</v>
      </c>
    </row>
    <row r="22" spans="2:6" ht="18.75" x14ac:dyDescent="0.3">
      <c r="B22" s="3" t="s">
        <v>37</v>
      </c>
      <c r="C22" s="4" t="s">
        <v>29</v>
      </c>
      <c r="D22" s="6" t="s">
        <v>494</v>
      </c>
      <c r="E22" s="5">
        <v>10000</v>
      </c>
    </row>
    <row r="23" spans="2:6" ht="18.75" x14ac:dyDescent="0.3">
      <c r="B23" s="3" t="s">
        <v>38</v>
      </c>
      <c r="C23" s="4" t="s">
        <v>39</v>
      </c>
      <c r="D23" s="6" t="s">
        <v>492</v>
      </c>
      <c r="E23" s="5">
        <v>0</v>
      </c>
    </row>
    <row r="24" spans="2:6" ht="18.75" x14ac:dyDescent="0.3">
      <c r="B24" s="3" t="s">
        <v>40</v>
      </c>
      <c r="C24" s="4" t="s">
        <v>39</v>
      </c>
      <c r="D24" s="6" t="s">
        <v>494</v>
      </c>
      <c r="E24" s="5">
        <v>20000</v>
      </c>
    </row>
    <row r="25" spans="2:6" ht="18.75" x14ac:dyDescent="0.3">
      <c r="B25" s="3" t="s">
        <v>41</v>
      </c>
      <c r="C25" s="4" t="s">
        <v>39</v>
      </c>
      <c r="D25" s="6" t="s">
        <v>42</v>
      </c>
      <c r="E25" s="5">
        <v>50000</v>
      </c>
    </row>
    <row r="26" spans="2:6" ht="18.75" x14ac:dyDescent="0.3">
      <c r="B26" s="3" t="s">
        <v>43</v>
      </c>
      <c r="C26" s="4" t="s">
        <v>39</v>
      </c>
      <c r="D26" s="6" t="s">
        <v>11</v>
      </c>
      <c r="E26" s="5">
        <v>40000</v>
      </c>
    </row>
    <row r="27" spans="2:6" ht="18.75" x14ac:dyDescent="0.3">
      <c r="B27" s="3" t="s">
        <v>44</v>
      </c>
      <c r="C27" s="4" t="s">
        <v>45</v>
      </c>
      <c r="D27" s="6" t="s">
        <v>6</v>
      </c>
      <c r="E27" s="5">
        <f>260000+130000</f>
        <v>390000</v>
      </c>
    </row>
    <row r="28" spans="2:6" ht="18.75" x14ac:dyDescent="0.3">
      <c r="B28" s="3" t="s">
        <v>46</v>
      </c>
      <c r="C28" s="4" t="s">
        <v>47</v>
      </c>
      <c r="D28" s="6" t="s">
        <v>48</v>
      </c>
      <c r="E28" s="5">
        <f>150000+12500</f>
        <v>162500</v>
      </c>
    </row>
    <row r="29" spans="2:6" ht="18.75" x14ac:dyDescent="0.3">
      <c r="B29" s="3" t="s">
        <v>49</v>
      </c>
      <c r="C29" s="4" t="s">
        <v>50</v>
      </c>
      <c r="D29" s="6" t="s">
        <v>6</v>
      </c>
      <c r="E29" s="5">
        <v>45000</v>
      </c>
    </row>
    <row r="30" spans="2:6" ht="18.75" x14ac:dyDescent="0.3">
      <c r="B30" s="3" t="s">
        <v>51</v>
      </c>
      <c r="C30" s="4" t="s">
        <v>29</v>
      </c>
      <c r="D30" s="6" t="s">
        <v>11</v>
      </c>
      <c r="E30" s="5">
        <v>20000</v>
      </c>
    </row>
    <row r="31" spans="2:6" ht="18.75" x14ac:dyDescent="0.3">
      <c r="B31" s="3" t="s">
        <v>52</v>
      </c>
      <c r="C31" s="4" t="s">
        <v>53</v>
      </c>
      <c r="D31" s="6" t="s">
        <v>54</v>
      </c>
      <c r="E31" s="5">
        <f>48000+6000</f>
        <v>54000</v>
      </c>
    </row>
    <row r="32" spans="2:6" ht="18.75" x14ac:dyDescent="0.3">
      <c r="B32" s="3" t="s">
        <v>55</v>
      </c>
      <c r="C32" s="4" t="s">
        <v>22</v>
      </c>
      <c r="D32" s="6" t="s">
        <v>494</v>
      </c>
      <c r="E32" s="5">
        <f>2000+36000</f>
        <v>38000</v>
      </c>
    </row>
    <row r="33" spans="2:5" ht="18.75" x14ac:dyDescent="0.3">
      <c r="B33" s="3" t="s">
        <v>56</v>
      </c>
      <c r="C33" s="4" t="s">
        <v>57</v>
      </c>
      <c r="D33" s="6" t="s">
        <v>494</v>
      </c>
      <c r="E33" s="5">
        <v>40000</v>
      </c>
    </row>
    <row r="34" spans="2:5" ht="18.75" x14ac:dyDescent="0.3">
      <c r="B34" s="3" t="s">
        <v>58</v>
      </c>
      <c r="C34" s="4" t="s">
        <v>5</v>
      </c>
      <c r="D34" s="6" t="s">
        <v>494</v>
      </c>
      <c r="E34" s="5">
        <v>3000</v>
      </c>
    </row>
    <row r="35" spans="2:5" ht="18.75" x14ac:dyDescent="0.3">
      <c r="B35" s="3" t="s">
        <v>59</v>
      </c>
      <c r="C35" s="4" t="s">
        <v>20</v>
      </c>
      <c r="D35" s="6" t="s">
        <v>11</v>
      </c>
      <c r="E35" s="5">
        <f>13500+4500</f>
        <v>18000</v>
      </c>
    </row>
    <row r="36" spans="2:5" ht="18.75" x14ac:dyDescent="0.3">
      <c r="B36" s="3" t="s">
        <v>60</v>
      </c>
      <c r="C36" s="4" t="s">
        <v>61</v>
      </c>
      <c r="D36" s="6" t="s">
        <v>48</v>
      </c>
      <c r="E36" s="5">
        <v>26000</v>
      </c>
    </row>
    <row r="37" spans="2:5" ht="18.75" x14ac:dyDescent="0.3">
      <c r="B37" s="3" t="s">
        <v>62</v>
      </c>
      <c r="C37" s="4" t="s">
        <v>29</v>
      </c>
      <c r="D37" s="6" t="s">
        <v>63</v>
      </c>
      <c r="E37" s="5">
        <v>35000</v>
      </c>
    </row>
    <row r="38" spans="2:5" ht="18.75" x14ac:dyDescent="0.3">
      <c r="B38" s="3" t="s">
        <v>497</v>
      </c>
      <c r="C38" s="4" t="s">
        <v>36</v>
      </c>
      <c r="D38" s="6" t="s">
        <v>492</v>
      </c>
      <c r="E38" s="5">
        <v>0</v>
      </c>
    </row>
    <row r="39" spans="2:5" ht="18.75" x14ac:dyDescent="0.3">
      <c r="B39" s="3" t="s">
        <v>64</v>
      </c>
      <c r="C39" s="4" t="s">
        <v>65</v>
      </c>
      <c r="D39" s="6" t="s">
        <v>11</v>
      </c>
      <c r="E39" s="5">
        <v>28000</v>
      </c>
    </row>
    <row r="40" spans="2:5" ht="18.75" x14ac:dyDescent="0.3">
      <c r="B40" s="3" t="s">
        <v>66</v>
      </c>
      <c r="C40" s="4" t="s">
        <v>67</v>
      </c>
      <c r="D40" s="6" t="s">
        <v>68</v>
      </c>
      <c r="E40" s="5">
        <v>3000</v>
      </c>
    </row>
    <row r="41" spans="2:5" ht="18.75" x14ac:dyDescent="0.3">
      <c r="B41" s="3" t="s">
        <v>69</v>
      </c>
      <c r="C41" s="4" t="s">
        <v>29</v>
      </c>
      <c r="D41" s="6" t="s">
        <v>493</v>
      </c>
      <c r="E41" s="5">
        <v>10000</v>
      </c>
    </row>
    <row r="42" spans="2:5" ht="18.75" x14ac:dyDescent="0.3">
      <c r="B42" s="3" t="s">
        <v>70</v>
      </c>
      <c r="C42" s="4" t="s">
        <v>10</v>
      </c>
      <c r="D42" s="6" t="s">
        <v>42</v>
      </c>
      <c r="E42" s="5">
        <v>12500</v>
      </c>
    </row>
    <row r="43" spans="2:5" ht="18.75" x14ac:dyDescent="0.3">
      <c r="B43" s="3" t="s">
        <v>71</v>
      </c>
      <c r="C43" s="4" t="s">
        <v>10</v>
      </c>
      <c r="D43" s="6" t="s">
        <v>42</v>
      </c>
      <c r="E43" s="5">
        <v>12500</v>
      </c>
    </row>
    <row r="44" spans="2:5" ht="18.75" x14ac:dyDescent="0.3">
      <c r="B44" s="3" t="s">
        <v>72</v>
      </c>
      <c r="C44" s="4" t="s">
        <v>61</v>
      </c>
      <c r="D44" s="6" t="s">
        <v>42</v>
      </c>
      <c r="E44" s="5">
        <v>10000</v>
      </c>
    </row>
    <row r="45" spans="2:5" ht="18.75" x14ac:dyDescent="0.3">
      <c r="B45" s="3" t="s">
        <v>73</v>
      </c>
      <c r="C45" s="4" t="s">
        <v>22</v>
      </c>
      <c r="D45" s="6" t="s">
        <v>6</v>
      </c>
      <c r="E45" s="5">
        <v>54000</v>
      </c>
    </row>
    <row r="46" spans="2:5" ht="18.75" x14ac:dyDescent="0.3">
      <c r="B46" s="3" t="s">
        <v>74</v>
      </c>
      <c r="C46" s="4" t="s">
        <v>22</v>
      </c>
      <c r="D46" s="6" t="s">
        <v>493</v>
      </c>
      <c r="E46" s="5">
        <v>36000</v>
      </c>
    </row>
    <row r="47" spans="2:5" ht="18.75" x14ac:dyDescent="0.3">
      <c r="B47" s="3" t="s">
        <v>75</v>
      </c>
      <c r="C47" s="4" t="s">
        <v>29</v>
      </c>
      <c r="D47" s="6" t="s">
        <v>492</v>
      </c>
      <c r="E47" s="5">
        <v>0</v>
      </c>
    </row>
    <row r="48" spans="2:5" ht="18.75" x14ac:dyDescent="0.3">
      <c r="B48" s="3" t="s">
        <v>76</v>
      </c>
      <c r="C48" s="4" t="s">
        <v>17</v>
      </c>
      <c r="D48" s="6" t="s">
        <v>11</v>
      </c>
      <c r="E48" s="5">
        <v>16000</v>
      </c>
    </row>
    <row r="49" spans="2:5" ht="18.75" x14ac:dyDescent="0.3">
      <c r="B49" s="3" t="s">
        <v>77</v>
      </c>
      <c r="C49" s="4" t="s">
        <v>39</v>
      </c>
      <c r="D49" s="6" t="s">
        <v>11</v>
      </c>
      <c r="E49" s="5">
        <v>40000</v>
      </c>
    </row>
    <row r="50" spans="2:5" ht="18.75" x14ac:dyDescent="0.3">
      <c r="B50" s="3" t="s">
        <v>78</v>
      </c>
      <c r="C50" s="4" t="s">
        <v>67</v>
      </c>
      <c r="D50" s="6" t="s">
        <v>493</v>
      </c>
      <c r="E50" s="5">
        <v>6000</v>
      </c>
    </row>
    <row r="51" spans="2:5" ht="18.75" x14ac:dyDescent="0.3">
      <c r="B51" s="3" t="s">
        <v>79</v>
      </c>
      <c r="C51" s="4" t="s">
        <v>29</v>
      </c>
      <c r="D51" s="6" t="s">
        <v>493</v>
      </c>
      <c r="E51" s="5">
        <v>10000</v>
      </c>
    </row>
    <row r="52" spans="2:5" ht="18.75" x14ac:dyDescent="0.3">
      <c r="B52" s="3" t="s">
        <v>80</v>
      </c>
      <c r="C52" s="4" t="s">
        <v>36</v>
      </c>
      <c r="D52" s="6" t="s">
        <v>492</v>
      </c>
      <c r="E52" s="5">
        <v>0</v>
      </c>
    </row>
    <row r="53" spans="2:5" ht="18.75" x14ac:dyDescent="0.3">
      <c r="B53" s="3" t="s">
        <v>81</v>
      </c>
      <c r="C53" s="4" t="s">
        <v>39</v>
      </c>
      <c r="D53" s="6" t="s">
        <v>11</v>
      </c>
      <c r="E53" s="5">
        <v>40000</v>
      </c>
    </row>
    <row r="54" spans="2:5" ht="18.75" x14ac:dyDescent="0.3">
      <c r="B54" s="3" t="s">
        <v>82</v>
      </c>
      <c r="C54" s="4" t="s">
        <v>61</v>
      </c>
      <c r="D54" s="6" t="s">
        <v>493</v>
      </c>
      <c r="E54" s="5">
        <v>4000</v>
      </c>
    </row>
    <row r="55" spans="2:5" ht="18.75" x14ac:dyDescent="0.3">
      <c r="B55" s="3" t="s">
        <v>83</v>
      </c>
      <c r="C55" s="4" t="s">
        <v>22</v>
      </c>
      <c r="D55" s="6" t="s">
        <v>493</v>
      </c>
      <c r="E55" s="5">
        <v>36000</v>
      </c>
    </row>
    <row r="56" spans="2:5" ht="18.75" x14ac:dyDescent="0.3">
      <c r="B56" s="3" t="s">
        <v>84</v>
      </c>
      <c r="C56" s="4" t="s">
        <v>29</v>
      </c>
      <c r="D56" s="6" t="s">
        <v>492</v>
      </c>
      <c r="E56" s="5">
        <v>0</v>
      </c>
    </row>
    <row r="57" spans="2:5" ht="18.75" x14ac:dyDescent="0.3">
      <c r="B57" s="3" t="s">
        <v>85</v>
      </c>
      <c r="C57" s="4" t="s">
        <v>65</v>
      </c>
      <c r="D57" s="6" t="s">
        <v>6</v>
      </c>
      <c r="E57" s="5">
        <v>21000</v>
      </c>
    </row>
    <row r="58" spans="2:5" ht="18.75" x14ac:dyDescent="0.3">
      <c r="B58" s="3" t="s">
        <v>86</v>
      </c>
      <c r="C58" s="4" t="s">
        <v>29</v>
      </c>
      <c r="D58" s="4" t="s">
        <v>42</v>
      </c>
      <c r="E58" s="5">
        <v>25000</v>
      </c>
    </row>
    <row r="59" spans="2:5" ht="18.75" x14ac:dyDescent="0.3">
      <c r="B59" s="3" t="s">
        <v>87</v>
      </c>
      <c r="C59" s="4" t="s">
        <v>36</v>
      </c>
      <c r="D59" s="4" t="s">
        <v>6</v>
      </c>
      <c r="E59" s="5">
        <v>24000</v>
      </c>
    </row>
    <row r="60" spans="2:5" ht="19.5" thickBot="1" x14ac:dyDescent="0.35">
      <c r="E60" s="7">
        <f>SUM(E3:E59)</f>
        <v>1687000</v>
      </c>
    </row>
    <row r="61" spans="2:5" ht="16.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54"/>
  <sheetViews>
    <sheetView topLeftCell="A43" workbookViewId="0">
      <selection activeCell="B11" sqref="B11"/>
    </sheetView>
  </sheetViews>
  <sheetFormatPr defaultRowHeight="15" x14ac:dyDescent="0.25"/>
  <cols>
    <col min="1" max="1" width="32.140625" style="183" customWidth="1"/>
    <col min="2" max="2" width="6.42578125" style="183" customWidth="1"/>
    <col min="3" max="57" width="15" style="183" customWidth="1"/>
    <col min="58" max="16384" width="9.140625" style="183"/>
  </cols>
  <sheetData>
    <row r="3" spans="1:44" x14ac:dyDescent="0.25">
      <c r="C3" s="207">
        <v>45108</v>
      </c>
      <c r="D3" s="207"/>
      <c r="E3" s="207"/>
      <c r="F3" s="207">
        <v>45139</v>
      </c>
      <c r="G3" s="207"/>
      <c r="H3" s="207"/>
      <c r="I3" s="207">
        <v>45170</v>
      </c>
      <c r="J3" s="207"/>
      <c r="K3" s="207"/>
      <c r="L3" s="208" t="s">
        <v>491</v>
      </c>
      <c r="M3" s="207"/>
      <c r="N3" s="207"/>
      <c r="O3" s="207">
        <v>45200</v>
      </c>
      <c r="P3" s="207"/>
      <c r="Q3" s="207"/>
      <c r="R3" s="207">
        <v>45231</v>
      </c>
      <c r="S3" s="207"/>
      <c r="T3" s="207"/>
      <c r="U3" s="207">
        <v>45261</v>
      </c>
      <c r="V3" s="207"/>
      <c r="W3" s="207"/>
      <c r="X3" s="207">
        <v>45292</v>
      </c>
      <c r="Y3" s="207"/>
      <c r="Z3" s="207"/>
      <c r="AA3" s="207">
        <v>45323</v>
      </c>
      <c r="AB3" s="207"/>
      <c r="AC3" s="207"/>
      <c r="AD3" s="207">
        <v>45352</v>
      </c>
      <c r="AE3" s="207"/>
      <c r="AF3" s="207"/>
      <c r="AG3" s="207">
        <v>45383</v>
      </c>
      <c r="AH3" s="207"/>
      <c r="AI3" s="207"/>
      <c r="AJ3" s="207">
        <v>45413</v>
      </c>
      <c r="AK3" s="207"/>
      <c r="AL3" s="207"/>
      <c r="AM3" s="203">
        <v>45447</v>
      </c>
      <c r="AN3" s="204"/>
      <c r="AO3" s="205"/>
      <c r="AP3" s="206" t="s">
        <v>490</v>
      </c>
      <c r="AQ3" s="204"/>
      <c r="AR3" s="205"/>
    </row>
    <row r="4" spans="1:44" x14ac:dyDescent="0.25">
      <c r="C4" s="194" t="s">
        <v>489</v>
      </c>
      <c r="D4" s="194" t="s">
        <v>488</v>
      </c>
      <c r="E4" s="194" t="s">
        <v>3</v>
      </c>
      <c r="F4" s="194" t="s">
        <v>489</v>
      </c>
      <c r="G4" s="194" t="s">
        <v>488</v>
      </c>
      <c r="H4" s="194" t="s">
        <v>3</v>
      </c>
      <c r="I4" s="194" t="s">
        <v>489</v>
      </c>
      <c r="J4" s="194" t="s">
        <v>488</v>
      </c>
      <c r="K4" s="194" t="s">
        <v>3</v>
      </c>
      <c r="L4" s="194" t="s">
        <v>489</v>
      </c>
      <c r="M4" s="194" t="s">
        <v>488</v>
      </c>
      <c r="N4" s="194" t="s">
        <v>3</v>
      </c>
      <c r="O4" s="194" t="s">
        <v>489</v>
      </c>
      <c r="P4" s="194" t="s">
        <v>488</v>
      </c>
      <c r="Q4" s="194" t="s">
        <v>3</v>
      </c>
      <c r="R4" s="194" t="s">
        <v>489</v>
      </c>
      <c r="S4" s="194" t="s">
        <v>488</v>
      </c>
      <c r="T4" s="194" t="s">
        <v>3</v>
      </c>
      <c r="U4" s="194" t="s">
        <v>489</v>
      </c>
      <c r="V4" s="194" t="s">
        <v>488</v>
      </c>
      <c r="W4" s="194" t="s">
        <v>3</v>
      </c>
      <c r="X4" s="194" t="s">
        <v>489</v>
      </c>
      <c r="Y4" s="194" t="s">
        <v>488</v>
      </c>
      <c r="Z4" s="194" t="s">
        <v>3</v>
      </c>
      <c r="AA4" s="194" t="s">
        <v>489</v>
      </c>
      <c r="AB4" s="194" t="s">
        <v>488</v>
      </c>
      <c r="AC4" s="194" t="s">
        <v>3</v>
      </c>
      <c r="AD4" s="194" t="s">
        <v>489</v>
      </c>
      <c r="AE4" s="194" t="s">
        <v>488</v>
      </c>
      <c r="AF4" s="194" t="s">
        <v>3</v>
      </c>
      <c r="AG4" s="194" t="s">
        <v>489</v>
      </c>
      <c r="AH4" s="194" t="s">
        <v>488</v>
      </c>
      <c r="AI4" s="194" t="s">
        <v>3</v>
      </c>
      <c r="AJ4" s="194" t="s">
        <v>489</v>
      </c>
      <c r="AK4" s="194" t="s">
        <v>488</v>
      </c>
      <c r="AL4" s="194" t="s">
        <v>3</v>
      </c>
      <c r="AM4" s="194" t="s">
        <v>489</v>
      </c>
      <c r="AN4" s="194" t="s">
        <v>488</v>
      </c>
      <c r="AO4" s="194" t="s">
        <v>3</v>
      </c>
      <c r="AP4" s="194" t="s">
        <v>489</v>
      </c>
      <c r="AQ4" s="194" t="s">
        <v>488</v>
      </c>
      <c r="AR4" s="194" t="s">
        <v>3</v>
      </c>
    </row>
    <row r="6" spans="1:44" x14ac:dyDescent="0.25">
      <c r="A6" s="183" t="s">
        <v>487</v>
      </c>
      <c r="C6" s="184">
        <v>1105452</v>
      </c>
      <c r="D6" s="184">
        <v>183438</v>
      </c>
      <c r="E6" s="184">
        <f>D6+C6</f>
        <v>1288890</v>
      </c>
      <c r="F6" s="184">
        <v>770324</v>
      </c>
      <c r="G6" s="184">
        <v>142256</v>
      </c>
      <c r="H6" s="184">
        <f>G6+F6</f>
        <v>912580</v>
      </c>
      <c r="I6" s="184">
        <v>834324</v>
      </c>
      <c r="J6" s="184">
        <v>143586</v>
      </c>
      <c r="K6" s="184">
        <f>J6+I6</f>
        <v>977910</v>
      </c>
      <c r="L6" s="184">
        <v>132377</v>
      </c>
      <c r="M6" s="184">
        <v>17482</v>
      </c>
      <c r="N6" s="184">
        <f>M6+L6</f>
        <v>149859</v>
      </c>
      <c r="O6" s="184">
        <v>1045714</v>
      </c>
      <c r="P6" s="184">
        <v>211068</v>
      </c>
      <c r="Q6" s="184">
        <f>P6+O6</f>
        <v>1256782</v>
      </c>
      <c r="R6" s="184">
        <v>1041314</v>
      </c>
      <c r="S6" s="184">
        <v>211068</v>
      </c>
      <c r="T6" s="184">
        <f>S6+R6</f>
        <v>1252382</v>
      </c>
      <c r="U6" s="184">
        <v>1086714</v>
      </c>
      <c r="V6" s="184">
        <v>183068</v>
      </c>
      <c r="W6" s="184">
        <f>V6+U6</f>
        <v>1269782</v>
      </c>
      <c r="X6" s="193">
        <v>1073714</v>
      </c>
      <c r="Y6" s="184">
        <v>213068</v>
      </c>
      <c r="Z6" s="184">
        <f>Y6+X6</f>
        <v>1286782</v>
      </c>
      <c r="AA6" s="184">
        <v>1175514</v>
      </c>
      <c r="AB6" s="184">
        <v>173068</v>
      </c>
      <c r="AC6" s="184">
        <f>AB6+AA6</f>
        <v>1348582</v>
      </c>
      <c r="AD6" s="184">
        <v>1192014</v>
      </c>
      <c r="AE6" s="184">
        <f>100000+45000+24000+30000+19068</f>
        <v>218068</v>
      </c>
      <c r="AF6" s="184">
        <f>AE6+AD6</f>
        <v>1410082</v>
      </c>
      <c r="AG6" s="184">
        <v>1149214</v>
      </c>
      <c r="AH6" s="184">
        <v>194068</v>
      </c>
      <c r="AI6" s="184">
        <f>AH6+AG6</f>
        <v>1343282</v>
      </c>
      <c r="AJ6" s="184">
        <v>1146214</v>
      </c>
      <c r="AK6" s="184">
        <f>194068-968</f>
        <v>193100</v>
      </c>
      <c r="AL6" s="184">
        <f>AK6+AJ6</f>
        <v>1339314</v>
      </c>
      <c r="AM6" s="184">
        <v>1124214</v>
      </c>
      <c r="AN6" s="184">
        <v>194068</v>
      </c>
      <c r="AO6" s="184">
        <f>AN6+AM6</f>
        <v>1318282</v>
      </c>
      <c r="AP6" s="184">
        <f t="shared" ref="AP6:AQ8" si="0">AM6+AJ6+AG6+AD6+AA6+X6+U6+R6+O6+L6+I6+F6+C6</f>
        <v>12877103</v>
      </c>
      <c r="AQ6" s="184">
        <f t="shared" si="0"/>
        <v>2277406</v>
      </c>
      <c r="AR6" s="184">
        <f>AQ6+AP6</f>
        <v>15154509</v>
      </c>
    </row>
    <row r="7" spans="1:44" x14ac:dyDescent="0.25">
      <c r="A7" s="183" t="s">
        <v>486</v>
      </c>
      <c r="C7" s="184"/>
      <c r="D7" s="184"/>
      <c r="E7" s="184">
        <f>D7+C7</f>
        <v>0</v>
      </c>
      <c r="F7" s="184">
        <v>162777</v>
      </c>
      <c r="G7" s="184">
        <v>70142.7</v>
      </c>
      <c r="H7" s="184">
        <f>G7+F7</f>
        <v>232919.7</v>
      </c>
      <c r="I7" s="184">
        <v>166390</v>
      </c>
      <c r="J7" s="184">
        <v>67482</v>
      </c>
      <c r="K7" s="184">
        <f>J7+I7</f>
        <v>233872</v>
      </c>
      <c r="L7" s="184"/>
      <c r="M7" s="184"/>
      <c r="N7" s="184">
        <f>M7+L7</f>
        <v>0</v>
      </c>
      <c r="O7" s="184"/>
      <c r="P7" s="184"/>
      <c r="Q7" s="184">
        <f>P7+O7</f>
        <v>0</v>
      </c>
      <c r="R7" s="184"/>
      <c r="S7" s="184"/>
      <c r="T7" s="184">
        <f>S7+R7</f>
        <v>0</v>
      </c>
      <c r="U7" s="184"/>
      <c r="V7" s="184"/>
      <c r="W7" s="184">
        <f>V7+U7</f>
        <v>0</v>
      </c>
      <c r="X7" s="184"/>
      <c r="Y7" s="184"/>
      <c r="Z7" s="184">
        <f>Y7+X7</f>
        <v>0</v>
      </c>
      <c r="AA7" s="184"/>
      <c r="AB7" s="184"/>
      <c r="AC7" s="184">
        <f>AB7+AA7</f>
        <v>0</v>
      </c>
      <c r="AD7" s="184"/>
      <c r="AE7" s="184"/>
      <c r="AF7" s="184">
        <f>AE7+AD7</f>
        <v>0</v>
      </c>
      <c r="AG7" s="184"/>
      <c r="AH7" s="184"/>
      <c r="AI7" s="184">
        <f>AH7+AG7</f>
        <v>0</v>
      </c>
      <c r="AJ7" s="184"/>
      <c r="AK7" s="184"/>
      <c r="AL7" s="184">
        <f>AK7+AJ7</f>
        <v>0</v>
      </c>
      <c r="AM7" s="184"/>
      <c r="AN7" s="184"/>
      <c r="AO7" s="184">
        <f>AN7+AM7</f>
        <v>0</v>
      </c>
      <c r="AP7" s="184">
        <f t="shared" si="0"/>
        <v>329167</v>
      </c>
      <c r="AQ7" s="184">
        <f t="shared" si="0"/>
        <v>137624.70000000001</v>
      </c>
      <c r="AR7" s="184">
        <f>AQ7+AP7</f>
        <v>466791.7</v>
      </c>
    </row>
    <row r="8" spans="1:44" x14ac:dyDescent="0.25">
      <c r="A8" s="183" t="s">
        <v>485</v>
      </c>
      <c r="C8" s="184">
        <v>30450</v>
      </c>
      <c r="D8" s="184"/>
      <c r="E8" s="184">
        <f>D8+C8</f>
        <v>30450</v>
      </c>
      <c r="F8" s="184"/>
      <c r="G8" s="184"/>
      <c r="H8" s="184">
        <f>G8+F8</f>
        <v>0</v>
      </c>
      <c r="I8" s="184">
        <v>575</v>
      </c>
      <c r="J8" s="184"/>
      <c r="K8" s="184">
        <f>J8+I8</f>
        <v>575</v>
      </c>
      <c r="L8" s="184"/>
      <c r="M8" s="184"/>
      <c r="N8" s="184">
        <f>M8+L8</f>
        <v>0</v>
      </c>
      <c r="O8" s="184">
        <v>6870</v>
      </c>
      <c r="P8" s="184"/>
      <c r="Q8" s="184">
        <f>P8+O8</f>
        <v>6870</v>
      </c>
      <c r="R8" s="184">
        <v>16000</v>
      </c>
      <c r="S8" s="184"/>
      <c r="T8" s="184">
        <f>S8+R8</f>
        <v>16000</v>
      </c>
      <c r="U8" s="184">
        <v>15000</v>
      </c>
      <c r="V8" s="184"/>
      <c r="W8" s="184">
        <f>V8+U8</f>
        <v>15000</v>
      </c>
      <c r="X8" s="184">
        <v>12750</v>
      </c>
      <c r="Y8" s="184"/>
      <c r="Z8" s="184">
        <f>Y8+X8</f>
        <v>12750</v>
      </c>
      <c r="AA8" s="184">
        <v>9714</v>
      </c>
      <c r="AB8" s="184"/>
      <c r="AC8" s="184">
        <f>AB8+AA8</f>
        <v>9714</v>
      </c>
      <c r="AD8" s="184">
        <v>20738</v>
      </c>
      <c r="AE8" s="184">
        <v>0</v>
      </c>
      <c r="AF8" s="184">
        <f>AE8+AD8</f>
        <v>20738</v>
      </c>
      <c r="AG8" s="184">
        <v>10500</v>
      </c>
      <c r="AH8" s="184"/>
      <c r="AI8" s="184">
        <f>AH8+AG8</f>
        <v>10500</v>
      </c>
      <c r="AJ8" s="184">
        <v>11500</v>
      </c>
      <c r="AK8" s="184"/>
      <c r="AL8" s="184">
        <f>AK8+AJ8</f>
        <v>11500</v>
      </c>
      <c r="AM8" s="184">
        <v>9250</v>
      </c>
      <c r="AN8" s="184"/>
      <c r="AO8" s="184">
        <f>AN8+AM8</f>
        <v>9250</v>
      </c>
      <c r="AP8" s="184">
        <f t="shared" si="0"/>
        <v>143347</v>
      </c>
      <c r="AQ8" s="184">
        <f t="shared" si="0"/>
        <v>0</v>
      </c>
      <c r="AR8" s="184">
        <f>AQ8+AP8</f>
        <v>143347</v>
      </c>
    </row>
    <row r="9" spans="1:44" x14ac:dyDescent="0.25">
      <c r="C9" s="191">
        <f t="shared" ref="C9:AR9" si="1">SUM(C6:C8)</f>
        <v>1135902</v>
      </c>
      <c r="D9" s="191">
        <f t="shared" si="1"/>
        <v>183438</v>
      </c>
      <c r="E9" s="191">
        <f t="shared" si="1"/>
        <v>1319340</v>
      </c>
      <c r="F9" s="191">
        <f t="shared" si="1"/>
        <v>933101</v>
      </c>
      <c r="G9" s="191">
        <f t="shared" si="1"/>
        <v>212398.7</v>
      </c>
      <c r="H9" s="191">
        <f t="shared" si="1"/>
        <v>1145499.7</v>
      </c>
      <c r="I9" s="191">
        <f t="shared" si="1"/>
        <v>1001289</v>
      </c>
      <c r="J9" s="191">
        <f t="shared" si="1"/>
        <v>211068</v>
      </c>
      <c r="K9" s="191">
        <f t="shared" si="1"/>
        <v>1212357</v>
      </c>
      <c r="L9" s="191">
        <f t="shared" si="1"/>
        <v>132377</v>
      </c>
      <c r="M9" s="191">
        <f t="shared" si="1"/>
        <v>17482</v>
      </c>
      <c r="N9" s="191">
        <f t="shared" si="1"/>
        <v>149859</v>
      </c>
      <c r="O9" s="191">
        <f t="shared" si="1"/>
        <v>1052584</v>
      </c>
      <c r="P9" s="191">
        <f t="shared" si="1"/>
        <v>211068</v>
      </c>
      <c r="Q9" s="191">
        <f t="shared" si="1"/>
        <v>1263652</v>
      </c>
      <c r="R9" s="191">
        <f t="shared" si="1"/>
        <v>1057314</v>
      </c>
      <c r="S9" s="191">
        <f t="shared" si="1"/>
        <v>211068</v>
      </c>
      <c r="T9" s="191">
        <f t="shared" si="1"/>
        <v>1268382</v>
      </c>
      <c r="U9" s="191">
        <f t="shared" si="1"/>
        <v>1101714</v>
      </c>
      <c r="V9" s="191">
        <f t="shared" si="1"/>
        <v>183068</v>
      </c>
      <c r="W9" s="191">
        <f t="shared" si="1"/>
        <v>1284782</v>
      </c>
      <c r="X9" s="191">
        <f t="shared" si="1"/>
        <v>1086464</v>
      </c>
      <c r="Y9" s="191">
        <f t="shared" si="1"/>
        <v>213068</v>
      </c>
      <c r="Z9" s="191">
        <f t="shared" si="1"/>
        <v>1299532</v>
      </c>
      <c r="AA9" s="191">
        <f t="shared" si="1"/>
        <v>1185228</v>
      </c>
      <c r="AB9" s="191">
        <f t="shared" si="1"/>
        <v>173068</v>
      </c>
      <c r="AC9" s="191">
        <f t="shared" si="1"/>
        <v>1358296</v>
      </c>
      <c r="AD9" s="191">
        <f t="shared" si="1"/>
        <v>1212752</v>
      </c>
      <c r="AE9" s="191">
        <f t="shared" si="1"/>
        <v>218068</v>
      </c>
      <c r="AF9" s="191">
        <f t="shared" si="1"/>
        <v>1430820</v>
      </c>
      <c r="AG9" s="191">
        <f t="shared" si="1"/>
        <v>1159714</v>
      </c>
      <c r="AH9" s="191">
        <f t="shared" si="1"/>
        <v>194068</v>
      </c>
      <c r="AI9" s="191">
        <f t="shared" si="1"/>
        <v>1353782</v>
      </c>
      <c r="AJ9" s="191">
        <f t="shared" si="1"/>
        <v>1157714</v>
      </c>
      <c r="AK9" s="191">
        <f t="shared" si="1"/>
        <v>193100</v>
      </c>
      <c r="AL9" s="191">
        <f t="shared" si="1"/>
        <v>1350814</v>
      </c>
      <c r="AM9" s="191">
        <f t="shared" si="1"/>
        <v>1133464</v>
      </c>
      <c r="AN9" s="191">
        <f t="shared" si="1"/>
        <v>194068</v>
      </c>
      <c r="AO9" s="191">
        <f t="shared" si="1"/>
        <v>1327532</v>
      </c>
      <c r="AP9" s="191">
        <f t="shared" si="1"/>
        <v>13349617</v>
      </c>
      <c r="AQ9" s="191">
        <f t="shared" si="1"/>
        <v>2415030.7000000002</v>
      </c>
      <c r="AR9" s="191">
        <f t="shared" si="1"/>
        <v>15764647.699999999</v>
      </c>
    </row>
    <row r="10" spans="1:44" x14ac:dyDescent="0.25">
      <c r="A10" s="192" t="s">
        <v>484</v>
      </c>
      <c r="B10" s="192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</row>
    <row r="11" spans="1:44" x14ac:dyDescent="0.25">
      <c r="A11" s="183" t="s">
        <v>483</v>
      </c>
      <c r="C11" s="184">
        <v>32969</v>
      </c>
      <c r="D11" s="184">
        <v>1516</v>
      </c>
      <c r="E11" s="184">
        <f>D11+C11</f>
        <v>34485</v>
      </c>
      <c r="F11" s="184">
        <v>32969</v>
      </c>
      <c r="G11" s="184">
        <v>3031</v>
      </c>
      <c r="H11" s="184">
        <f>G11+F11</f>
        <v>36000</v>
      </c>
      <c r="I11" s="184">
        <v>31491</v>
      </c>
      <c r="J11" s="184">
        <v>2215</v>
      </c>
      <c r="K11" s="184">
        <f>J11+I11</f>
        <v>33706</v>
      </c>
      <c r="L11" s="184"/>
      <c r="M11" s="184"/>
      <c r="N11" s="184">
        <f>M11+L11</f>
        <v>0</v>
      </c>
      <c r="O11" s="184">
        <v>33785</v>
      </c>
      <c r="P11" s="184">
        <v>2215</v>
      </c>
      <c r="Q11" s="184">
        <f>P11+O11</f>
        <v>36000</v>
      </c>
      <c r="R11" s="184">
        <v>33105</v>
      </c>
      <c r="S11" s="184">
        <v>2215</v>
      </c>
      <c r="T11" s="184">
        <f>S11+R11</f>
        <v>35320</v>
      </c>
      <c r="U11" s="184">
        <v>36748</v>
      </c>
      <c r="V11" s="184"/>
      <c r="W11" s="184">
        <f>V11+U11</f>
        <v>36748</v>
      </c>
      <c r="X11" s="184">
        <v>38412</v>
      </c>
      <c r="Y11" s="184"/>
      <c r="Z11" s="184">
        <f>Y11+X11</f>
        <v>38412</v>
      </c>
      <c r="AA11" s="184">
        <v>35668</v>
      </c>
      <c r="AB11" s="184"/>
      <c r="AC11" s="184">
        <f>AB11+AA11</f>
        <v>35668</v>
      </c>
      <c r="AD11" s="184">
        <v>35717</v>
      </c>
      <c r="AE11" s="184"/>
      <c r="AF11" s="184">
        <f>AE11+AD11</f>
        <v>35717</v>
      </c>
      <c r="AG11" s="184">
        <v>35778</v>
      </c>
      <c r="AH11" s="184"/>
      <c r="AI11" s="184">
        <f>AH11+AG11</f>
        <v>35778</v>
      </c>
      <c r="AJ11" s="184">
        <v>35727</v>
      </c>
      <c r="AK11" s="184"/>
      <c r="AL11" s="184">
        <f>AK11+AJ11</f>
        <v>35727</v>
      </c>
      <c r="AM11" s="184">
        <v>30278</v>
      </c>
      <c r="AN11" s="184"/>
      <c r="AO11" s="184">
        <f>AN11+AM11</f>
        <v>30278</v>
      </c>
      <c r="AP11" s="184">
        <f t="shared" ref="AP11:AQ14" si="2">AM11+AJ11+AG11+AD11+AA11+X11+U11+R11+O11+L11+I11+F11+C11</f>
        <v>412647</v>
      </c>
      <c r="AQ11" s="184">
        <f t="shared" si="2"/>
        <v>11192</v>
      </c>
      <c r="AR11" s="184">
        <f>AQ11+AP11</f>
        <v>423839</v>
      </c>
    </row>
    <row r="12" spans="1:44" x14ac:dyDescent="0.25">
      <c r="A12" s="183" t="s">
        <v>482</v>
      </c>
      <c r="C12" s="184"/>
      <c r="D12" s="184"/>
      <c r="E12" s="184">
        <f>D12+C12</f>
        <v>0</v>
      </c>
      <c r="F12" s="184">
        <v>19839</v>
      </c>
      <c r="G12" s="184">
        <v>6386.6967741935478</v>
      </c>
      <c r="H12" s="184">
        <f>G12+F12</f>
        <v>26225.696774193548</v>
      </c>
      <c r="I12" s="184">
        <v>40001</v>
      </c>
      <c r="J12" s="184">
        <v>1467</v>
      </c>
      <c r="K12" s="184">
        <f>J12+I12</f>
        <v>41468</v>
      </c>
      <c r="L12" s="184"/>
      <c r="M12" s="184"/>
      <c r="N12" s="184">
        <f>M12+L12</f>
        <v>0</v>
      </c>
      <c r="O12" s="184">
        <v>63240</v>
      </c>
      <c r="P12" s="184">
        <v>2839</v>
      </c>
      <c r="Q12" s="184">
        <f>P12+O12</f>
        <v>66079</v>
      </c>
      <c r="R12" s="184">
        <v>67528</v>
      </c>
      <c r="S12" s="184">
        <v>1846</v>
      </c>
      <c r="T12" s="184">
        <f>S12+R12</f>
        <v>69374</v>
      </c>
      <c r="U12" s="184">
        <v>30388</v>
      </c>
      <c r="V12" s="184">
        <v>1231</v>
      </c>
      <c r="W12" s="184">
        <f>V12+U12</f>
        <v>31619</v>
      </c>
      <c r="X12" s="184">
        <v>34936</v>
      </c>
      <c r="Y12" s="184">
        <v>23541</v>
      </c>
      <c r="Z12" s="184">
        <f>Y12+X12</f>
        <v>58477</v>
      </c>
      <c r="AA12" s="184">
        <v>77294</v>
      </c>
      <c r="AB12" s="184">
        <v>3114</v>
      </c>
      <c r="AC12" s="184">
        <f>AB12+AA12</f>
        <v>80408</v>
      </c>
      <c r="AD12" s="184">
        <v>13848</v>
      </c>
      <c r="AE12" s="184">
        <v>49424</v>
      </c>
      <c r="AF12" s="184">
        <f>AE12+AD12</f>
        <v>63272</v>
      </c>
      <c r="AG12" s="184">
        <v>65042</v>
      </c>
      <c r="AH12" s="184"/>
      <c r="AI12" s="184">
        <f>AH12+AG12</f>
        <v>65042</v>
      </c>
      <c r="AJ12" s="184">
        <v>20692</v>
      </c>
      <c r="AK12" s="184"/>
      <c r="AL12" s="184">
        <f>AK12+AJ12</f>
        <v>20692</v>
      </c>
      <c r="AM12" s="184">
        <v>82930</v>
      </c>
      <c r="AN12" s="184">
        <v>30526</v>
      </c>
      <c r="AO12" s="184">
        <f>AN12+AM12</f>
        <v>113456</v>
      </c>
      <c r="AP12" s="184">
        <f t="shared" si="2"/>
        <v>515738</v>
      </c>
      <c r="AQ12" s="184">
        <f t="shared" si="2"/>
        <v>120374.69677419355</v>
      </c>
      <c r="AR12" s="184">
        <f>AQ12+AP12</f>
        <v>636112.69677419355</v>
      </c>
    </row>
    <row r="13" spans="1:44" x14ac:dyDescent="0.25">
      <c r="A13" s="183" t="s">
        <v>481</v>
      </c>
      <c r="C13" s="184">
        <v>4550</v>
      </c>
      <c r="D13" s="184">
        <v>650</v>
      </c>
      <c r="E13" s="184">
        <f>D13+C13</f>
        <v>5200</v>
      </c>
      <c r="F13" s="184">
        <v>4940</v>
      </c>
      <c r="G13" s="184">
        <v>650</v>
      </c>
      <c r="H13" s="184">
        <f>G13+F13</f>
        <v>5590</v>
      </c>
      <c r="I13" s="184">
        <v>5460</v>
      </c>
      <c r="J13" s="184">
        <v>650</v>
      </c>
      <c r="K13" s="184">
        <f>J13+I13</f>
        <v>6110</v>
      </c>
      <c r="L13" s="184"/>
      <c r="M13" s="184"/>
      <c r="N13" s="184">
        <f>M13+L13</f>
        <v>0</v>
      </c>
      <c r="O13" s="184">
        <v>4810</v>
      </c>
      <c r="P13" s="184">
        <v>650</v>
      </c>
      <c r="Q13" s="184">
        <f>P13+O13</f>
        <v>5460</v>
      </c>
      <c r="R13" s="184">
        <v>4810</v>
      </c>
      <c r="S13" s="184">
        <v>650</v>
      </c>
      <c r="T13" s="184">
        <f>S13+R13</f>
        <v>5460</v>
      </c>
      <c r="U13" s="184">
        <v>15790</v>
      </c>
      <c r="V13" s="184">
        <v>1480</v>
      </c>
      <c r="W13" s="184">
        <f>V13+U13</f>
        <v>17270</v>
      </c>
      <c r="X13" s="184">
        <v>11250</v>
      </c>
      <c r="Y13" s="184">
        <v>1250</v>
      </c>
      <c r="Z13" s="184">
        <f>Y13+X13</f>
        <v>12500</v>
      </c>
      <c r="AA13" s="184">
        <v>11000</v>
      </c>
      <c r="AB13" s="184">
        <v>1000</v>
      </c>
      <c r="AC13" s="184">
        <f>AB13+AA13</f>
        <v>12000</v>
      </c>
      <c r="AD13" s="184">
        <v>11000</v>
      </c>
      <c r="AE13" s="184">
        <v>750</v>
      </c>
      <c r="AF13" s="184">
        <f>AE13+AD13</f>
        <v>11750</v>
      </c>
      <c r="AG13" s="184">
        <v>11750</v>
      </c>
      <c r="AH13" s="184">
        <v>1000</v>
      </c>
      <c r="AI13" s="184">
        <f>AH13+AG13</f>
        <v>12750</v>
      </c>
      <c r="AJ13" s="184">
        <v>11000</v>
      </c>
      <c r="AK13" s="184">
        <v>1000</v>
      </c>
      <c r="AL13" s="184">
        <f>AK13+AJ13</f>
        <v>12000</v>
      </c>
      <c r="AM13" s="184">
        <v>10500</v>
      </c>
      <c r="AN13" s="184">
        <v>1000</v>
      </c>
      <c r="AO13" s="184">
        <f>AN13+AM13</f>
        <v>11500</v>
      </c>
      <c r="AP13" s="184">
        <f t="shared" si="2"/>
        <v>106860</v>
      </c>
      <c r="AQ13" s="184">
        <f t="shared" si="2"/>
        <v>10730</v>
      </c>
      <c r="AR13" s="184">
        <f>AQ13+AP13</f>
        <v>117590</v>
      </c>
    </row>
    <row r="14" spans="1:44" x14ac:dyDescent="0.25">
      <c r="A14" s="183" t="s">
        <v>480</v>
      </c>
      <c r="C14" s="184"/>
      <c r="D14" s="184"/>
      <c r="E14" s="184">
        <f>D14+C14</f>
        <v>0</v>
      </c>
      <c r="F14" s="184"/>
      <c r="G14" s="184">
        <v>1250</v>
      </c>
      <c r="H14" s="184">
        <f>G14+F14</f>
        <v>1250</v>
      </c>
      <c r="I14" s="184"/>
      <c r="J14" s="184">
        <v>2188</v>
      </c>
      <c r="K14" s="184">
        <f>J14+I14</f>
        <v>2188</v>
      </c>
      <c r="L14" s="184"/>
      <c r="M14" s="184"/>
      <c r="N14" s="184">
        <f>M14+L14</f>
        <v>0</v>
      </c>
      <c r="O14" s="184"/>
      <c r="P14" s="184">
        <v>1146</v>
      </c>
      <c r="Q14" s="184">
        <f>P14+O14</f>
        <v>1146</v>
      </c>
      <c r="R14" s="184">
        <v>0</v>
      </c>
      <c r="S14" s="184">
        <v>1146</v>
      </c>
      <c r="T14" s="184">
        <f>S14+R14</f>
        <v>1146</v>
      </c>
      <c r="U14" s="184">
        <v>0</v>
      </c>
      <c r="V14" s="184">
        <v>1146</v>
      </c>
      <c r="W14" s="184">
        <f>V14+U14</f>
        <v>1146</v>
      </c>
      <c r="X14" s="184"/>
      <c r="Y14" s="184">
        <v>1146</v>
      </c>
      <c r="Z14" s="184">
        <f>Y14+X14</f>
        <v>1146</v>
      </c>
      <c r="AA14" s="184">
        <v>0</v>
      </c>
      <c r="AB14" s="184">
        <v>1146</v>
      </c>
      <c r="AC14" s="184">
        <f>AB14+AA14</f>
        <v>1146</v>
      </c>
      <c r="AD14" s="184">
        <v>0</v>
      </c>
      <c r="AE14" s="184">
        <v>1146</v>
      </c>
      <c r="AF14" s="184">
        <f>AE14+AD14</f>
        <v>1146</v>
      </c>
      <c r="AG14" s="184">
        <v>0</v>
      </c>
      <c r="AH14" s="184">
        <v>1146</v>
      </c>
      <c r="AI14" s="184">
        <f>AH14+AG14</f>
        <v>1146</v>
      </c>
      <c r="AJ14" s="184">
        <v>250</v>
      </c>
      <c r="AK14" s="184">
        <v>1146</v>
      </c>
      <c r="AL14" s="184">
        <f>AK14+AJ14</f>
        <v>1396</v>
      </c>
      <c r="AM14" s="184">
        <v>252</v>
      </c>
      <c r="AN14" s="184">
        <v>1250</v>
      </c>
      <c r="AO14" s="184">
        <f>AN14+AM14</f>
        <v>1502</v>
      </c>
      <c r="AP14" s="184">
        <f t="shared" si="2"/>
        <v>502</v>
      </c>
      <c r="AQ14" s="184">
        <f t="shared" si="2"/>
        <v>13856</v>
      </c>
      <c r="AR14" s="184">
        <f>AQ14+AP14</f>
        <v>14358</v>
      </c>
    </row>
    <row r="15" spans="1:44" x14ac:dyDescent="0.25">
      <c r="C15" s="191">
        <f t="shared" ref="C15:AR15" si="3">SUM(C11:C14)</f>
        <v>37519</v>
      </c>
      <c r="D15" s="191">
        <f t="shared" si="3"/>
        <v>2166</v>
      </c>
      <c r="E15" s="191">
        <f t="shared" si="3"/>
        <v>39685</v>
      </c>
      <c r="F15" s="191">
        <f t="shared" si="3"/>
        <v>57748</v>
      </c>
      <c r="G15" s="191">
        <f t="shared" si="3"/>
        <v>11317.696774193548</v>
      </c>
      <c r="H15" s="191">
        <f t="shared" si="3"/>
        <v>69065.696774193551</v>
      </c>
      <c r="I15" s="191">
        <f t="shared" si="3"/>
        <v>76952</v>
      </c>
      <c r="J15" s="191">
        <f t="shared" si="3"/>
        <v>6520</v>
      </c>
      <c r="K15" s="191">
        <f t="shared" si="3"/>
        <v>83472</v>
      </c>
      <c r="L15" s="191">
        <f t="shared" si="3"/>
        <v>0</v>
      </c>
      <c r="M15" s="191">
        <f t="shared" si="3"/>
        <v>0</v>
      </c>
      <c r="N15" s="191">
        <f t="shared" si="3"/>
        <v>0</v>
      </c>
      <c r="O15" s="191">
        <f t="shared" si="3"/>
        <v>101835</v>
      </c>
      <c r="P15" s="191">
        <f t="shared" si="3"/>
        <v>6850</v>
      </c>
      <c r="Q15" s="191">
        <f t="shared" si="3"/>
        <v>108685</v>
      </c>
      <c r="R15" s="191">
        <f t="shared" si="3"/>
        <v>105443</v>
      </c>
      <c r="S15" s="191">
        <f t="shared" si="3"/>
        <v>5857</v>
      </c>
      <c r="T15" s="191">
        <f t="shared" si="3"/>
        <v>111300</v>
      </c>
      <c r="U15" s="191">
        <f t="shared" si="3"/>
        <v>82926</v>
      </c>
      <c r="V15" s="191">
        <f t="shared" si="3"/>
        <v>3857</v>
      </c>
      <c r="W15" s="191">
        <f t="shared" si="3"/>
        <v>86783</v>
      </c>
      <c r="X15" s="191">
        <f t="shared" si="3"/>
        <v>84598</v>
      </c>
      <c r="Y15" s="191">
        <f t="shared" si="3"/>
        <v>25937</v>
      </c>
      <c r="Z15" s="191">
        <f t="shared" si="3"/>
        <v>110535</v>
      </c>
      <c r="AA15" s="191">
        <f t="shared" si="3"/>
        <v>123962</v>
      </c>
      <c r="AB15" s="191">
        <f t="shared" si="3"/>
        <v>5260</v>
      </c>
      <c r="AC15" s="191">
        <f t="shared" si="3"/>
        <v>129222</v>
      </c>
      <c r="AD15" s="191">
        <f t="shared" si="3"/>
        <v>60565</v>
      </c>
      <c r="AE15" s="191">
        <f t="shared" si="3"/>
        <v>51320</v>
      </c>
      <c r="AF15" s="191">
        <f t="shared" si="3"/>
        <v>111885</v>
      </c>
      <c r="AG15" s="191">
        <f t="shared" si="3"/>
        <v>112570</v>
      </c>
      <c r="AH15" s="191">
        <f t="shared" si="3"/>
        <v>2146</v>
      </c>
      <c r="AI15" s="191">
        <f t="shared" si="3"/>
        <v>114716</v>
      </c>
      <c r="AJ15" s="191">
        <f t="shared" si="3"/>
        <v>67669</v>
      </c>
      <c r="AK15" s="191">
        <f t="shared" si="3"/>
        <v>2146</v>
      </c>
      <c r="AL15" s="191">
        <f t="shared" si="3"/>
        <v>69815</v>
      </c>
      <c r="AM15" s="191">
        <f t="shared" si="3"/>
        <v>123960</v>
      </c>
      <c r="AN15" s="191">
        <f t="shared" si="3"/>
        <v>32776</v>
      </c>
      <c r="AO15" s="191">
        <f t="shared" si="3"/>
        <v>156736</v>
      </c>
      <c r="AP15" s="191">
        <f t="shared" si="3"/>
        <v>1035747</v>
      </c>
      <c r="AQ15" s="191">
        <f t="shared" si="3"/>
        <v>156152.69677419355</v>
      </c>
      <c r="AR15" s="191">
        <f t="shared" si="3"/>
        <v>1191899.6967741936</v>
      </c>
    </row>
    <row r="16" spans="1:44" x14ac:dyDescent="0.25">
      <c r="A16" s="192" t="s">
        <v>479</v>
      </c>
      <c r="B16" s="192"/>
      <c r="C16" s="184">
        <f t="shared" ref="C16:Y16" si="4">C9-C15</f>
        <v>1098383</v>
      </c>
      <c r="D16" s="184">
        <f t="shared" si="4"/>
        <v>181272</v>
      </c>
      <c r="E16" s="184">
        <f t="shared" si="4"/>
        <v>1279655</v>
      </c>
      <c r="F16" s="184">
        <f t="shared" si="4"/>
        <v>875353</v>
      </c>
      <c r="G16" s="184">
        <f t="shared" si="4"/>
        <v>201081.00322580646</v>
      </c>
      <c r="H16" s="184">
        <f t="shared" si="4"/>
        <v>1076434.0032258064</v>
      </c>
      <c r="I16" s="184">
        <f t="shared" si="4"/>
        <v>924337</v>
      </c>
      <c r="J16" s="184">
        <f t="shared" si="4"/>
        <v>204548</v>
      </c>
      <c r="K16" s="184">
        <f t="shared" si="4"/>
        <v>1128885</v>
      </c>
      <c r="L16" s="184">
        <f t="shared" si="4"/>
        <v>132377</v>
      </c>
      <c r="M16" s="184">
        <f t="shared" si="4"/>
        <v>17482</v>
      </c>
      <c r="N16" s="184">
        <f t="shared" si="4"/>
        <v>149859</v>
      </c>
      <c r="O16" s="184">
        <f t="shared" si="4"/>
        <v>950749</v>
      </c>
      <c r="P16" s="184">
        <f t="shared" si="4"/>
        <v>204218</v>
      </c>
      <c r="Q16" s="184">
        <f t="shared" si="4"/>
        <v>1154967</v>
      </c>
      <c r="R16" s="184">
        <f t="shared" si="4"/>
        <v>951871</v>
      </c>
      <c r="S16" s="184">
        <f t="shared" si="4"/>
        <v>205211</v>
      </c>
      <c r="T16" s="184">
        <f t="shared" si="4"/>
        <v>1157082</v>
      </c>
      <c r="U16" s="184">
        <f t="shared" si="4"/>
        <v>1018788</v>
      </c>
      <c r="V16" s="184">
        <f t="shared" si="4"/>
        <v>179211</v>
      </c>
      <c r="W16" s="184">
        <f t="shared" si="4"/>
        <v>1197999</v>
      </c>
      <c r="X16" s="184">
        <f t="shared" si="4"/>
        <v>1001866</v>
      </c>
      <c r="Y16" s="184">
        <f t="shared" si="4"/>
        <v>187131</v>
      </c>
      <c r="Z16" s="184">
        <f>SUM(X16:Y16)</f>
        <v>1188997</v>
      </c>
      <c r="AA16" s="184">
        <f>AA9-AA15</f>
        <v>1061266</v>
      </c>
      <c r="AB16" s="184">
        <f>AB9-AB15</f>
        <v>167808</v>
      </c>
      <c r="AC16" s="184">
        <f>SUM(AA16:AB16)</f>
        <v>1229074</v>
      </c>
      <c r="AD16" s="184">
        <f t="shared" ref="AD16:AR16" si="5">AD9-AD15</f>
        <v>1152187</v>
      </c>
      <c r="AE16" s="184">
        <f t="shared" si="5"/>
        <v>166748</v>
      </c>
      <c r="AF16" s="184">
        <f t="shared" si="5"/>
        <v>1318935</v>
      </c>
      <c r="AG16" s="184">
        <f t="shared" si="5"/>
        <v>1047144</v>
      </c>
      <c r="AH16" s="184">
        <f t="shared" si="5"/>
        <v>191922</v>
      </c>
      <c r="AI16" s="184">
        <f t="shared" si="5"/>
        <v>1239066</v>
      </c>
      <c r="AJ16" s="184">
        <f t="shared" si="5"/>
        <v>1090045</v>
      </c>
      <c r="AK16" s="184">
        <f t="shared" si="5"/>
        <v>190954</v>
      </c>
      <c r="AL16" s="184">
        <f t="shared" si="5"/>
        <v>1280999</v>
      </c>
      <c r="AM16" s="184">
        <f t="shared" si="5"/>
        <v>1009504</v>
      </c>
      <c r="AN16" s="184">
        <f t="shared" si="5"/>
        <v>161292</v>
      </c>
      <c r="AO16" s="184">
        <f t="shared" si="5"/>
        <v>1170796</v>
      </c>
      <c r="AP16" s="184">
        <f t="shared" si="5"/>
        <v>12313870</v>
      </c>
      <c r="AQ16" s="184">
        <f t="shared" si="5"/>
        <v>2258878.0032258066</v>
      </c>
      <c r="AR16" s="184">
        <f t="shared" si="5"/>
        <v>14572748.003225805</v>
      </c>
    </row>
    <row r="17" spans="1:45" x14ac:dyDescent="0.25">
      <c r="A17" s="192"/>
      <c r="B17" s="192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</row>
    <row r="18" spans="1:45" x14ac:dyDescent="0.25">
      <c r="A18" s="183" t="s">
        <v>478</v>
      </c>
      <c r="C18" s="184">
        <v>675948</v>
      </c>
      <c r="D18" s="184">
        <v>118090</v>
      </c>
      <c r="E18" s="184">
        <f>D18+C18</f>
        <v>794038</v>
      </c>
      <c r="F18" s="184">
        <v>778472</v>
      </c>
      <c r="G18" s="184">
        <v>185598</v>
      </c>
      <c r="H18" s="184">
        <f>G18+F18</f>
        <v>964070</v>
      </c>
      <c r="I18" s="184">
        <v>817747</v>
      </c>
      <c r="J18" s="184">
        <v>204548</v>
      </c>
      <c r="K18" s="184">
        <f>J18+I18</f>
        <v>1022295</v>
      </c>
      <c r="L18" s="184">
        <v>132377</v>
      </c>
      <c r="M18" s="184">
        <v>17482</v>
      </c>
      <c r="N18" s="184">
        <f>M18+L18</f>
        <v>149859</v>
      </c>
      <c r="O18" s="184">
        <v>873056</v>
      </c>
      <c r="P18" s="184">
        <v>204218</v>
      </c>
      <c r="Q18" s="184">
        <f>P18+O18</f>
        <v>1077274</v>
      </c>
      <c r="R18" s="184">
        <v>846868</v>
      </c>
      <c r="S18" s="184">
        <v>205211</v>
      </c>
      <c r="T18" s="184">
        <f>S18+R18</f>
        <v>1052079</v>
      </c>
      <c r="U18" s="184">
        <v>879250</v>
      </c>
      <c r="V18" s="184">
        <v>179211</v>
      </c>
      <c r="W18" s="184">
        <f>V18+U18</f>
        <v>1058461</v>
      </c>
      <c r="X18" s="184">
        <v>903505</v>
      </c>
      <c r="Y18" s="184">
        <v>165123</v>
      </c>
      <c r="Z18" s="184">
        <f>Y18+X18</f>
        <v>1068628</v>
      </c>
      <c r="AA18" s="184">
        <v>927321</v>
      </c>
      <c r="AB18" s="184">
        <v>139129</v>
      </c>
      <c r="AC18" s="184">
        <f>AB18+AA18</f>
        <v>1066450</v>
      </c>
      <c r="AD18" s="184">
        <v>998834</v>
      </c>
      <c r="AE18" s="184">
        <v>142071</v>
      </c>
      <c r="AF18" s="184">
        <f>AE18+AD18</f>
        <v>1140905</v>
      </c>
      <c r="AG18" s="184">
        <v>894835</v>
      </c>
      <c r="AH18" s="184">
        <v>191922</v>
      </c>
      <c r="AI18" s="184">
        <f>AH18+AG18</f>
        <v>1086757</v>
      </c>
      <c r="AJ18" s="184">
        <v>1002513</v>
      </c>
      <c r="AK18" s="184">
        <v>190954</v>
      </c>
      <c r="AL18" s="184">
        <f>AK18+AJ18</f>
        <v>1193467</v>
      </c>
      <c r="AM18" s="184">
        <v>937504</v>
      </c>
      <c r="AN18" s="184">
        <v>161292</v>
      </c>
      <c r="AO18" s="184">
        <f>AN18+AM18</f>
        <v>1098796</v>
      </c>
      <c r="AP18" s="184">
        <f>AM18+AJ18+AG18+AD18+AA18+X18+U18+R18+O18+L18+I18+F18+C18</f>
        <v>10668230</v>
      </c>
      <c r="AQ18" s="184">
        <f>AN18+AK18+AH18+AE18+AB18+Y18+V18+S18+P18+M18+J18+G18+D18</f>
        <v>2104849</v>
      </c>
      <c r="AR18" s="184">
        <f>AQ18+AP18</f>
        <v>12773079</v>
      </c>
    </row>
    <row r="19" spans="1:45" x14ac:dyDescent="0.25">
      <c r="A19" s="183" t="s">
        <v>477</v>
      </c>
      <c r="C19" s="184">
        <v>50510</v>
      </c>
      <c r="D19" s="184"/>
      <c r="E19" s="184">
        <f>D19+C19</f>
        <v>50510</v>
      </c>
      <c r="F19" s="184">
        <v>96881</v>
      </c>
      <c r="G19" s="184">
        <v>15483</v>
      </c>
      <c r="H19" s="184">
        <f>G19+F19</f>
        <v>112364</v>
      </c>
      <c r="I19" s="184">
        <v>106590</v>
      </c>
      <c r="J19" s="184"/>
      <c r="K19" s="184">
        <f>J19+I19</f>
        <v>106590</v>
      </c>
      <c r="L19" s="184"/>
      <c r="M19" s="184"/>
      <c r="N19" s="184">
        <f>M19+L19</f>
        <v>0</v>
      </c>
      <c r="O19" s="184">
        <v>77693</v>
      </c>
      <c r="P19" s="184"/>
      <c r="Q19" s="184">
        <f>P19+O19</f>
        <v>77693</v>
      </c>
      <c r="R19" s="184">
        <v>105003</v>
      </c>
      <c r="S19" s="184"/>
      <c r="T19" s="184">
        <f>S19+R19</f>
        <v>105003</v>
      </c>
      <c r="U19" s="184">
        <v>139538</v>
      </c>
      <c r="V19" s="184"/>
      <c r="W19" s="184">
        <f>V19+U19</f>
        <v>139538</v>
      </c>
      <c r="X19" s="184">
        <v>98361.483290322562</v>
      </c>
      <c r="Y19" s="184">
        <v>22008</v>
      </c>
      <c r="Z19" s="184">
        <f>Y19+X19</f>
        <v>120369.48329032256</v>
      </c>
      <c r="AA19" s="184">
        <v>133945</v>
      </c>
      <c r="AB19" s="184">
        <v>28679</v>
      </c>
      <c r="AC19" s="184">
        <f>AB19+AA19</f>
        <v>162624</v>
      </c>
      <c r="AD19" s="184">
        <v>153353</v>
      </c>
      <c r="AE19" s="184">
        <v>24677</v>
      </c>
      <c r="AF19" s="184">
        <f>AE19+AD19</f>
        <v>178030</v>
      </c>
      <c r="AG19" s="184">
        <v>152309</v>
      </c>
      <c r="AH19" s="184"/>
      <c r="AI19" s="184">
        <f>AH19+AG19</f>
        <v>152309</v>
      </c>
      <c r="AJ19" s="184">
        <v>87532</v>
      </c>
      <c r="AK19" s="184"/>
      <c r="AL19" s="184">
        <f>AK19+AJ19</f>
        <v>87532</v>
      </c>
      <c r="AM19" s="184">
        <v>72000</v>
      </c>
      <c r="AN19" s="184"/>
      <c r="AO19" s="184">
        <f>AN19+AM19</f>
        <v>72000</v>
      </c>
      <c r="AP19" s="184">
        <f>AM19+AJ19+AG19+AD19+AA19+X19+U19+R19+O19+L19+I19+F19+C19</f>
        <v>1273715.4832903226</v>
      </c>
      <c r="AQ19" s="184">
        <f>AN19+AK19+AH19+AE19+AB19+Y19+V19+S19+P19+M19+J19+G19+D19</f>
        <v>90847</v>
      </c>
      <c r="AR19" s="184">
        <f>AQ19+AP19</f>
        <v>1364562.4832903226</v>
      </c>
    </row>
    <row r="20" spans="1:45" x14ac:dyDescent="0.25">
      <c r="C20" s="191">
        <f t="shared" ref="C20:AR20" si="6">SUM(C18:C19)</f>
        <v>726458</v>
      </c>
      <c r="D20" s="191">
        <f t="shared" si="6"/>
        <v>118090</v>
      </c>
      <c r="E20" s="191">
        <f t="shared" si="6"/>
        <v>844548</v>
      </c>
      <c r="F20" s="191">
        <f t="shared" si="6"/>
        <v>875353</v>
      </c>
      <c r="G20" s="191">
        <f t="shared" si="6"/>
        <v>201081</v>
      </c>
      <c r="H20" s="191">
        <f t="shared" si="6"/>
        <v>1076434</v>
      </c>
      <c r="I20" s="191">
        <f t="shared" si="6"/>
        <v>924337</v>
      </c>
      <c r="J20" s="191">
        <f t="shared" si="6"/>
        <v>204548</v>
      </c>
      <c r="K20" s="191">
        <f t="shared" si="6"/>
        <v>1128885</v>
      </c>
      <c r="L20" s="191">
        <f t="shared" si="6"/>
        <v>132377</v>
      </c>
      <c r="M20" s="191">
        <f t="shared" si="6"/>
        <v>17482</v>
      </c>
      <c r="N20" s="191">
        <f t="shared" si="6"/>
        <v>149859</v>
      </c>
      <c r="O20" s="191">
        <f t="shared" si="6"/>
        <v>950749</v>
      </c>
      <c r="P20" s="191">
        <f t="shared" si="6"/>
        <v>204218</v>
      </c>
      <c r="Q20" s="191">
        <f t="shared" si="6"/>
        <v>1154967</v>
      </c>
      <c r="R20" s="191">
        <f t="shared" si="6"/>
        <v>951871</v>
      </c>
      <c r="S20" s="191">
        <f t="shared" si="6"/>
        <v>205211</v>
      </c>
      <c r="T20" s="191">
        <f t="shared" si="6"/>
        <v>1157082</v>
      </c>
      <c r="U20" s="191">
        <f t="shared" si="6"/>
        <v>1018788</v>
      </c>
      <c r="V20" s="191">
        <f t="shared" si="6"/>
        <v>179211</v>
      </c>
      <c r="W20" s="191">
        <f t="shared" si="6"/>
        <v>1197999</v>
      </c>
      <c r="X20" s="191">
        <f t="shared" si="6"/>
        <v>1001866.4832903226</v>
      </c>
      <c r="Y20" s="191">
        <f t="shared" si="6"/>
        <v>187131</v>
      </c>
      <c r="Z20" s="191">
        <f t="shared" si="6"/>
        <v>1188997.4832903226</v>
      </c>
      <c r="AA20" s="191">
        <f t="shared" si="6"/>
        <v>1061266</v>
      </c>
      <c r="AB20" s="191">
        <f t="shared" si="6"/>
        <v>167808</v>
      </c>
      <c r="AC20" s="191">
        <f t="shared" si="6"/>
        <v>1229074</v>
      </c>
      <c r="AD20" s="191">
        <f t="shared" si="6"/>
        <v>1152187</v>
      </c>
      <c r="AE20" s="191">
        <f t="shared" si="6"/>
        <v>166748</v>
      </c>
      <c r="AF20" s="191">
        <f t="shared" si="6"/>
        <v>1318935</v>
      </c>
      <c r="AG20" s="191">
        <f t="shared" si="6"/>
        <v>1047144</v>
      </c>
      <c r="AH20" s="191">
        <f t="shared" si="6"/>
        <v>191922</v>
      </c>
      <c r="AI20" s="191">
        <f t="shared" si="6"/>
        <v>1239066</v>
      </c>
      <c r="AJ20" s="191">
        <f t="shared" si="6"/>
        <v>1090045</v>
      </c>
      <c r="AK20" s="191">
        <f t="shared" si="6"/>
        <v>190954</v>
      </c>
      <c r="AL20" s="191">
        <f t="shared" si="6"/>
        <v>1280999</v>
      </c>
      <c r="AM20" s="191">
        <f t="shared" si="6"/>
        <v>1009504</v>
      </c>
      <c r="AN20" s="191">
        <f t="shared" si="6"/>
        <v>161292</v>
      </c>
      <c r="AO20" s="191">
        <f t="shared" si="6"/>
        <v>1170796</v>
      </c>
      <c r="AP20" s="191">
        <f t="shared" si="6"/>
        <v>11941945.483290322</v>
      </c>
      <c r="AQ20" s="191">
        <f t="shared" si="6"/>
        <v>2195696</v>
      </c>
      <c r="AR20" s="191">
        <f t="shared" si="6"/>
        <v>14137641.483290322</v>
      </c>
    </row>
    <row r="21" spans="1:45" x14ac:dyDescent="0.25"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</row>
    <row r="22" spans="1:45" ht="15.75" thickBot="1" x14ac:dyDescent="0.3">
      <c r="A22" s="183" t="s">
        <v>476</v>
      </c>
      <c r="C22" s="190">
        <f t="shared" ref="C22:AR22" si="7">C9-C15</f>
        <v>1098383</v>
      </c>
      <c r="D22" s="190">
        <f t="shared" si="7"/>
        <v>181272</v>
      </c>
      <c r="E22" s="190">
        <f t="shared" si="7"/>
        <v>1279655</v>
      </c>
      <c r="F22" s="190">
        <f t="shared" si="7"/>
        <v>875353</v>
      </c>
      <c r="G22" s="190">
        <f t="shared" si="7"/>
        <v>201081.00322580646</v>
      </c>
      <c r="H22" s="190">
        <f t="shared" si="7"/>
        <v>1076434.0032258064</v>
      </c>
      <c r="I22" s="190">
        <f t="shared" si="7"/>
        <v>924337</v>
      </c>
      <c r="J22" s="190">
        <f t="shared" si="7"/>
        <v>204548</v>
      </c>
      <c r="K22" s="190">
        <f t="shared" si="7"/>
        <v>1128885</v>
      </c>
      <c r="L22" s="190">
        <f t="shared" si="7"/>
        <v>132377</v>
      </c>
      <c r="M22" s="190">
        <f t="shared" si="7"/>
        <v>17482</v>
      </c>
      <c r="N22" s="190">
        <f t="shared" si="7"/>
        <v>149859</v>
      </c>
      <c r="O22" s="190">
        <f t="shared" si="7"/>
        <v>950749</v>
      </c>
      <c r="P22" s="190">
        <f t="shared" si="7"/>
        <v>204218</v>
      </c>
      <c r="Q22" s="190">
        <f t="shared" si="7"/>
        <v>1154967</v>
      </c>
      <c r="R22" s="190">
        <f t="shared" si="7"/>
        <v>951871</v>
      </c>
      <c r="S22" s="190">
        <f t="shared" si="7"/>
        <v>205211</v>
      </c>
      <c r="T22" s="190">
        <f t="shared" si="7"/>
        <v>1157082</v>
      </c>
      <c r="U22" s="190">
        <f t="shared" si="7"/>
        <v>1018788</v>
      </c>
      <c r="V22" s="190">
        <f t="shared" si="7"/>
        <v>179211</v>
      </c>
      <c r="W22" s="190">
        <f t="shared" si="7"/>
        <v>1197999</v>
      </c>
      <c r="X22" s="190">
        <f t="shared" si="7"/>
        <v>1001866</v>
      </c>
      <c r="Y22" s="190">
        <f t="shared" si="7"/>
        <v>187131</v>
      </c>
      <c r="Z22" s="190">
        <f t="shared" si="7"/>
        <v>1188997</v>
      </c>
      <c r="AA22" s="190">
        <f t="shared" si="7"/>
        <v>1061266</v>
      </c>
      <c r="AB22" s="190">
        <f t="shared" si="7"/>
        <v>167808</v>
      </c>
      <c r="AC22" s="190">
        <f t="shared" si="7"/>
        <v>1229074</v>
      </c>
      <c r="AD22" s="190">
        <f t="shared" si="7"/>
        <v>1152187</v>
      </c>
      <c r="AE22" s="190">
        <f t="shared" si="7"/>
        <v>166748</v>
      </c>
      <c r="AF22" s="190">
        <f t="shared" si="7"/>
        <v>1318935</v>
      </c>
      <c r="AG22" s="190">
        <f t="shared" si="7"/>
        <v>1047144</v>
      </c>
      <c r="AH22" s="190">
        <f t="shared" si="7"/>
        <v>191922</v>
      </c>
      <c r="AI22" s="190">
        <f t="shared" si="7"/>
        <v>1239066</v>
      </c>
      <c r="AJ22" s="190">
        <f t="shared" si="7"/>
        <v>1090045</v>
      </c>
      <c r="AK22" s="190">
        <f t="shared" si="7"/>
        <v>190954</v>
      </c>
      <c r="AL22" s="190">
        <f t="shared" si="7"/>
        <v>1280999</v>
      </c>
      <c r="AM22" s="190">
        <f t="shared" si="7"/>
        <v>1009504</v>
      </c>
      <c r="AN22" s="190">
        <f t="shared" si="7"/>
        <v>161292</v>
      </c>
      <c r="AO22" s="190">
        <f t="shared" si="7"/>
        <v>1170796</v>
      </c>
      <c r="AP22" s="190">
        <f t="shared" si="7"/>
        <v>12313870</v>
      </c>
      <c r="AQ22" s="190">
        <f t="shared" si="7"/>
        <v>2258878.0032258066</v>
      </c>
      <c r="AR22" s="190">
        <f t="shared" si="7"/>
        <v>14572748.003225805</v>
      </c>
    </row>
    <row r="23" spans="1:45" x14ac:dyDescent="0.25">
      <c r="C23" s="202" t="s">
        <v>475</v>
      </c>
      <c r="D23" s="202"/>
      <c r="E23" s="202"/>
      <c r="F23" s="202" t="s">
        <v>475</v>
      </c>
      <c r="G23" s="202"/>
      <c r="H23" s="202"/>
      <c r="I23" s="202" t="s">
        <v>475</v>
      </c>
      <c r="J23" s="202"/>
      <c r="K23" s="202"/>
      <c r="L23" s="202" t="s">
        <v>475</v>
      </c>
      <c r="M23" s="202"/>
      <c r="N23" s="202"/>
      <c r="O23" s="202" t="s">
        <v>475</v>
      </c>
      <c r="P23" s="202"/>
      <c r="Q23" s="202"/>
      <c r="R23" s="202" t="s">
        <v>475</v>
      </c>
      <c r="S23" s="202"/>
      <c r="T23" s="202"/>
      <c r="U23" s="202" t="s">
        <v>475</v>
      </c>
      <c r="V23" s="202"/>
      <c r="W23" s="202"/>
      <c r="X23" s="202" t="s">
        <v>475</v>
      </c>
      <c r="Y23" s="202"/>
      <c r="Z23" s="202"/>
      <c r="AA23" s="202" t="s">
        <v>475</v>
      </c>
      <c r="AB23" s="202"/>
      <c r="AC23" s="202"/>
      <c r="AD23" s="202" t="s">
        <v>475</v>
      </c>
      <c r="AE23" s="202"/>
      <c r="AF23" s="202"/>
      <c r="AG23" s="202" t="s">
        <v>475</v>
      </c>
      <c r="AH23" s="202"/>
      <c r="AI23" s="202"/>
      <c r="AJ23" s="202" t="s">
        <v>475</v>
      </c>
      <c r="AK23" s="202"/>
      <c r="AL23" s="202"/>
      <c r="AM23" s="202" t="s">
        <v>474</v>
      </c>
      <c r="AN23" s="202"/>
      <c r="AO23" s="202"/>
      <c r="AP23" s="202" t="s">
        <v>474</v>
      </c>
      <c r="AQ23" s="202"/>
      <c r="AR23" s="202"/>
    </row>
    <row r="24" spans="1:45" x14ac:dyDescent="0.25">
      <c r="A24" s="183" t="s">
        <v>473</v>
      </c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</row>
    <row r="25" spans="1:45" x14ac:dyDescent="0.25">
      <c r="A25" s="183" t="s">
        <v>472</v>
      </c>
      <c r="B25" s="183" t="s">
        <v>317</v>
      </c>
      <c r="C25" s="184">
        <f t="shared" ref="C25:Y25" si="8">C9-C12</f>
        <v>1135902</v>
      </c>
      <c r="D25" s="184">
        <f t="shared" si="8"/>
        <v>183438</v>
      </c>
      <c r="E25" s="184">
        <f t="shared" si="8"/>
        <v>1319340</v>
      </c>
      <c r="F25" s="184">
        <f t="shared" si="8"/>
        <v>913262</v>
      </c>
      <c r="G25" s="184">
        <f t="shared" si="8"/>
        <v>206012.00322580646</v>
      </c>
      <c r="H25" s="184">
        <f t="shared" si="8"/>
        <v>1119274.0032258064</v>
      </c>
      <c r="I25" s="184">
        <f t="shared" si="8"/>
        <v>961288</v>
      </c>
      <c r="J25" s="184">
        <f t="shared" si="8"/>
        <v>209601</v>
      </c>
      <c r="K25" s="184">
        <f t="shared" si="8"/>
        <v>1170889</v>
      </c>
      <c r="L25" s="184">
        <f t="shared" si="8"/>
        <v>132377</v>
      </c>
      <c r="M25" s="184">
        <f t="shared" si="8"/>
        <v>17482</v>
      </c>
      <c r="N25" s="184">
        <f t="shared" si="8"/>
        <v>149859</v>
      </c>
      <c r="O25" s="184">
        <f t="shared" si="8"/>
        <v>989344</v>
      </c>
      <c r="P25" s="184">
        <f t="shared" si="8"/>
        <v>208229</v>
      </c>
      <c r="Q25" s="184">
        <f t="shared" si="8"/>
        <v>1197573</v>
      </c>
      <c r="R25" s="184">
        <f t="shared" si="8"/>
        <v>989786</v>
      </c>
      <c r="S25" s="184">
        <f t="shared" si="8"/>
        <v>209222</v>
      </c>
      <c r="T25" s="184">
        <f t="shared" si="8"/>
        <v>1199008</v>
      </c>
      <c r="U25" s="184">
        <f t="shared" si="8"/>
        <v>1071326</v>
      </c>
      <c r="V25" s="184">
        <f t="shared" si="8"/>
        <v>181837</v>
      </c>
      <c r="W25" s="184">
        <f t="shared" si="8"/>
        <v>1253163</v>
      </c>
      <c r="X25" s="184">
        <f t="shared" si="8"/>
        <v>1051528</v>
      </c>
      <c r="Y25" s="184">
        <f t="shared" si="8"/>
        <v>189527</v>
      </c>
      <c r="Z25" s="184">
        <f>Y25+X25</f>
        <v>1241055</v>
      </c>
      <c r="AA25" s="184">
        <f t="shared" ref="AA25:AR25" si="9">AA9-AA12</f>
        <v>1107934</v>
      </c>
      <c r="AB25" s="184">
        <f t="shared" si="9"/>
        <v>169954</v>
      </c>
      <c r="AC25" s="184">
        <f t="shared" si="9"/>
        <v>1277888</v>
      </c>
      <c r="AD25" s="184">
        <f t="shared" si="9"/>
        <v>1198904</v>
      </c>
      <c r="AE25" s="184">
        <f t="shared" si="9"/>
        <v>168644</v>
      </c>
      <c r="AF25" s="184">
        <f t="shared" si="9"/>
        <v>1367548</v>
      </c>
      <c r="AG25" s="184">
        <f t="shared" si="9"/>
        <v>1094672</v>
      </c>
      <c r="AH25" s="184">
        <f t="shared" si="9"/>
        <v>194068</v>
      </c>
      <c r="AI25" s="184">
        <f t="shared" si="9"/>
        <v>1288740</v>
      </c>
      <c r="AJ25" s="184">
        <f t="shared" si="9"/>
        <v>1137022</v>
      </c>
      <c r="AK25" s="184">
        <f t="shared" si="9"/>
        <v>193100</v>
      </c>
      <c r="AL25" s="184">
        <f t="shared" si="9"/>
        <v>1330122</v>
      </c>
      <c r="AM25" s="184">
        <f t="shared" si="9"/>
        <v>1050534</v>
      </c>
      <c r="AN25" s="184">
        <f t="shared" si="9"/>
        <v>163542</v>
      </c>
      <c r="AO25" s="184">
        <f t="shared" si="9"/>
        <v>1214076</v>
      </c>
      <c r="AP25" s="184">
        <f t="shared" si="9"/>
        <v>12833879</v>
      </c>
      <c r="AQ25" s="184">
        <f t="shared" si="9"/>
        <v>2294656.0032258066</v>
      </c>
      <c r="AR25" s="184">
        <f t="shared" si="9"/>
        <v>15128535.003225805</v>
      </c>
      <c r="AS25" s="189"/>
    </row>
    <row r="26" spans="1:45" x14ac:dyDescent="0.25"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</row>
    <row r="27" spans="1:45" x14ac:dyDescent="0.25">
      <c r="A27" s="183" t="s">
        <v>471</v>
      </c>
      <c r="B27" s="183" t="s">
        <v>318</v>
      </c>
      <c r="C27" s="184">
        <f t="shared" ref="C27:Y27" si="10">C11</f>
        <v>32969</v>
      </c>
      <c r="D27" s="184">
        <f t="shared" si="10"/>
        <v>1516</v>
      </c>
      <c r="E27" s="184">
        <f t="shared" si="10"/>
        <v>34485</v>
      </c>
      <c r="F27" s="184">
        <f t="shared" si="10"/>
        <v>32969</v>
      </c>
      <c r="G27" s="184">
        <f t="shared" si="10"/>
        <v>3031</v>
      </c>
      <c r="H27" s="184">
        <f t="shared" si="10"/>
        <v>36000</v>
      </c>
      <c r="I27" s="184">
        <f t="shared" si="10"/>
        <v>31491</v>
      </c>
      <c r="J27" s="184">
        <f t="shared" si="10"/>
        <v>2215</v>
      </c>
      <c r="K27" s="184">
        <f t="shared" si="10"/>
        <v>33706</v>
      </c>
      <c r="L27" s="184">
        <f t="shared" si="10"/>
        <v>0</v>
      </c>
      <c r="M27" s="184">
        <f t="shared" si="10"/>
        <v>0</v>
      </c>
      <c r="N27" s="184">
        <f t="shared" si="10"/>
        <v>0</v>
      </c>
      <c r="O27" s="184">
        <f t="shared" si="10"/>
        <v>33785</v>
      </c>
      <c r="P27" s="184">
        <f t="shared" si="10"/>
        <v>2215</v>
      </c>
      <c r="Q27" s="184">
        <f t="shared" si="10"/>
        <v>36000</v>
      </c>
      <c r="R27" s="184">
        <f t="shared" si="10"/>
        <v>33105</v>
      </c>
      <c r="S27" s="184">
        <f t="shared" si="10"/>
        <v>2215</v>
      </c>
      <c r="T27" s="184">
        <f t="shared" si="10"/>
        <v>35320</v>
      </c>
      <c r="U27" s="184">
        <f t="shared" si="10"/>
        <v>36748</v>
      </c>
      <c r="V27" s="184">
        <f t="shared" si="10"/>
        <v>0</v>
      </c>
      <c r="W27" s="184">
        <f t="shared" si="10"/>
        <v>36748</v>
      </c>
      <c r="X27" s="184">
        <f t="shared" si="10"/>
        <v>38412</v>
      </c>
      <c r="Y27" s="184">
        <f t="shared" si="10"/>
        <v>0</v>
      </c>
      <c r="Z27" s="184">
        <f>SUM(X27:Y27)</f>
        <v>38412</v>
      </c>
      <c r="AA27" s="184">
        <f t="shared" ref="AA27:AR27" si="11">AA11</f>
        <v>35668</v>
      </c>
      <c r="AB27" s="184">
        <f t="shared" si="11"/>
        <v>0</v>
      </c>
      <c r="AC27" s="184">
        <f t="shared" si="11"/>
        <v>35668</v>
      </c>
      <c r="AD27" s="184">
        <f t="shared" si="11"/>
        <v>35717</v>
      </c>
      <c r="AE27" s="184">
        <f t="shared" si="11"/>
        <v>0</v>
      </c>
      <c r="AF27" s="184">
        <f t="shared" si="11"/>
        <v>35717</v>
      </c>
      <c r="AG27" s="184">
        <f t="shared" si="11"/>
        <v>35778</v>
      </c>
      <c r="AH27" s="184">
        <f t="shared" si="11"/>
        <v>0</v>
      </c>
      <c r="AI27" s="184">
        <f t="shared" si="11"/>
        <v>35778</v>
      </c>
      <c r="AJ27" s="184">
        <f t="shared" si="11"/>
        <v>35727</v>
      </c>
      <c r="AK27" s="184">
        <f t="shared" si="11"/>
        <v>0</v>
      </c>
      <c r="AL27" s="184">
        <f t="shared" si="11"/>
        <v>35727</v>
      </c>
      <c r="AM27" s="184">
        <f t="shared" si="11"/>
        <v>30278</v>
      </c>
      <c r="AN27" s="184">
        <f t="shared" si="11"/>
        <v>0</v>
      </c>
      <c r="AO27" s="184">
        <f t="shared" si="11"/>
        <v>30278</v>
      </c>
      <c r="AP27" s="184">
        <f t="shared" si="11"/>
        <v>412647</v>
      </c>
      <c r="AQ27" s="184">
        <f t="shared" si="11"/>
        <v>11192</v>
      </c>
      <c r="AR27" s="184">
        <f t="shared" si="11"/>
        <v>423839</v>
      </c>
    </row>
    <row r="28" spans="1:45" x14ac:dyDescent="0.25">
      <c r="A28" s="183" t="s">
        <v>470</v>
      </c>
      <c r="B28" s="183" t="s">
        <v>318</v>
      </c>
      <c r="C28" s="184">
        <f t="shared" ref="C28:AR28" si="12">C13</f>
        <v>4550</v>
      </c>
      <c r="D28" s="184">
        <f t="shared" si="12"/>
        <v>650</v>
      </c>
      <c r="E28" s="184">
        <f t="shared" si="12"/>
        <v>5200</v>
      </c>
      <c r="F28" s="184">
        <f t="shared" si="12"/>
        <v>4940</v>
      </c>
      <c r="G28" s="184">
        <f t="shared" si="12"/>
        <v>650</v>
      </c>
      <c r="H28" s="184">
        <f t="shared" si="12"/>
        <v>5590</v>
      </c>
      <c r="I28" s="184">
        <f t="shared" si="12"/>
        <v>5460</v>
      </c>
      <c r="J28" s="184">
        <f t="shared" si="12"/>
        <v>650</v>
      </c>
      <c r="K28" s="184">
        <f t="shared" si="12"/>
        <v>6110</v>
      </c>
      <c r="L28" s="184">
        <f t="shared" si="12"/>
        <v>0</v>
      </c>
      <c r="M28" s="184">
        <f t="shared" si="12"/>
        <v>0</v>
      </c>
      <c r="N28" s="184">
        <f t="shared" si="12"/>
        <v>0</v>
      </c>
      <c r="O28" s="184">
        <f t="shared" si="12"/>
        <v>4810</v>
      </c>
      <c r="P28" s="184">
        <f t="shared" si="12"/>
        <v>650</v>
      </c>
      <c r="Q28" s="184">
        <f t="shared" si="12"/>
        <v>5460</v>
      </c>
      <c r="R28" s="184">
        <f t="shared" si="12"/>
        <v>4810</v>
      </c>
      <c r="S28" s="184">
        <f t="shared" si="12"/>
        <v>650</v>
      </c>
      <c r="T28" s="184">
        <f t="shared" si="12"/>
        <v>5460</v>
      </c>
      <c r="U28" s="184">
        <f t="shared" si="12"/>
        <v>15790</v>
      </c>
      <c r="V28" s="184">
        <f t="shared" si="12"/>
        <v>1480</v>
      </c>
      <c r="W28" s="184">
        <f t="shared" si="12"/>
        <v>17270</v>
      </c>
      <c r="X28" s="184">
        <f t="shared" si="12"/>
        <v>11250</v>
      </c>
      <c r="Y28" s="184">
        <f t="shared" si="12"/>
        <v>1250</v>
      </c>
      <c r="Z28" s="184">
        <f t="shared" si="12"/>
        <v>12500</v>
      </c>
      <c r="AA28" s="184">
        <f t="shared" si="12"/>
        <v>11000</v>
      </c>
      <c r="AB28" s="184">
        <f t="shared" si="12"/>
        <v>1000</v>
      </c>
      <c r="AC28" s="184">
        <f t="shared" si="12"/>
        <v>12000</v>
      </c>
      <c r="AD28" s="184">
        <f t="shared" si="12"/>
        <v>11000</v>
      </c>
      <c r="AE28" s="184">
        <f t="shared" si="12"/>
        <v>750</v>
      </c>
      <c r="AF28" s="184">
        <f t="shared" si="12"/>
        <v>11750</v>
      </c>
      <c r="AG28" s="184">
        <f t="shared" si="12"/>
        <v>11750</v>
      </c>
      <c r="AH28" s="184">
        <f t="shared" si="12"/>
        <v>1000</v>
      </c>
      <c r="AI28" s="184">
        <f t="shared" si="12"/>
        <v>12750</v>
      </c>
      <c r="AJ28" s="184">
        <f t="shared" si="12"/>
        <v>11000</v>
      </c>
      <c r="AK28" s="184">
        <f t="shared" si="12"/>
        <v>1000</v>
      </c>
      <c r="AL28" s="184">
        <f t="shared" si="12"/>
        <v>12000</v>
      </c>
      <c r="AM28" s="184">
        <f t="shared" si="12"/>
        <v>10500</v>
      </c>
      <c r="AN28" s="184">
        <f t="shared" si="12"/>
        <v>1000</v>
      </c>
      <c r="AO28" s="184">
        <f t="shared" si="12"/>
        <v>11500</v>
      </c>
      <c r="AP28" s="184">
        <f t="shared" si="12"/>
        <v>106860</v>
      </c>
      <c r="AQ28" s="184">
        <f t="shared" si="12"/>
        <v>10730</v>
      </c>
      <c r="AR28" s="184">
        <f t="shared" si="12"/>
        <v>117590</v>
      </c>
    </row>
    <row r="29" spans="1:45" x14ac:dyDescent="0.25">
      <c r="A29" s="183" t="s">
        <v>469</v>
      </c>
      <c r="B29" s="183" t="s">
        <v>318</v>
      </c>
      <c r="C29" s="184">
        <f t="shared" ref="C29:AR29" si="13">C14</f>
        <v>0</v>
      </c>
      <c r="D29" s="184">
        <f t="shared" si="13"/>
        <v>0</v>
      </c>
      <c r="E29" s="184">
        <f t="shared" si="13"/>
        <v>0</v>
      </c>
      <c r="F29" s="184">
        <f t="shared" si="13"/>
        <v>0</v>
      </c>
      <c r="G29" s="184">
        <f t="shared" si="13"/>
        <v>1250</v>
      </c>
      <c r="H29" s="184">
        <f t="shared" si="13"/>
        <v>1250</v>
      </c>
      <c r="I29" s="184">
        <f t="shared" si="13"/>
        <v>0</v>
      </c>
      <c r="J29" s="184">
        <f t="shared" si="13"/>
        <v>2188</v>
      </c>
      <c r="K29" s="184">
        <f t="shared" si="13"/>
        <v>2188</v>
      </c>
      <c r="L29" s="184">
        <f t="shared" si="13"/>
        <v>0</v>
      </c>
      <c r="M29" s="184">
        <f t="shared" si="13"/>
        <v>0</v>
      </c>
      <c r="N29" s="184">
        <f t="shared" si="13"/>
        <v>0</v>
      </c>
      <c r="O29" s="184">
        <f t="shared" si="13"/>
        <v>0</v>
      </c>
      <c r="P29" s="184">
        <f t="shared" si="13"/>
        <v>1146</v>
      </c>
      <c r="Q29" s="184">
        <f t="shared" si="13"/>
        <v>1146</v>
      </c>
      <c r="R29" s="184">
        <f t="shared" si="13"/>
        <v>0</v>
      </c>
      <c r="S29" s="184">
        <f t="shared" si="13"/>
        <v>1146</v>
      </c>
      <c r="T29" s="184">
        <f t="shared" si="13"/>
        <v>1146</v>
      </c>
      <c r="U29" s="184">
        <f t="shared" si="13"/>
        <v>0</v>
      </c>
      <c r="V29" s="184">
        <f t="shared" si="13"/>
        <v>1146</v>
      </c>
      <c r="W29" s="184">
        <f t="shared" si="13"/>
        <v>1146</v>
      </c>
      <c r="X29" s="184">
        <f t="shared" si="13"/>
        <v>0</v>
      </c>
      <c r="Y29" s="184">
        <f t="shared" si="13"/>
        <v>1146</v>
      </c>
      <c r="Z29" s="184">
        <f t="shared" si="13"/>
        <v>1146</v>
      </c>
      <c r="AA29" s="184">
        <f t="shared" si="13"/>
        <v>0</v>
      </c>
      <c r="AB29" s="184">
        <f t="shared" si="13"/>
        <v>1146</v>
      </c>
      <c r="AC29" s="184">
        <f t="shared" si="13"/>
        <v>1146</v>
      </c>
      <c r="AD29" s="184">
        <f t="shared" si="13"/>
        <v>0</v>
      </c>
      <c r="AE29" s="184">
        <f t="shared" si="13"/>
        <v>1146</v>
      </c>
      <c r="AF29" s="184">
        <f t="shared" si="13"/>
        <v>1146</v>
      </c>
      <c r="AG29" s="184">
        <f t="shared" si="13"/>
        <v>0</v>
      </c>
      <c r="AH29" s="184">
        <f t="shared" si="13"/>
        <v>1146</v>
      </c>
      <c r="AI29" s="184">
        <f t="shared" si="13"/>
        <v>1146</v>
      </c>
      <c r="AJ29" s="184">
        <f t="shared" si="13"/>
        <v>250</v>
      </c>
      <c r="AK29" s="184">
        <f t="shared" si="13"/>
        <v>1146</v>
      </c>
      <c r="AL29" s="184">
        <f t="shared" si="13"/>
        <v>1396</v>
      </c>
      <c r="AM29" s="184">
        <f t="shared" si="13"/>
        <v>252</v>
      </c>
      <c r="AN29" s="184">
        <f t="shared" si="13"/>
        <v>1250</v>
      </c>
      <c r="AO29" s="184">
        <f t="shared" si="13"/>
        <v>1502</v>
      </c>
      <c r="AP29" s="184">
        <f t="shared" si="13"/>
        <v>502</v>
      </c>
      <c r="AQ29" s="184">
        <f t="shared" si="13"/>
        <v>13856</v>
      </c>
      <c r="AR29" s="184">
        <f t="shared" si="13"/>
        <v>14358</v>
      </c>
    </row>
    <row r="30" spans="1:45" x14ac:dyDescent="0.25"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</row>
    <row r="31" spans="1:45" x14ac:dyDescent="0.25">
      <c r="A31" s="183" t="s">
        <v>468</v>
      </c>
      <c r="B31" s="183" t="s">
        <v>318</v>
      </c>
      <c r="C31" s="184">
        <f t="shared" ref="C31:AR31" si="14">C25-SUM(C27:C29)</f>
        <v>1098383</v>
      </c>
      <c r="D31" s="184">
        <f t="shared" si="14"/>
        <v>181272</v>
      </c>
      <c r="E31" s="184">
        <f t="shared" si="14"/>
        <v>1279655</v>
      </c>
      <c r="F31" s="184">
        <f t="shared" si="14"/>
        <v>875353</v>
      </c>
      <c r="G31" s="184">
        <f t="shared" si="14"/>
        <v>201081.00322580646</v>
      </c>
      <c r="H31" s="184">
        <f t="shared" si="14"/>
        <v>1076434.0032258064</v>
      </c>
      <c r="I31" s="184">
        <f t="shared" si="14"/>
        <v>924337</v>
      </c>
      <c r="J31" s="184">
        <f t="shared" si="14"/>
        <v>204548</v>
      </c>
      <c r="K31" s="184">
        <f t="shared" si="14"/>
        <v>1128885</v>
      </c>
      <c r="L31" s="184">
        <f t="shared" si="14"/>
        <v>132377</v>
      </c>
      <c r="M31" s="184">
        <f t="shared" si="14"/>
        <v>17482</v>
      </c>
      <c r="N31" s="184">
        <f t="shared" si="14"/>
        <v>149859</v>
      </c>
      <c r="O31" s="184">
        <f t="shared" si="14"/>
        <v>950749</v>
      </c>
      <c r="P31" s="184">
        <f t="shared" si="14"/>
        <v>204218</v>
      </c>
      <c r="Q31" s="184">
        <f t="shared" si="14"/>
        <v>1154967</v>
      </c>
      <c r="R31" s="184">
        <f t="shared" si="14"/>
        <v>951871</v>
      </c>
      <c r="S31" s="184">
        <f t="shared" si="14"/>
        <v>205211</v>
      </c>
      <c r="T31" s="184">
        <f t="shared" si="14"/>
        <v>1157082</v>
      </c>
      <c r="U31" s="184">
        <f t="shared" si="14"/>
        <v>1018788</v>
      </c>
      <c r="V31" s="184">
        <f t="shared" si="14"/>
        <v>179211</v>
      </c>
      <c r="W31" s="184">
        <f t="shared" si="14"/>
        <v>1197999</v>
      </c>
      <c r="X31" s="184">
        <f t="shared" si="14"/>
        <v>1001866</v>
      </c>
      <c r="Y31" s="184">
        <f t="shared" si="14"/>
        <v>187131</v>
      </c>
      <c r="Z31" s="184">
        <f t="shared" si="14"/>
        <v>1188997</v>
      </c>
      <c r="AA31" s="184">
        <f t="shared" si="14"/>
        <v>1061266</v>
      </c>
      <c r="AB31" s="184">
        <f t="shared" si="14"/>
        <v>167808</v>
      </c>
      <c r="AC31" s="184">
        <f t="shared" si="14"/>
        <v>1229074</v>
      </c>
      <c r="AD31" s="184">
        <f t="shared" si="14"/>
        <v>1152187</v>
      </c>
      <c r="AE31" s="184">
        <f t="shared" si="14"/>
        <v>166748</v>
      </c>
      <c r="AF31" s="184">
        <f t="shared" si="14"/>
        <v>1318935</v>
      </c>
      <c r="AG31" s="184">
        <f t="shared" si="14"/>
        <v>1047144</v>
      </c>
      <c r="AH31" s="184">
        <f t="shared" si="14"/>
        <v>191922</v>
      </c>
      <c r="AI31" s="184">
        <f t="shared" si="14"/>
        <v>1239066</v>
      </c>
      <c r="AJ31" s="184">
        <f t="shared" si="14"/>
        <v>1090045</v>
      </c>
      <c r="AK31" s="184">
        <f t="shared" si="14"/>
        <v>190954</v>
      </c>
      <c r="AL31" s="184">
        <f t="shared" si="14"/>
        <v>1280999</v>
      </c>
      <c r="AM31" s="184">
        <f t="shared" si="14"/>
        <v>1009504</v>
      </c>
      <c r="AN31" s="184">
        <f t="shared" si="14"/>
        <v>161292</v>
      </c>
      <c r="AO31" s="184">
        <f t="shared" si="14"/>
        <v>1170796</v>
      </c>
      <c r="AP31" s="184">
        <f t="shared" si="14"/>
        <v>12313870</v>
      </c>
      <c r="AQ31" s="184">
        <f t="shared" si="14"/>
        <v>2258878.0032258066</v>
      </c>
      <c r="AR31" s="184">
        <f t="shared" si="14"/>
        <v>14572748.003225805</v>
      </c>
    </row>
    <row r="32" spans="1:45" x14ac:dyDescent="0.25"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</row>
    <row r="33" spans="1:44" x14ac:dyDescent="0.25">
      <c r="A33" s="183" t="s">
        <v>467</v>
      </c>
      <c r="B33" s="183" t="s">
        <v>318</v>
      </c>
      <c r="C33" s="184">
        <f t="shared" ref="C33:Z33" si="15">C18</f>
        <v>675948</v>
      </c>
      <c r="D33" s="184">
        <f t="shared" si="15"/>
        <v>118090</v>
      </c>
      <c r="E33" s="184">
        <f t="shared" si="15"/>
        <v>794038</v>
      </c>
      <c r="F33" s="184">
        <f t="shared" si="15"/>
        <v>778472</v>
      </c>
      <c r="G33" s="184">
        <f t="shared" si="15"/>
        <v>185598</v>
      </c>
      <c r="H33" s="184">
        <f t="shared" si="15"/>
        <v>964070</v>
      </c>
      <c r="I33" s="184">
        <f t="shared" si="15"/>
        <v>817747</v>
      </c>
      <c r="J33" s="184">
        <f t="shared" si="15"/>
        <v>204548</v>
      </c>
      <c r="K33" s="184">
        <f t="shared" si="15"/>
        <v>1022295</v>
      </c>
      <c r="L33" s="184">
        <f t="shared" si="15"/>
        <v>132377</v>
      </c>
      <c r="M33" s="184">
        <f t="shared" si="15"/>
        <v>17482</v>
      </c>
      <c r="N33" s="184">
        <f t="shared" si="15"/>
        <v>149859</v>
      </c>
      <c r="O33" s="184">
        <f t="shared" si="15"/>
        <v>873056</v>
      </c>
      <c r="P33" s="184">
        <f t="shared" si="15"/>
        <v>204218</v>
      </c>
      <c r="Q33" s="184">
        <f t="shared" si="15"/>
        <v>1077274</v>
      </c>
      <c r="R33" s="184">
        <f t="shared" si="15"/>
        <v>846868</v>
      </c>
      <c r="S33" s="184">
        <f t="shared" si="15"/>
        <v>205211</v>
      </c>
      <c r="T33" s="184">
        <f t="shared" si="15"/>
        <v>1052079</v>
      </c>
      <c r="U33" s="184">
        <f t="shared" si="15"/>
        <v>879250</v>
      </c>
      <c r="V33" s="184">
        <f t="shared" si="15"/>
        <v>179211</v>
      </c>
      <c r="W33" s="184">
        <f t="shared" si="15"/>
        <v>1058461</v>
      </c>
      <c r="X33" s="184">
        <f t="shared" si="15"/>
        <v>903505</v>
      </c>
      <c r="Y33" s="184">
        <f t="shared" si="15"/>
        <v>165123</v>
      </c>
      <c r="Z33" s="184">
        <f t="shared" si="15"/>
        <v>1068628</v>
      </c>
      <c r="AA33" s="184">
        <v>927322</v>
      </c>
      <c r="AB33" s="184">
        <f>AB18</f>
        <v>139129</v>
      </c>
      <c r="AC33" s="184">
        <f>SUM(AA33:AB33)</f>
        <v>1066451</v>
      </c>
      <c r="AD33" s="184">
        <f t="shared" ref="AD33:AF34" si="16">AD18</f>
        <v>998834</v>
      </c>
      <c r="AE33" s="184">
        <f t="shared" si="16"/>
        <v>142071</v>
      </c>
      <c r="AF33" s="184">
        <f t="shared" si="16"/>
        <v>1140905</v>
      </c>
      <c r="AG33" s="184">
        <v>895092</v>
      </c>
      <c r="AH33" s="184">
        <v>191922</v>
      </c>
      <c r="AI33" s="184">
        <f>SUM(AG33:AH33)</f>
        <v>1087014</v>
      </c>
      <c r="AJ33" s="184">
        <v>993520</v>
      </c>
      <c r="AK33" s="184">
        <v>191922</v>
      </c>
      <c r="AL33" s="184">
        <f>SUM(AJ33:AK33)</f>
        <v>1185442</v>
      </c>
      <c r="AM33" s="184">
        <v>993520</v>
      </c>
      <c r="AN33" s="184">
        <v>161292</v>
      </c>
      <c r="AO33" s="184">
        <f>SUM(AM33:AN33)</f>
        <v>1154812</v>
      </c>
      <c r="AP33" s="184">
        <f>AP18</f>
        <v>10668230</v>
      </c>
      <c r="AQ33" s="184">
        <f>AQ18</f>
        <v>2104849</v>
      </c>
      <c r="AR33" s="184">
        <f>SUM(AP33:AQ33)</f>
        <v>12773079</v>
      </c>
    </row>
    <row r="34" spans="1:44" x14ac:dyDescent="0.25">
      <c r="A34" s="183" t="s">
        <v>466</v>
      </c>
      <c r="B34" s="183" t="s">
        <v>318</v>
      </c>
      <c r="C34" s="184">
        <f t="shared" ref="C34:W34" si="17">C19</f>
        <v>50510</v>
      </c>
      <c r="D34" s="184">
        <f t="shared" si="17"/>
        <v>0</v>
      </c>
      <c r="E34" s="184">
        <f t="shared" si="17"/>
        <v>50510</v>
      </c>
      <c r="F34" s="184">
        <f t="shared" si="17"/>
        <v>96881</v>
      </c>
      <c r="G34" s="184">
        <f t="shared" si="17"/>
        <v>15483</v>
      </c>
      <c r="H34" s="184">
        <f t="shared" si="17"/>
        <v>112364</v>
      </c>
      <c r="I34" s="184">
        <f t="shared" si="17"/>
        <v>106590</v>
      </c>
      <c r="J34" s="184">
        <f t="shared" si="17"/>
        <v>0</v>
      </c>
      <c r="K34" s="184">
        <f t="shared" si="17"/>
        <v>106590</v>
      </c>
      <c r="L34" s="184">
        <f t="shared" si="17"/>
        <v>0</v>
      </c>
      <c r="M34" s="184">
        <f t="shared" si="17"/>
        <v>0</v>
      </c>
      <c r="N34" s="184">
        <f t="shared" si="17"/>
        <v>0</v>
      </c>
      <c r="O34" s="184">
        <f t="shared" si="17"/>
        <v>77693</v>
      </c>
      <c r="P34" s="184">
        <f t="shared" si="17"/>
        <v>0</v>
      </c>
      <c r="Q34" s="184">
        <f t="shared" si="17"/>
        <v>77693</v>
      </c>
      <c r="R34" s="184">
        <f t="shared" si="17"/>
        <v>105003</v>
      </c>
      <c r="S34" s="184">
        <f t="shared" si="17"/>
        <v>0</v>
      </c>
      <c r="T34" s="184">
        <f t="shared" si="17"/>
        <v>105003</v>
      </c>
      <c r="U34" s="184">
        <f t="shared" si="17"/>
        <v>139538</v>
      </c>
      <c r="V34" s="184">
        <f t="shared" si="17"/>
        <v>0</v>
      </c>
      <c r="W34" s="184">
        <f t="shared" si="17"/>
        <v>139538</v>
      </c>
      <c r="X34" s="184">
        <v>97611</v>
      </c>
      <c r="Y34" s="184">
        <v>22008</v>
      </c>
      <c r="Z34" s="184">
        <f>SUM(X34:Y34)</f>
        <v>119619</v>
      </c>
      <c r="AA34" s="184">
        <f>AA19</f>
        <v>133945</v>
      </c>
      <c r="AB34" s="184">
        <f>AB19</f>
        <v>28679</v>
      </c>
      <c r="AC34" s="184">
        <f>AC19</f>
        <v>162624</v>
      </c>
      <c r="AD34" s="184">
        <f t="shared" si="16"/>
        <v>153353</v>
      </c>
      <c r="AE34" s="184">
        <f t="shared" si="16"/>
        <v>24677</v>
      </c>
      <c r="AF34" s="184">
        <f t="shared" si="16"/>
        <v>178030</v>
      </c>
      <c r="AG34" s="184">
        <v>152311</v>
      </c>
      <c r="AH34" s="184">
        <f>AH19</f>
        <v>0</v>
      </c>
      <c r="AI34" s="184">
        <f>AI19</f>
        <v>152309</v>
      </c>
      <c r="AJ34" s="184">
        <v>87532</v>
      </c>
      <c r="AK34" s="184">
        <f>AK19</f>
        <v>0</v>
      </c>
      <c r="AL34" s="184">
        <f>AL19</f>
        <v>87532</v>
      </c>
      <c r="AM34" s="184">
        <v>87532</v>
      </c>
      <c r="AN34" s="184"/>
      <c r="AO34" s="184">
        <f>AO19</f>
        <v>72000</v>
      </c>
      <c r="AP34" s="184">
        <f>AP19</f>
        <v>1273715.4832903226</v>
      </c>
      <c r="AQ34" s="184">
        <f>AQ19</f>
        <v>90847</v>
      </c>
      <c r="AR34" s="184">
        <f>AR19</f>
        <v>1364562.4832903226</v>
      </c>
    </row>
    <row r="35" spans="1:44" x14ac:dyDescent="0.25">
      <c r="C35" s="185">
        <f t="shared" ref="C35:AR35" si="18">SUM(C33:C34)</f>
        <v>726458</v>
      </c>
      <c r="D35" s="185">
        <f t="shared" si="18"/>
        <v>118090</v>
      </c>
      <c r="E35" s="185">
        <f t="shared" si="18"/>
        <v>844548</v>
      </c>
      <c r="F35" s="185">
        <f t="shared" si="18"/>
        <v>875353</v>
      </c>
      <c r="G35" s="185">
        <f t="shared" si="18"/>
        <v>201081</v>
      </c>
      <c r="H35" s="185">
        <f t="shared" si="18"/>
        <v>1076434</v>
      </c>
      <c r="I35" s="185">
        <f t="shared" si="18"/>
        <v>924337</v>
      </c>
      <c r="J35" s="185">
        <f t="shared" si="18"/>
        <v>204548</v>
      </c>
      <c r="K35" s="185">
        <f t="shared" si="18"/>
        <v>1128885</v>
      </c>
      <c r="L35" s="185">
        <f t="shared" si="18"/>
        <v>132377</v>
      </c>
      <c r="M35" s="185">
        <f t="shared" si="18"/>
        <v>17482</v>
      </c>
      <c r="N35" s="185">
        <f t="shared" si="18"/>
        <v>149859</v>
      </c>
      <c r="O35" s="185">
        <f t="shared" si="18"/>
        <v>950749</v>
      </c>
      <c r="P35" s="185">
        <f t="shared" si="18"/>
        <v>204218</v>
      </c>
      <c r="Q35" s="185">
        <f t="shared" si="18"/>
        <v>1154967</v>
      </c>
      <c r="R35" s="185">
        <f t="shared" si="18"/>
        <v>951871</v>
      </c>
      <c r="S35" s="185">
        <f t="shared" si="18"/>
        <v>205211</v>
      </c>
      <c r="T35" s="185">
        <f t="shared" si="18"/>
        <v>1157082</v>
      </c>
      <c r="U35" s="185">
        <f t="shared" si="18"/>
        <v>1018788</v>
      </c>
      <c r="V35" s="185">
        <f t="shared" si="18"/>
        <v>179211</v>
      </c>
      <c r="W35" s="185">
        <f t="shared" si="18"/>
        <v>1197999</v>
      </c>
      <c r="X35" s="185">
        <f t="shared" si="18"/>
        <v>1001116</v>
      </c>
      <c r="Y35" s="185">
        <f t="shared" si="18"/>
        <v>187131</v>
      </c>
      <c r="Z35" s="185">
        <f t="shared" si="18"/>
        <v>1188247</v>
      </c>
      <c r="AA35" s="185">
        <f t="shared" si="18"/>
        <v>1061267</v>
      </c>
      <c r="AB35" s="185">
        <f t="shared" si="18"/>
        <v>167808</v>
      </c>
      <c r="AC35" s="185">
        <f t="shared" si="18"/>
        <v>1229075</v>
      </c>
      <c r="AD35" s="185">
        <f t="shared" si="18"/>
        <v>1152187</v>
      </c>
      <c r="AE35" s="185">
        <f t="shared" si="18"/>
        <v>166748</v>
      </c>
      <c r="AF35" s="185">
        <f t="shared" si="18"/>
        <v>1318935</v>
      </c>
      <c r="AG35" s="185">
        <f t="shared" si="18"/>
        <v>1047403</v>
      </c>
      <c r="AH35" s="185">
        <f t="shared" si="18"/>
        <v>191922</v>
      </c>
      <c r="AI35" s="185">
        <f t="shared" si="18"/>
        <v>1239323</v>
      </c>
      <c r="AJ35" s="185">
        <f t="shared" si="18"/>
        <v>1081052</v>
      </c>
      <c r="AK35" s="185">
        <f t="shared" si="18"/>
        <v>191922</v>
      </c>
      <c r="AL35" s="185">
        <f t="shared" si="18"/>
        <v>1272974</v>
      </c>
      <c r="AM35" s="185">
        <f t="shared" si="18"/>
        <v>1081052</v>
      </c>
      <c r="AN35" s="185">
        <f t="shared" si="18"/>
        <v>161292</v>
      </c>
      <c r="AO35" s="185">
        <f t="shared" si="18"/>
        <v>1226812</v>
      </c>
      <c r="AP35" s="185">
        <f t="shared" si="18"/>
        <v>11941945.483290322</v>
      </c>
      <c r="AQ35" s="185">
        <f t="shared" si="18"/>
        <v>2195696</v>
      </c>
      <c r="AR35" s="185">
        <f t="shared" si="18"/>
        <v>14137641.483290322</v>
      </c>
    </row>
    <row r="36" spans="1:44" x14ac:dyDescent="0.25">
      <c r="A36" s="183" t="s">
        <v>3</v>
      </c>
      <c r="C36" s="184">
        <v>44</v>
      </c>
      <c r="D36" s="184">
        <v>4</v>
      </c>
      <c r="E36" s="187">
        <f>D36+C36</f>
        <v>48</v>
      </c>
      <c r="F36" s="184">
        <v>45</v>
      </c>
      <c r="G36" s="184">
        <v>5</v>
      </c>
      <c r="H36" s="187">
        <f>G36+F36</f>
        <v>50</v>
      </c>
      <c r="I36" s="184">
        <v>46</v>
      </c>
      <c r="J36" s="184">
        <v>5</v>
      </c>
      <c r="K36" s="187">
        <f>J36+I36</f>
        <v>51</v>
      </c>
      <c r="L36" s="184"/>
      <c r="M36" s="184"/>
      <c r="N36" s="185"/>
      <c r="O36" s="184">
        <v>50</v>
      </c>
      <c r="P36" s="184">
        <v>5</v>
      </c>
      <c r="Q36" s="187">
        <f>P36+O36</f>
        <v>55</v>
      </c>
      <c r="R36" s="184">
        <v>48</v>
      </c>
      <c r="S36" s="184">
        <v>5</v>
      </c>
      <c r="T36" s="187">
        <f>S36+R36</f>
        <v>53</v>
      </c>
      <c r="U36" s="184">
        <v>50</v>
      </c>
      <c r="V36" s="184">
        <v>4</v>
      </c>
      <c r="W36" s="187">
        <f>V36+U36</f>
        <v>54</v>
      </c>
      <c r="X36" s="184">
        <v>50</v>
      </c>
      <c r="Y36" s="184">
        <v>5</v>
      </c>
      <c r="Z36" s="187">
        <f>Y36+X36</f>
        <v>55</v>
      </c>
      <c r="AA36" s="184">
        <v>53</v>
      </c>
      <c r="AB36" s="184">
        <v>4</v>
      </c>
      <c r="AC36" s="187">
        <f>AB36+AA36</f>
        <v>57</v>
      </c>
      <c r="AD36" s="184">
        <v>53</v>
      </c>
      <c r="AE36" s="184">
        <v>4</v>
      </c>
      <c r="AF36" s="187">
        <f>AE36+AD36</f>
        <v>57</v>
      </c>
      <c r="AG36" s="184">
        <v>53</v>
      </c>
      <c r="AH36" s="184">
        <v>4</v>
      </c>
      <c r="AI36" s="187">
        <f>AH36+AG36</f>
        <v>57</v>
      </c>
      <c r="AJ36" s="184">
        <v>52</v>
      </c>
      <c r="AK36" s="184">
        <v>4</v>
      </c>
      <c r="AL36" s="187">
        <f>AK36+AJ36</f>
        <v>56</v>
      </c>
      <c r="AM36" s="187">
        <v>51</v>
      </c>
      <c r="AN36" s="184">
        <v>4</v>
      </c>
      <c r="AO36" s="187">
        <f>AN36+AM36</f>
        <v>55</v>
      </c>
      <c r="AP36" s="188">
        <f>(AM36+AJ36+AG36+AD36+AA36+X36+U36+R36+O36+L36+I36+F36+C36)/12</f>
        <v>49.583333333333336</v>
      </c>
      <c r="AQ36" s="188">
        <f>(AN36+AK36+AH36+AE36+AB36+Y36+V36+S36+P36+M36+J36+G36+D36)/12</f>
        <v>4.416666666666667</v>
      </c>
      <c r="AR36" s="188">
        <f>AQ36+AP36</f>
        <v>54</v>
      </c>
    </row>
    <row r="37" spans="1:44" x14ac:dyDescent="0.25">
      <c r="A37" s="183" t="s">
        <v>462</v>
      </c>
      <c r="C37" s="184"/>
      <c r="D37" s="184"/>
      <c r="E37" s="187"/>
      <c r="F37" s="184"/>
      <c r="G37" s="184"/>
      <c r="H37" s="187"/>
      <c r="I37" s="184"/>
      <c r="J37" s="184"/>
      <c r="K37" s="187"/>
      <c r="L37" s="184"/>
      <c r="M37" s="184"/>
      <c r="N37" s="185"/>
      <c r="O37" s="184"/>
      <c r="P37" s="184"/>
      <c r="Q37" s="187"/>
      <c r="R37" s="184"/>
      <c r="S37" s="184"/>
      <c r="T37" s="187"/>
      <c r="U37" s="184"/>
      <c r="V37" s="184"/>
      <c r="W37" s="187"/>
      <c r="X37" s="184"/>
      <c r="Y37" s="184"/>
      <c r="Z37" s="187"/>
      <c r="AA37" s="184"/>
      <c r="AB37" s="184"/>
      <c r="AC37" s="187"/>
      <c r="AD37" s="184"/>
      <c r="AE37" s="184"/>
      <c r="AF37" s="187"/>
      <c r="AG37" s="184"/>
      <c r="AH37" s="184"/>
      <c r="AI37" s="187"/>
      <c r="AJ37" s="184"/>
      <c r="AK37" s="184"/>
      <c r="AL37" s="187"/>
      <c r="AM37" s="187"/>
      <c r="AN37" s="184"/>
      <c r="AO37" s="187"/>
      <c r="AP37" s="186">
        <f>AP36/AR36</f>
        <v>0.91820987654320996</v>
      </c>
      <c r="AQ37" s="186">
        <f>AQ36/AR36</f>
        <v>8.1790123456790126E-2</v>
      </c>
      <c r="AR37" s="186">
        <f>AP37+AQ37</f>
        <v>1</v>
      </c>
    </row>
    <row r="38" spans="1:44" x14ac:dyDescent="0.25">
      <c r="A38" s="183" t="s">
        <v>465</v>
      </c>
      <c r="C38" s="184">
        <v>44</v>
      </c>
      <c r="D38" s="184">
        <v>4</v>
      </c>
      <c r="E38" s="187">
        <f>D38+C38</f>
        <v>48</v>
      </c>
      <c r="F38" s="184">
        <v>39</v>
      </c>
      <c r="G38" s="184">
        <v>5</v>
      </c>
      <c r="H38" s="187">
        <f>G38+F38</f>
        <v>44</v>
      </c>
      <c r="I38" s="184">
        <v>42</v>
      </c>
      <c r="J38" s="184">
        <v>5</v>
      </c>
      <c r="K38" s="187">
        <f>J38+I38</f>
        <v>47</v>
      </c>
      <c r="L38" s="184"/>
      <c r="M38" s="184"/>
      <c r="N38" s="185"/>
      <c r="O38" s="184">
        <v>37</v>
      </c>
      <c r="P38" s="184">
        <v>5</v>
      </c>
      <c r="Q38" s="187">
        <f>P38+O38</f>
        <v>42</v>
      </c>
      <c r="R38" s="184">
        <v>37</v>
      </c>
      <c r="S38" s="184">
        <v>5</v>
      </c>
      <c r="T38" s="187">
        <f>S38+R38</f>
        <v>42</v>
      </c>
      <c r="U38" s="184">
        <v>43</v>
      </c>
      <c r="V38" s="184">
        <v>4</v>
      </c>
      <c r="W38" s="187">
        <f>V38+U38</f>
        <v>47</v>
      </c>
      <c r="X38" s="184">
        <v>45</v>
      </c>
      <c r="Y38" s="184">
        <v>5</v>
      </c>
      <c r="Z38" s="187">
        <f>Y38+X38</f>
        <v>50</v>
      </c>
      <c r="AA38" s="184">
        <v>44</v>
      </c>
      <c r="AB38" s="184">
        <v>4</v>
      </c>
      <c r="AC38" s="187">
        <f>AB38+AA38</f>
        <v>48</v>
      </c>
      <c r="AD38" s="184">
        <v>44</v>
      </c>
      <c r="AE38" s="184">
        <v>3</v>
      </c>
      <c r="AF38" s="187">
        <f>AE38+AD38</f>
        <v>47</v>
      </c>
      <c r="AG38" s="184">
        <v>47</v>
      </c>
      <c r="AH38" s="184">
        <v>4</v>
      </c>
      <c r="AI38" s="187">
        <f>AH38+AG38</f>
        <v>51</v>
      </c>
      <c r="AJ38" s="184">
        <v>44</v>
      </c>
      <c r="AK38" s="184">
        <v>4</v>
      </c>
      <c r="AL38" s="187">
        <f>AK38+AJ38</f>
        <v>48</v>
      </c>
      <c r="AM38" s="187">
        <v>42</v>
      </c>
      <c r="AN38" s="184">
        <v>4</v>
      </c>
      <c r="AO38" s="187">
        <f>AN38+AM38</f>
        <v>46</v>
      </c>
      <c r="AP38" s="188">
        <f>(AM38+AJ38+AG38+AD38+AA38+X38+U38+R38+O38+L38+I38+F38+C38)/12</f>
        <v>42.333333333333336</v>
      </c>
      <c r="AQ38" s="188">
        <f>(AN38+AK38+AH38+AE38+AB38+Y38+V38+S38+P38+M38+J38+G38+D38)/12</f>
        <v>4.333333333333333</v>
      </c>
      <c r="AR38" s="184">
        <f>AQ38+AP38</f>
        <v>46.666666666666671</v>
      </c>
    </row>
    <row r="39" spans="1:44" x14ac:dyDescent="0.25">
      <c r="A39" s="183" t="s">
        <v>462</v>
      </c>
      <c r="C39" s="184"/>
      <c r="D39" s="184"/>
      <c r="E39" s="187"/>
      <c r="F39" s="184"/>
      <c r="G39" s="184"/>
      <c r="H39" s="187"/>
      <c r="I39" s="184"/>
      <c r="J39" s="184"/>
      <c r="K39" s="187"/>
      <c r="L39" s="184"/>
      <c r="M39" s="184"/>
      <c r="N39" s="185"/>
      <c r="O39" s="184"/>
      <c r="P39" s="184"/>
      <c r="Q39" s="187"/>
      <c r="R39" s="184"/>
      <c r="S39" s="184"/>
      <c r="T39" s="187"/>
      <c r="U39" s="184"/>
      <c r="V39" s="184"/>
      <c r="W39" s="187"/>
      <c r="X39" s="184"/>
      <c r="Y39" s="184"/>
      <c r="Z39" s="187"/>
      <c r="AA39" s="184"/>
      <c r="AB39" s="184"/>
      <c r="AC39" s="187"/>
      <c r="AD39" s="184"/>
      <c r="AE39" s="184"/>
      <c r="AF39" s="187"/>
      <c r="AG39" s="184"/>
      <c r="AH39" s="184"/>
      <c r="AI39" s="187"/>
      <c r="AJ39" s="184"/>
      <c r="AK39" s="184"/>
      <c r="AL39" s="187"/>
      <c r="AM39" s="187"/>
      <c r="AN39" s="184"/>
      <c r="AO39" s="187"/>
      <c r="AP39" s="186">
        <f>AP38/AR38</f>
        <v>0.90714285714285714</v>
      </c>
      <c r="AQ39" s="186">
        <f>AQ38/AR38</f>
        <v>9.2857142857142846E-2</v>
      </c>
      <c r="AR39" s="186">
        <f>AP39+AQ39</f>
        <v>1</v>
      </c>
    </row>
    <row r="40" spans="1:44" x14ac:dyDescent="0.25">
      <c r="A40" s="183" t="s">
        <v>464</v>
      </c>
      <c r="C40" s="184">
        <v>4550</v>
      </c>
      <c r="D40" s="184">
        <v>650</v>
      </c>
      <c r="E40" s="187">
        <f>D40+C40</f>
        <v>5200</v>
      </c>
      <c r="F40" s="184">
        <v>4940</v>
      </c>
      <c r="G40" s="184">
        <v>650</v>
      </c>
      <c r="H40" s="187">
        <f>G40+F40</f>
        <v>5590</v>
      </c>
      <c r="I40" s="184">
        <v>31491</v>
      </c>
      <c r="J40" s="184">
        <v>650</v>
      </c>
      <c r="K40" s="187">
        <f>J40+I40</f>
        <v>32141</v>
      </c>
      <c r="L40" s="184"/>
      <c r="M40" s="184"/>
      <c r="N40" s="185"/>
      <c r="O40" s="184">
        <v>4810</v>
      </c>
      <c r="P40" s="184">
        <v>650</v>
      </c>
      <c r="Q40" s="187">
        <f>P40+O40</f>
        <v>5460</v>
      </c>
      <c r="R40" s="184">
        <v>4810</v>
      </c>
      <c r="S40" s="184">
        <v>650</v>
      </c>
      <c r="T40" s="187">
        <f>S40+R40</f>
        <v>5460</v>
      </c>
      <c r="U40" s="184">
        <v>15790</v>
      </c>
      <c r="V40" s="184">
        <v>1480</v>
      </c>
      <c r="W40" s="187">
        <f>V40+U40</f>
        <v>17270</v>
      </c>
      <c r="X40" s="184">
        <v>11250</v>
      </c>
      <c r="Y40" s="184">
        <v>1370</v>
      </c>
      <c r="Z40" s="187">
        <f>Y40+X40</f>
        <v>12620</v>
      </c>
      <c r="AA40" s="184">
        <v>11000</v>
      </c>
      <c r="AB40" s="184">
        <v>1000</v>
      </c>
      <c r="AC40" s="187">
        <f>AB40+AA40</f>
        <v>12000</v>
      </c>
      <c r="AD40" s="184">
        <v>11000</v>
      </c>
      <c r="AE40" s="184">
        <v>750</v>
      </c>
      <c r="AF40" s="187">
        <f>AE40+AD40</f>
        <v>11750</v>
      </c>
      <c r="AG40" s="184">
        <v>11750</v>
      </c>
      <c r="AH40" s="184">
        <v>1000</v>
      </c>
      <c r="AI40" s="187">
        <f>AH40+AG40</f>
        <v>12750</v>
      </c>
      <c r="AJ40" s="184">
        <v>11000</v>
      </c>
      <c r="AK40" s="184">
        <v>1000</v>
      </c>
      <c r="AL40" s="187">
        <f>AK40+AJ40</f>
        <v>12000</v>
      </c>
      <c r="AM40" s="187">
        <v>10500</v>
      </c>
      <c r="AN40" s="184">
        <v>1000</v>
      </c>
      <c r="AO40" s="187">
        <f>AN40+AM40</f>
        <v>11500</v>
      </c>
      <c r="AP40" s="188">
        <f>(AM40+AJ40+AG40+AD40+AA40+X40+U40+R40+O40+L40+I40+F40+C40)/12</f>
        <v>11074.25</v>
      </c>
      <c r="AQ40" s="188">
        <f>(AN40+AK40+AH40+AE40+AB40+Y40+V40+S40+P40+M40+J40+G40+D40)/12</f>
        <v>904.16666666666663</v>
      </c>
      <c r="AR40" s="184">
        <f>AQ40+AP40</f>
        <v>11978.416666666666</v>
      </c>
    </row>
    <row r="41" spans="1:44" x14ac:dyDescent="0.25">
      <c r="A41" s="183" t="s">
        <v>462</v>
      </c>
      <c r="C41" s="184"/>
      <c r="D41" s="184"/>
      <c r="E41" s="187"/>
      <c r="F41" s="184"/>
      <c r="G41" s="184"/>
      <c r="H41" s="187"/>
      <c r="I41" s="184"/>
      <c r="J41" s="184"/>
      <c r="K41" s="187"/>
      <c r="L41" s="184"/>
      <c r="M41" s="184"/>
      <c r="N41" s="185"/>
      <c r="O41" s="184"/>
      <c r="P41" s="184"/>
      <c r="Q41" s="187"/>
      <c r="R41" s="184"/>
      <c r="S41" s="184"/>
      <c r="T41" s="187"/>
      <c r="U41" s="184"/>
      <c r="V41" s="184"/>
      <c r="W41" s="187"/>
      <c r="X41" s="184"/>
      <c r="Y41" s="184"/>
      <c r="Z41" s="187"/>
      <c r="AA41" s="184"/>
      <c r="AB41" s="184"/>
      <c r="AC41" s="187"/>
      <c r="AD41" s="184"/>
      <c r="AE41" s="184"/>
      <c r="AF41" s="187"/>
      <c r="AG41" s="184"/>
      <c r="AH41" s="184"/>
      <c r="AI41" s="187"/>
      <c r="AJ41" s="184"/>
      <c r="AK41" s="184"/>
      <c r="AL41" s="187"/>
      <c r="AM41" s="187"/>
      <c r="AN41" s="184"/>
      <c r="AO41" s="187"/>
      <c r="AP41" s="186">
        <f>AP40/AR40</f>
        <v>0.92451701323908975</v>
      </c>
      <c r="AQ41" s="186">
        <f>AQ40/AR40</f>
        <v>7.5482986760910253E-2</v>
      </c>
      <c r="AR41" s="186">
        <f>AP41+AQ41</f>
        <v>1</v>
      </c>
    </row>
    <row r="42" spans="1:44" x14ac:dyDescent="0.25">
      <c r="A42" s="183" t="s">
        <v>463</v>
      </c>
      <c r="C42" s="184">
        <v>16</v>
      </c>
      <c r="D42" s="184">
        <v>1</v>
      </c>
      <c r="E42" s="187">
        <f>D42+C42</f>
        <v>17</v>
      </c>
      <c r="F42" s="184">
        <v>16</v>
      </c>
      <c r="G42" s="184">
        <v>1</v>
      </c>
      <c r="H42" s="187">
        <f>G42+F42</f>
        <v>17</v>
      </c>
      <c r="I42" s="184">
        <v>16</v>
      </c>
      <c r="J42" s="184">
        <v>1</v>
      </c>
      <c r="K42" s="187">
        <f>J42+I42</f>
        <v>17</v>
      </c>
      <c r="L42" s="184"/>
      <c r="M42" s="184"/>
      <c r="N42" s="184"/>
      <c r="O42" s="184">
        <v>17</v>
      </c>
      <c r="P42" s="184">
        <v>1</v>
      </c>
      <c r="Q42" s="187">
        <f>P42+O42</f>
        <v>18</v>
      </c>
      <c r="R42" s="184">
        <v>17</v>
      </c>
      <c r="S42" s="184">
        <v>1</v>
      </c>
      <c r="T42" s="187">
        <f>S42+R42</f>
        <v>18</v>
      </c>
      <c r="U42" s="184">
        <v>18</v>
      </c>
      <c r="V42" s="184">
        <v>0</v>
      </c>
      <c r="W42" s="187">
        <f>V42+U42</f>
        <v>18</v>
      </c>
      <c r="X42" s="184">
        <v>18</v>
      </c>
      <c r="Y42" s="184">
        <v>0</v>
      </c>
      <c r="Z42" s="187">
        <f>Y42+X42</f>
        <v>18</v>
      </c>
      <c r="AA42" s="184">
        <v>18</v>
      </c>
      <c r="AB42" s="184">
        <v>0</v>
      </c>
      <c r="AC42" s="187">
        <f>AB42+AA42</f>
        <v>18</v>
      </c>
      <c r="AD42" s="184">
        <v>19</v>
      </c>
      <c r="AE42" s="184">
        <v>0</v>
      </c>
      <c r="AF42" s="187">
        <f>AE42+AD42</f>
        <v>19</v>
      </c>
      <c r="AG42" s="184">
        <v>20</v>
      </c>
      <c r="AH42" s="184">
        <v>0</v>
      </c>
      <c r="AI42" s="187">
        <f>AH42+AG42</f>
        <v>20</v>
      </c>
      <c r="AJ42" s="184">
        <v>19</v>
      </c>
      <c r="AK42" s="184">
        <v>0</v>
      </c>
      <c r="AL42" s="187">
        <f>AK42+AJ42</f>
        <v>19</v>
      </c>
      <c r="AM42" s="187">
        <v>16</v>
      </c>
      <c r="AN42" s="184">
        <v>0</v>
      </c>
      <c r="AO42" s="187">
        <f>AN42+AM42</f>
        <v>16</v>
      </c>
      <c r="AP42" s="188">
        <f>(AM42+AJ42+AG42+AD42+AA42+X42+U42+R42+O42+L42+I42+F42+C42)/12</f>
        <v>17.5</v>
      </c>
      <c r="AQ42" s="188">
        <f>(AN42+AK42+AH42+AE42+AB42+Y42+V42+S42+P42+M42+J42+G42+D42)/12</f>
        <v>0.41666666666666669</v>
      </c>
      <c r="AR42" s="188">
        <f>AQ42+AP42</f>
        <v>17.916666666666668</v>
      </c>
    </row>
    <row r="43" spans="1:44" x14ac:dyDescent="0.25">
      <c r="A43" s="183" t="s">
        <v>462</v>
      </c>
      <c r="C43" s="184"/>
      <c r="D43" s="184"/>
      <c r="E43" s="187"/>
      <c r="F43" s="184"/>
      <c r="G43" s="184"/>
      <c r="H43" s="187"/>
      <c r="I43" s="184"/>
      <c r="J43" s="184"/>
      <c r="K43" s="187"/>
      <c r="L43" s="184"/>
      <c r="M43" s="184"/>
      <c r="N43" s="185"/>
      <c r="O43" s="184"/>
      <c r="P43" s="184"/>
      <c r="Q43" s="187"/>
      <c r="R43" s="184"/>
      <c r="S43" s="184"/>
      <c r="T43" s="187"/>
      <c r="U43" s="184"/>
      <c r="V43" s="184"/>
      <c r="W43" s="187"/>
      <c r="X43" s="184"/>
      <c r="Y43" s="184"/>
      <c r="Z43" s="187"/>
      <c r="AA43" s="184"/>
      <c r="AB43" s="184"/>
      <c r="AC43" s="187"/>
      <c r="AD43" s="184"/>
      <c r="AE43" s="184"/>
      <c r="AF43" s="187"/>
      <c r="AG43" s="184"/>
      <c r="AH43" s="184"/>
      <c r="AI43" s="187"/>
      <c r="AJ43" s="184"/>
      <c r="AK43" s="184"/>
      <c r="AL43" s="187"/>
      <c r="AM43" s="187"/>
      <c r="AN43" s="184"/>
      <c r="AO43" s="187"/>
      <c r="AP43" s="186">
        <f>AP42/AR42</f>
        <v>0.97674418604651159</v>
      </c>
      <c r="AQ43" s="186">
        <f>AQ42/AR42</f>
        <v>2.3255813953488372E-2</v>
      </c>
      <c r="AR43" s="186">
        <f>AP43+AQ43</f>
        <v>1</v>
      </c>
    </row>
    <row r="44" spans="1:44" x14ac:dyDescent="0.25"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5"/>
      <c r="AP44" s="184"/>
      <c r="AQ44" s="184"/>
      <c r="AR44" s="185"/>
    </row>
    <row r="45" spans="1:44" x14ac:dyDescent="0.25"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</row>
    <row r="46" spans="1:44" x14ac:dyDescent="0.25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</row>
    <row r="47" spans="1:44" x14ac:dyDescent="0.25"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</row>
    <row r="48" spans="1:44" x14ac:dyDescent="0.25"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</row>
    <row r="49" spans="3:44" x14ac:dyDescent="0.25"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</row>
    <row r="50" spans="3:44" x14ac:dyDescent="0.25"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</row>
    <row r="51" spans="3:44" x14ac:dyDescent="0.25"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</row>
    <row r="52" spans="3:44" x14ac:dyDescent="0.25"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</row>
    <row r="53" spans="3:44" x14ac:dyDescent="0.25"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</row>
    <row r="54" spans="3:44" x14ac:dyDescent="0.25"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4"/>
      <c r="AO54" s="184"/>
      <c r="AP54" s="184"/>
      <c r="AQ54" s="184"/>
      <c r="AR54" s="184"/>
    </row>
  </sheetData>
  <mergeCells count="28">
    <mergeCell ref="AJ3:AL3"/>
    <mergeCell ref="C3:E3"/>
    <mergeCell ref="F3:H3"/>
    <mergeCell ref="I3:K3"/>
    <mergeCell ref="L3:N3"/>
    <mergeCell ref="O3:Q3"/>
    <mergeCell ref="R3:T3"/>
    <mergeCell ref="AP23:AR23"/>
    <mergeCell ref="AM3:AO3"/>
    <mergeCell ref="AP3:AR3"/>
    <mergeCell ref="C23:E23"/>
    <mergeCell ref="F23:H23"/>
    <mergeCell ref="I23:K23"/>
    <mergeCell ref="L23:N23"/>
    <mergeCell ref="O23:Q23"/>
    <mergeCell ref="R23:T23"/>
    <mergeCell ref="U23:W23"/>
    <mergeCell ref="X23:Z23"/>
    <mergeCell ref="U3:W3"/>
    <mergeCell ref="X3:Z3"/>
    <mergeCell ref="AA3:AC3"/>
    <mergeCell ref="AD3:AF3"/>
    <mergeCell ref="AG3:AI3"/>
    <mergeCell ref="AA23:AC23"/>
    <mergeCell ref="AD23:AF23"/>
    <mergeCell ref="AG23:AI23"/>
    <mergeCell ref="AJ23:AL23"/>
    <mergeCell ref="AM23:AO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B113" workbookViewId="0">
      <selection activeCell="B76" sqref="B76"/>
    </sheetView>
  </sheetViews>
  <sheetFormatPr defaultColWidth="6.85546875" defaultRowHeight="17.100000000000001" customHeight="1" x14ac:dyDescent="0.25"/>
  <cols>
    <col min="1" max="1" width="39.7109375" style="8" customWidth="1"/>
    <col min="2" max="2" width="70.7109375" style="8" customWidth="1"/>
    <col min="3" max="3" width="4.28515625" style="8" hidden="1" customWidth="1"/>
    <col min="4" max="4" width="4.5703125" style="8" hidden="1" customWidth="1"/>
    <col min="5" max="6" width="1" style="8" hidden="1" customWidth="1"/>
    <col min="7" max="7" width="6.85546875" style="8" customWidth="1"/>
    <col min="8" max="8" width="15.5703125" style="8" customWidth="1"/>
    <col min="9" max="9" width="16" style="8" customWidth="1"/>
    <col min="10" max="10" width="9" style="8" bestFit="1" customWidth="1"/>
    <col min="11" max="11" width="17.85546875" style="8" customWidth="1"/>
    <col min="12" max="256" width="6.85546875" style="8"/>
    <col min="257" max="257" width="39.7109375" style="8" customWidth="1"/>
    <col min="258" max="258" width="46.42578125" style="8" customWidth="1"/>
    <col min="259" max="262" width="0" style="8" hidden="1" customWidth="1"/>
    <col min="263" max="263" width="6.85546875" style="8" customWidth="1"/>
    <col min="264" max="264" width="15.5703125" style="8" customWidth="1"/>
    <col min="265" max="265" width="16" style="8" customWidth="1"/>
    <col min="266" max="266" width="6.85546875" style="8"/>
    <col min="267" max="267" width="17.85546875" style="8" customWidth="1"/>
    <col min="268" max="512" width="6.85546875" style="8"/>
    <col min="513" max="513" width="39.7109375" style="8" customWidth="1"/>
    <col min="514" max="514" width="46.42578125" style="8" customWidth="1"/>
    <col min="515" max="518" width="0" style="8" hidden="1" customWidth="1"/>
    <col min="519" max="519" width="6.85546875" style="8" customWidth="1"/>
    <col min="520" max="520" width="15.5703125" style="8" customWidth="1"/>
    <col min="521" max="521" width="16" style="8" customWidth="1"/>
    <col min="522" max="522" width="6.85546875" style="8"/>
    <col min="523" max="523" width="17.85546875" style="8" customWidth="1"/>
    <col min="524" max="768" width="6.85546875" style="8"/>
    <col min="769" max="769" width="39.7109375" style="8" customWidth="1"/>
    <col min="770" max="770" width="46.42578125" style="8" customWidth="1"/>
    <col min="771" max="774" width="0" style="8" hidden="1" customWidth="1"/>
    <col min="775" max="775" width="6.85546875" style="8" customWidth="1"/>
    <col min="776" max="776" width="15.5703125" style="8" customWidth="1"/>
    <col min="777" max="777" width="16" style="8" customWidth="1"/>
    <col min="778" max="778" width="6.85546875" style="8"/>
    <col min="779" max="779" width="17.85546875" style="8" customWidth="1"/>
    <col min="780" max="1024" width="6.85546875" style="8"/>
    <col min="1025" max="1025" width="39.7109375" style="8" customWidth="1"/>
    <col min="1026" max="1026" width="46.42578125" style="8" customWidth="1"/>
    <col min="1027" max="1030" width="0" style="8" hidden="1" customWidth="1"/>
    <col min="1031" max="1031" width="6.85546875" style="8" customWidth="1"/>
    <col min="1032" max="1032" width="15.5703125" style="8" customWidth="1"/>
    <col min="1033" max="1033" width="16" style="8" customWidth="1"/>
    <col min="1034" max="1034" width="6.85546875" style="8"/>
    <col min="1035" max="1035" width="17.85546875" style="8" customWidth="1"/>
    <col min="1036" max="1280" width="6.85546875" style="8"/>
    <col min="1281" max="1281" width="39.7109375" style="8" customWidth="1"/>
    <col min="1282" max="1282" width="46.42578125" style="8" customWidth="1"/>
    <col min="1283" max="1286" width="0" style="8" hidden="1" customWidth="1"/>
    <col min="1287" max="1287" width="6.85546875" style="8" customWidth="1"/>
    <col min="1288" max="1288" width="15.5703125" style="8" customWidth="1"/>
    <col min="1289" max="1289" width="16" style="8" customWidth="1"/>
    <col min="1290" max="1290" width="6.85546875" style="8"/>
    <col min="1291" max="1291" width="17.85546875" style="8" customWidth="1"/>
    <col min="1292" max="1536" width="6.85546875" style="8"/>
    <col min="1537" max="1537" width="39.7109375" style="8" customWidth="1"/>
    <col min="1538" max="1538" width="46.42578125" style="8" customWidth="1"/>
    <col min="1539" max="1542" width="0" style="8" hidden="1" customWidth="1"/>
    <col min="1543" max="1543" width="6.85546875" style="8" customWidth="1"/>
    <col min="1544" max="1544" width="15.5703125" style="8" customWidth="1"/>
    <col min="1545" max="1545" width="16" style="8" customWidth="1"/>
    <col min="1546" max="1546" width="6.85546875" style="8"/>
    <col min="1547" max="1547" width="17.85546875" style="8" customWidth="1"/>
    <col min="1548" max="1792" width="6.85546875" style="8"/>
    <col min="1793" max="1793" width="39.7109375" style="8" customWidth="1"/>
    <col min="1794" max="1794" width="46.42578125" style="8" customWidth="1"/>
    <col min="1795" max="1798" width="0" style="8" hidden="1" customWidth="1"/>
    <col min="1799" max="1799" width="6.85546875" style="8" customWidth="1"/>
    <col min="1800" max="1800" width="15.5703125" style="8" customWidth="1"/>
    <col min="1801" max="1801" width="16" style="8" customWidth="1"/>
    <col min="1802" max="1802" width="6.85546875" style="8"/>
    <col min="1803" max="1803" width="17.85546875" style="8" customWidth="1"/>
    <col min="1804" max="2048" width="6.85546875" style="8"/>
    <col min="2049" max="2049" width="39.7109375" style="8" customWidth="1"/>
    <col min="2050" max="2050" width="46.42578125" style="8" customWidth="1"/>
    <col min="2051" max="2054" width="0" style="8" hidden="1" customWidth="1"/>
    <col min="2055" max="2055" width="6.85546875" style="8" customWidth="1"/>
    <col min="2056" max="2056" width="15.5703125" style="8" customWidth="1"/>
    <col min="2057" max="2057" width="16" style="8" customWidth="1"/>
    <col min="2058" max="2058" width="6.85546875" style="8"/>
    <col min="2059" max="2059" width="17.85546875" style="8" customWidth="1"/>
    <col min="2060" max="2304" width="6.85546875" style="8"/>
    <col min="2305" max="2305" width="39.7109375" style="8" customWidth="1"/>
    <col min="2306" max="2306" width="46.42578125" style="8" customWidth="1"/>
    <col min="2307" max="2310" width="0" style="8" hidden="1" customWidth="1"/>
    <col min="2311" max="2311" width="6.85546875" style="8" customWidth="1"/>
    <col min="2312" max="2312" width="15.5703125" style="8" customWidth="1"/>
    <col min="2313" max="2313" width="16" style="8" customWidth="1"/>
    <col min="2314" max="2314" width="6.85546875" style="8"/>
    <col min="2315" max="2315" width="17.85546875" style="8" customWidth="1"/>
    <col min="2316" max="2560" width="6.85546875" style="8"/>
    <col min="2561" max="2561" width="39.7109375" style="8" customWidth="1"/>
    <col min="2562" max="2562" width="46.42578125" style="8" customWidth="1"/>
    <col min="2563" max="2566" width="0" style="8" hidden="1" customWidth="1"/>
    <col min="2567" max="2567" width="6.85546875" style="8" customWidth="1"/>
    <col min="2568" max="2568" width="15.5703125" style="8" customWidth="1"/>
    <col min="2569" max="2569" width="16" style="8" customWidth="1"/>
    <col min="2570" max="2570" width="6.85546875" style="8"/>
    <col min="2571" max="2571" width="17.85546875" style="8" customWidth="1"/>
    <col min="2572" max="2816" width="6.85546875" style="8"/>
    <col min="2817" max="2817" width="39.7109375" style="8" customWidth="1"/>
    <col min="2818" max="2818" width="46.42578125" style="8" customWidth="1"/>
    <col min="2819" max="2822" width="0" style="8" hidden="1" customWidth="1"/>
    <col min="2823" max="2823" width="6.85546875" style="8" customWidth="1"/>
    <col min="2824" max="2824" width="15.5703125" style="8" customWidth="1"/>
    <col min="2825" max="2825" width="16" style="8" customWidth="1"/>
    <col min="2826" max="2826" width="6.85546875" style="8"/>
    <col min="2827" max="2827" width="17.85546875" style="8" customWidth="1"/>
    <col min="2828" max="3072" width="6.85546875" style="8"/>
    <col min="3073" max="3073" width="39.7109375" style="8" customWidth="1"/>
    <col min="3074" max="3074" width="46.42578125" style="8" customWidth="1"/>
    <col min="3075" max="3078" width="0" style="8" hidden="1" customWidth="1"/>
    <col min="3079" max="3079" width="6.85546875" style="8" customWidth="1"/>
    <col min="3080" max="3080" width="15.5703125" style="8" customWidth="1"/>
    <col min="3081" max="3081" width="16" style="8" customWidth="1"/>
    <col min="3082" max="3082" width="6.85546875" style="8"/>
    <col min="3083" max="3083" width="17.85546875" style="8" customWidth="1"/>
    <col min="3084" max="3328" width="6.85546875" style="8"/>
    <col min="3329" max="3329" width="39.7109375" style="8" customWidth="1"/>
    <col min="3330" max="3330" width="46.42578125" style="8" customWidth="1"/>
    <col min="3331" max="3334" width="0" style="8" hidden="1" customWidth="1"/>
    <col min="3335" max="3335" width="6.85546875" style="8" customWidth="1"/>
    <col min="3336" max="3336" width="15.5703125" style="8" customWidth="1"/>
    <col min="3337" max="3337" width="16" style="8" customWidth="1"/>
    <col min="3338" max="3338" width="6.85546875" style="8"/>
    <col min="3339" max="3339" width="17.85546875" style="8" customWidth="1"/>
    <col min="3340" max="3584" width="6.85546875" style="8"/>
    <col min="3585" max="3585" width="39.7109375" style="8" customWidth="1"/>
    <col min="3586" max="3586" width="46.42578125" style="8" customWidth="1"/>
    <col min="3587" max="3590" width="0" style="8" hidden="1" customWidth="1"/>
    <col min="3591" max="3591" width="6.85546875" style="8" customWidth="1"/>
    <col min="3592" max="3592" width="15.5703125" style="8" customWidth="1"/>
    <col min="3593" max="3593" width="16" style="8" customWidth="1"/>
    <col min="3594" max="3594" width="6.85546875" style="8"/>
    <col min="3595" max="3595" width="17.85546875" style="8" customWidth="1"/>
    <col min="3596" max="3840" width="6.85546875" style="8"/>
    <col min="3841" max="3841" width="39.7109375" style="8" customWidth="1"/>
    <col min="3842" max="3842" width="46.42578125" style="8" customWidth="1"/>
    <col min="3843" max="3846" width="0" style="8" hidden="1" customWidth="1"/>
    <col min="3847" max="3847" width="6.85546875" style="8" customWidth="1"/>
    <col min="3848" max="3848" width="15.5703125" style="8" customWidth="1"/>
    <col min="3849" max="3849" width="16" style="8" customWidth="1"/>
    <col min="3850" max="3850" width="6.85546875" style="8"/>
    <col min="3851" max="3851" width="17.85546875" style="8" customWidth="1"/>
    <col min="3852" max="4096" width="6.85546875" style="8"/>
    <col min="4097" max="4097" width="39.7109375" style="8" customWidth="1"/>
    <col min="4098" max="4098" width="46.42578125" style="8" customWidth="1"/>
    <col min="4099" max="4102" width="0" style="8" hidden="1" customWidth="1"/>
    <col min="4103" max="4103" width="6.85546875" style="8" customWidth="1"/>
    <col min="4104" max="4104" width="15.5703125" style="8" customWidth="1"/>
    <col min="4105" max="4105" width="16" style="8" customWidth="1"/>
    <col min="4106" max="4106" width="6.85546875" style="8"/>
    <col min="4107" max="4107" width="17.85546875" style="8" customWidth="1"/>
    <col min="4108" max="4352" width="6.85546875" style="8"/>
    <col min="4353" max="4353" width="39.7109375" style="8" customWidth="1"/>
    <col min="4354" max="4354" width="46.42578125" style="8" customWidth="1"/>
    <col min="4355" max="4358" width="0" style="8" hidden="1" customWidth="1"/>
    <col min="4359" max="4359" width="6.85546875" style="8" customWidth="1"/>
    <col min="4360" max="4360" width="15.5703125" style="8" customWidth="1"/>
    <col min="4361" max="4361" width="16" style="8" customWidth="1"/>
    <col min="4362" max="4362" width="6.85546875" style="8"/>
    <col min="4363" max="4363" width="17.85546875" style="8" customWidth="1"/>
    <col min="4364" max="4608" width="6.85546875" style="8"/>
    <col min="4609" max="4609" width="39.7109375" style="8" customWidth="1"/>
    <col min="4610" max="4610" width="46.42578125" style="8" customWidth="1"/>
    <col min="4611" max="4614" width="0" style="8" hidden="1" customWidth="1"/>
    <col min="4615" max="4615" width="6.85546875" style="8" customWidth="1"/>
    <col min="4616" max="4616" width="15.5703125" style="8" customWidth="1"/>
    <col min="4617" max="4617" width="16" style="8" customWidth="1"/>
    <col min="4618" max="4618" width="6.85546875" style="8"/>
    <col min="4619" max="4619" width="17.85546875" style="8" customWidth="1"/>
    <col min="4620" max="4864" width="6.85546875" style="8"/>
    <col min="4865" max="4865" width="39.7109375" style="8" customWidth="1"/>
    <col min="4866" max="4866" width="46.42578125" style="8" customWidth="1"/>
    <col min="4867" max="4870" width="0" style="8" hidden="1" customWidth="1"/>
    <col min="4871" max="4871" width="6.85546875" style="8" customWidth="1"/>
    <col min="4872" max="4872" width="15.5703125" style="8" customWidth="1"/>
    <col min="4873" max="4873" width="16" style="8" customWidth="1"/>
    <col min="4874" max="4874" width="6.85546875" style="8"/>
    <col min="4875" max="4875" width="17.85546875" style="8" customWidth="1"/>
    <col min="4876" max="5120" width="6.85546875" style="8"/>
    <col min="5121" max="5121" width="39.7109375" style="8" customWidth="1"/>
    <col min="5122" max="5122" width="46.42578125" style="8" customWidth="1"/>
    <col min="5123" max="5126" width="0" style="8" hidden="1" customWidth="1"/>
    <col min="5127" max="5127" width="6.85546875" style="8" customWidth="1"/>
    <col min="5128" max="5128" width="15.5703125" style="8" customWidth="1"/>
    <col min="5129" max="5129" width="16" style="8" customWidth="1"/>
    <col min="5130" max="5130" width="6.85546875" style="8"/>
    <col min="5131" max="5131" width="17.85546875" style="8" customWidth="1"/>
    <col min="5132" max="5376" width="6.85546875" style="8"/>
    <col min="5377" max="5377" width="39.7109375" style="8" customWidth="1"/>
    <col min="5378" max="5378" width="46.42578125" style="8" customWidth="1"/>
    <col min="5379" max="5382" width="0" style="8" hidden="1" customWidth="1"/>
    <col min="5383" max="5383" width="6.85546875" style="8" customWidth="1"/>
    <col min="5384" max="5384" width="15.5703125" style="8" customWidth="1"/>
    <col min="5385" max="5385" width="16" style="8" customWidth="1"/>
    <col min="5386" max="5386" width="6.85546875" style="8"/>
    <col min="5387" max="5387" width="17.85546875" style="8" customWidth="1"/>
    <col min="5388" max="5632" width="6.85546875" style="8"/>
    <col min="5633" max="5633" width="39.7109375" style="8" customWidth="1"/>
    <col min="5634" max="5634" width="46.42578125" style="8" customWidth="1"/>
    <col min="5635" max="5638" width="0" style="8" hidden="1" customWidth="1"/>
    <col min="5639" max="5639" width="6.85546875" style="8" customWidth="1"/>
    <col min="5640" max="5640" width="15.5703125" style="8" customWidth="1"/>
    <col min="5641" max="5641" width="16" style="8" customWidth="1"/>
    <col min="5642" max="5642" width="6.85546875" style="8"/>
    <col min="5643" max="5643" width="17.85546875" style="8" customWidth="1"/>
    <col min="5644" max="5888" width="6.85546875" style="8"/>
    <col min="5889" max="5889" width="39.7109375" style="8" customWidth="1"/>
    <col min="5890" max="5890" width="46.42578125" style="8" customWidth="1"/>
    <col min="5891" max="5894" width="0" style="8" hidden="1" customWidth="1"/>
    <col min="5895" max="5895" width="6.85546875" style="8" customWidth="1"/>
    <col min="5896" max="5896" width="15.5703125" style="8" customWidth="1"/>
    <col min="5897" max="5897" width="16" style="8" customWidth="1"/>
    <col min="5898" max="5898" width="6.85546875" style="8"/>
    <col min="5899" max="5899" width="17.85546875" style="8" customWidth="1"/>
    <col min="5900" max="6144" width="6.85546875" style="8"/>
    <col min="6145" max="6145" width="39.7109375" style="8" customWidth="1"/>
    <col min="6146" max="6146" width="46.42578125" style="8" customWidth="1"/>
    <col min="6147" max="6150" width="0" style="8" hidden="1" customWidth="1"/>
    <col min="6151" max="6151" width="6.85546875" style="8" customWidth="1"/>
    <col min="6152" max="6152" width="15.5703125" style="8" customWidth="1"/>
    <col min="6153" max="6153" width="16" style="8" customWidth="1"/>
    <col min="6154" max="6154" width="6.85546875" style="8"/>
    <col min="6155" max="6155" width="17.85546875" style="8" customWidth="1"/>
    <col min="6156" max="6400" width="6.85546875" style="8"/>
    <col min="6401" max="6401" width="39.7109375" style="8" customWidth="1"/>
    <col min="6402" max="6402" width="46.42578125" style="8" customWidth="1"/>
    <col min="6403" max="6406" width="0" style="8" hidden="1" customWidth="1"/>
    <col min="6407" max="6407" width="6.85546875" style="8" customWidth="1"/>
    <col min="6408" max="6408" width="15.5703125" style="8" customWidth="1"/>
    <col min="6409" max="6409" width="16" style="8" customWidth="1"/>
    <col min="6410" max="6410" width="6.85546875" style="8"/>
    <col min="6411" max="6411" width="17.85546875" style="8" customWidth="1"/>
    <col min="6412" max="6656" width="6.85546875" style="8"/>
    <col min="6657" max="6657" width="39.7109375" style="8" customWidth="1"/>
    <col min="6658" max="6658" width="46.42578125" style="8" customWidth="1"/>
    <col min="6659" max="6662" width="0" style="8" hidden="1" customWidth="1"/>
    <col min="6663" max="6663" width="6.85546875" style="8" customWidth="1"/>
    <col min="6664" max="6664" width="15.5703125" style="8" customWidth="1"/>
    <col min="6665" max="6665" width="16" style="8" customWidth="1"/>
    <col min="6666" max="6666" width="6.85546875" style="8"/>
    <col min="6667" max="6667" width="17.85546875" style="8" customWidth="1"/>
    <col min="6668" max="6912" width="6.85546875" style="8"/>
    <col min="6913" max="6913" width="39.7109375" style="8" customWidth="1"/>
    <col min="6914" max="6914" width="46.42578125" style="8" customWidth="1"/>
    <col min="6915" max="6918" width="0" style="8" hidden="1" customWidth="1"/>
    <col min="6919" max="6919" width="6.85546875" style="8" customWidth="1"/>
    <col min="6920" max="6920" width="15.5703125" style="8" customWidth="1"/>
    <col min="6921" max="6921" width="16" style="8" customWidth="1"/>
    <col min="6922" max="6922" width="6.85546875" style="8"/>
    <col min="6923" max="6923" width="17.85546875" style="8" customWidth="1"/>
    <col min="6924" max="7168" width="6.85546875" style="8"/>
    <col min="7169" max="7169" width="39.7109375" style="8" customWidth="1"/>
    <col min="7170" max="7170" width="46.42578125" style="8" customWidth="1"/>
    <col min="7171" max="7174" width="0" style="8" hidden="1" customWidth="1"/>
    <col min="7175" max="7175" width="6.85546875" style="8" customWidth="1"/>
    <col min="7176" max="7176" width="15.5703125" style="8" customWidth="1"/>
    <col min="7177" max="7177" width="16" style="8" customWidth="1"/>
    <col min="7178" max="7178" width="6.85546875" style="8"/>
    <col min="7179" max="7179" width="17.85546875" style="8" customWidth="1"/>
    <col min="7180" max="7424" width="6.85546875" style="8"/>
    <col min="7425" max="7425" width="39.7109375" style="8" customWidth="1"/>
    <col min="7426" max="7426" width="46.42578125" style="8" customWidth="1"/>
    <col min="7427" max="7430" width="0" style="8" hidden="1" customWidth="1"/>
    <col min="7431" max="7431" width="6.85546875" style="8" customWidth="1"/>
    <col min="7432" max="7432" width="15.5703125" style="8" customWidth="1"/>
    <col min="7433" max="7433" width="16" style="8" customWidth="1"/>
    <col min="7434" max="7434" width="6.85546875" style="8"/>
    <col min="7435" max="7435" width="17.85546875" style="8" customWidth="1"/>
    <col min="7436" max="7680" width="6.85546875" style="8"/>
    <col min="7681" max="7681" width="39.7109375" style="8" customWidth="1"/>
    <col min="7682" max="7682" width="46.42578125" style="8" customWidth="1"/>
    <col min="7683" max="7686" width="0" style="8" hidden="1" customWidth="1"/>
    <col min="7687" max="7687" width="6.85546875" style="8" customWidth="1"/>
    <col min="7688" max="7688" width="15.5703125" style="8" customWidth="1"/>
    <col min="7689" max="7689" width="16" style="8" customWidth="1"/>
    <col min="7690" max="7690" width="6.85546875" style="8"/>
    <col min="7691" max="7691" width="17.85546875" style="8" customWidth="1"/>
    <col min="7692" max="7936" width="6.85546875" style="8"/>
    <col min="7937" max="7937" width="39.7109375" style="8" customWidth="1"/>
    <col min="7938" max="7938" width="46.42578125" style="8" customWidth="1"/>
    <col min="7939" max="7942" width="0" style="8" hidden="1" customWidth="1"/>
    <col min="7943" max="7943" width="6.85546875" style="8" customWidth="1"/>
    <col min="7944" max="7944" width="15.5703125" style="8" customWidth="1"/>
    <col min="7945" max="7945" width="16" style="8" customWidth="1"/>
    <col min="7946" max="7946" width="6.85546875" style="8"/>
    <col min="7947" max="7947" width="17.85546875" style="8" customWidth="1"/>
    <col min="7948" max="8192" width="6.85546875" style="8"/>
    <col min="8193" max="8193" width="39.7109375" style="8" customWidth="1"/>
    <col min="8194" max="8194" width="46.42578125" style="8" customWidth="1"/>
    <col min="8195" max="8198" width="0" style="8" hidden="1" customWidth="1"/>
    <col min="8199" max="8199" width="6.85546875" style="8" customWidth="1"/>
    <col min="8200" max="8200" width="15.5703125" style="8" customWidth="1"/>
    <col min="8201" max="8201" width="16" style="8" customWidth="1"/>
    <col min="8202" max="8202" width="6.85546875" style="8"/>
    <col min="8203" max="8203" width="17.85546875" style="8" customWidth="1"/>
    <col min="8204" max="8448" width="6.85546875" style="8"/>
    <col min="8449" max="8449" width="39.7109375" style="8" customWidth="1"/>
    <col min="8450" max="8450" width="46.42578125" style="8" customWidth="1"/>
    <col min="8451" max="8454" width="0" style="8" hidden="1" customWidth="1"/>
    <col min="8455" max="8455" width="6.85546875" style="8" customWidth="1"/>
    <col min="8456" max="8456" width="15.5703125" style="8" customWidth="1"/>
    <col min="8457" max="8457" width="16" style="8" customWidth="1"/>
    <col min="8458" max="8458" width="6.85546875" style="8"/>
    <col min="8459" max="8459" width="17.85546875" style="8" customWidth="1"/>
    <col min="8460" max="8704" width="6.85546875" style="8"/>
    <col min="8705" max="8705" width="39.7109375" style="8" customWidth="1"/>
    <col min="8706" max="8706" width="46.42578125" style="8" customWidth="1"/>
    <col min="8707" max="8710" width="0" style="8" hidden="1" customWidth="1"/>
    <col min="8711" max="8711" width="6.85546875" style="8" customWidth="1"/>
    <col min="8712" max="8712" width="15.5703125" style="8" customWidth="1"/>
    <col min="8713" max="8713" width="16" style="8" customWidth="1"/>
    <col min="8714" max="8714" width="6.85546875" style="8"/>
    <col min="8715" max="8715" width="17.85546875" style="8" customWidth="1"/>
    <col min="8716" max="8960" width="6.85546875" style="8"/>
    <col min="8961" max="8961" width="39.7109375" style="8" customWidth="1"/>
    <col min="8962" max="8962" width="46.42578125" style="8" customWidth="1"/>
    <col min="8963" max="8966" width="0" style="8" hidden="1" customWidth="1"/>
    <col min="8967" max="8967" width="6.85546875" style="8" customWidth="1"/>
    <col min="8968" max="8968" width="15.5703125" style="8" customWidth="1"/>
    <col min="8969" max="8969" width="16" style="8" customWidth="1"/>
    <col min="8970" max="8970" width="6.85546875" style="8"/>
    <col min="8971" max="8971" width="17.85546875" style="8" customWidth="1"/>
    <col min="8972" max="9216" width="6.85546875" style="8"/>
    <col min="9217" max="9217" width="39.7109375" style="8" customWidth="1"/>
    <col min="9218" max="9218" width="46.42578125" style="8" customWidth="1"/>
    <col min="9219" max="9222" width="0" style="8" hidden="1" customWidth="1"/>
    <col min="9223" max="9223" width="6.85546875" style="8" customWidth="1"/>
    <col min="9224" max="9224" width="15.5703125" style="8" customWidth="1"/>
    <col min="9225" max="9225" width="16" style="8" customWidth="1"/>
    <col min="9226" max="9226" width="6.85546875" style="8"/>
    <col min="9227" max="9227" width="17.85546875" style="8" customWidth="1"/>
    <col min="9228" max="9472" width="6.85546875" style="8"/>
    <col min="9473" max="9473" width="39.7109375" style="8" customWidth="1"/>
    <col min="9474" max="9474" width="46.42578125" style="8" customWidth="1"/>
    <col min="9475" max="9478" width="0" style="8" hidden="1" customWidth="1"/>
    <col min="9479" max="9479" width="6.85546875" style="8" customWidth="1"/>
    <col min="9480" max="9480" width="15.5703125" style="8" customWidth="1"/>
    <col min="9481" max="9481" width="16" style="8" customWidth="1"/>
    <col min="9482" max="9482" width="6.85546875" style="8"/>
    <col min="9483" max="9483" width="17.85546875" style="8" customWidth="1"/>
    <col min="9484" max="9728" width="6.85546875" style="8"/>
    <col min="9729" max="9729" width="39.7109375" style="8" customWidth="1"/>
    <col min="9730" max="9730" width="46.42578125" style="8" customWidth="1"/>
    <col min="9731" max="9734" width="0" style="8" hidden="1" customWidth="1"/>
    <col min="9735" max="9735" width="6.85546875" style="8" customWidth="1"/>
    <col min="9736" max="9736" width="15.5703125" style="8" customWidth="1"/>
    <col min="9737" max="9737" width="16" style="8" customWidth="1"/>
    <col min="9738" max="9738" width="6.85546875" style="8"/>
    <col min="9739" max="9739" width="17.85546875" style="8" customWidth="1"/>
    <col min="9740" max="9984" width="6.85546875" style="8"/>
    <col min="9985" max="9985" width="39.7109375" style="8" customWidth="1"/>
    <col min="9986" max="9986" width="46.42578125" style="8" customWidth="1"/>
    <col min="9987" max="9990" width="0" style="8" hidden="1" customWidth="1"/>
    <col min="9991" max="9991" width="6.85546875" style="8" customWidth="1"/>
    <col min="9992" max="9992" width="15.5703125" style="8" customWidth="1"/>
    <col min="9993" max="9993" width="16" style="8" customWidth="1"/>
    <col min="9994" max="9994" width="6.85546875" style="8"/>
    <col min="9995" max="9995" width="17.85546875" style="8" customWidth="1"/>
    <col min="9996" max="10240" width="6.85546875" style="8"/>
    <col min="10241" max="10241" width="39.7109375" style="8" customWidth="1"/>
    <col min="10242" max="10242" width="46.42578125" style="8" customWidth="1"/>
    <col min="10243" max="10246" width="0" style="8" hidden="1" customWidth="1"/>
    <col min="10247" max="10247" width="6.85546875" style="8" customWidth="1"/>
    <col min="10248" max="10248" width="15.5703125" style="8" customWidth="1"/>
    <col min="10249" max="10249" width="16" style="8" customWidth="1"/>
    <col min="10250" max="10250" width="6.85546875" style="8"/>
    <col min="10251" max="10251" width="17.85546875" style="8" customWidth="1"/>
    <col min="10252" max="10496" width="6.85546875" style="8"/>
    <col min="10497" max="10497" width="39.7109375" style="8" customWidth="1"/>
    <col min="10498" max="10498" width="46.42578125" style="8" customWidth="1"/>
    <col min="10499" max="10502" width="0" style="8" hidden="1" customWidth="1"/>
    <col min="10503" max="10503" width="6.85546875" style="8" customWidth="1"/>
    <col min="10504" max="10504" width="15.5703125" style="8" customWidth="1"/>
    <col min="10505" max="10505" width="16" style="8" customWidth="1"/>
    <col min="10506" max="10506" width="6.85546875" style="8"/>
    <col min="10507" max="10507" width="17.85546875" style="8" customWidth="1"/>
    <col min="10508" max="10752" width="6.85546875" style="8"/>
    <col min="10753" max="10753" width="39.7109375" style="8" customWidth="1"/>
    <col min="10754" max="10754" width="46.42578125" style="8" customWidth="1"/>
    <col min="10755" max="10758" width="0" style="8" hidden="1" customWidth="1"/>
    <col min="10759" max="10759" width="6.85546875" style="8" customWidth="1"/>
    <col min="10760" max="10760" width="15.5703125" style="8" customWidth="1"/>
    <col min="10761" max="10761" width="16" style="8" customWidth="1"/>
    <col min="10762" max="10762" width="6.85546875" style="8"/>
    <col min="10763" max="10763" width="17.85546875" style="8" customWidth="1"/>
    <col min="10764" max="11008" width="6.85546875" style="8"/>
    <col min="11009" max="11009" width="39.7109375" style="8" customWidth="1"/>
    <col min="11010" max="11010" width="46.42578125" style="8" customWidth="1"/>
    <col min="11011" max="11014" width="0" style="8" hidden="1" customWidth="1"/>
    <col min="11015" max="11015" width="6.85546875" style="8" customWidth="1"/>
    <col min="11016" max="11016" width="15.5703125" style="8" customWidth="1"/>
    <col min="11017" max="11017" width="16" style="8" customWidth="1"/>
    <col min="11018" max="11018" width="6.85546875" style="8"/>
    <col min="11019" max="11019" width="17.85546875" style="8" customWidth="1"/>
    <col min="11020" max="11264" width="6.85546875" style="8"/>
    <col min="11265" max="11265" width="39.7109375" style="8" customWidth="1"/>
    <col min="11266" max="11266" width="46.42578125" style="8" customWidth="1"/>
    <col min="11267" max="11270" width="0" style="8" hidden="1" customWidth="1"/>
    <col min="11271" max="11271" width="6.85546875" style="8" customWidth="1"/>
    <col min="11272" max="11272" width="15.5703125" style="8" customWidth="1"/>
    <col min="11273" max="11273" width="16" style="8" customWidth="1"/>
    <col min="11274" max="11274" width="6.85546875" style="8"/>
    <col min="11275" max="11275" width="17.85546875" style="8" customWidth="1"/>
    <col min="11276" max="11520" width="6.85546875" style="8"/>
    <col min="11521" max="11521" width="39.7109375" style="8" customWidth="1"/>
    <col min="11522" max="11522" width="46.42578125" style="8" customWidth="1"/>
    <col min="11523" max="11526" width="0" style="8" hidden="1" customWidth="1"/>
    <col min="11527" max="11527" width="6.85546875" style="8" customWidth="1"/>
    <col min="11528" max="11528" width="15.5703125" style="8" customWidth="1"/>
    <col min="11529" max="11529" width="16" style="8" customWidth="1"/>
    <col min="11530" max="11530" width="6.85546875" style="8"/>
    <col min="11531" max="11531" width="17.85546875" style="8" customWidth="1"/>
    <col min="11532" max="11776" width="6.85546875" style="8"/>
    <col min="11777" max="11777" width="39.7109375" style="8" customWidth="1"/>
    <col min="11778" max="11778" width="46.42578125" style="8" customWidth="1"/>
    <col min="11779" max="11782" width="0" style="8" hidden="1" customWidth="1"/>
    <col min="11783" max="11783" width="6.85546875" style="8" customWidth="1"/>
    <col min="11784" max="11784" width="15.5703125" style="8" customWidth="1"/>
    <col min="11785" max="11785" width="16" style="8" customWidth="1"/>
    <col min="11786" max="11786" width="6.85546875" style="8"/>
    <col min="11787" max="11787" width="17.85546875" style="8" customWidth="1"/>
    <col min="11788" max="12032" width="6.85546875" style="8"/>
    <col min="12033" max="12033" width="39.7109375" style="8" customWidth="1"/>
    <col min="12034" max="12034" width="46.42578125" style="8" customWidth="1"/>
    <col min="12035" max="12038" width="0" style="8" hidden="1" customWidth="1"/>
    <col min="12039" max="12039" width="6.85546875" style="8" customWidth="1"/>
    <col min="12040" max="12040" width="15.5703125" style="8" customWidth="1"/>
    <col min="12041" max="12041" width="16" style="8" customWidth="1"/>
    <col min="12042" max="12042" width="6.85546875" style="8"/>
    <col min="12043" max="12043" width="17.85546875" style="8" customWidth="1"/>
    <col min="12044" max="12288" width="6.85546875" style="8"/>
    <col min="12289" max="12289" width="39.7109375" style="8" customWidth="1"/>
    <col min="12290" max="12290" width="46.42578125" style="8" customWidth="1"/>
    <col min="12291" max="12294" width="0" style="8" hidden="1" customWidth="1"/>
    <col min="12295" max="12295" width="6.85546875" style="8" customWidth="1"/>
    <col min="12296" max="12296" width="15.5703125" style="8" customWidth="1"/>
    <col min="12297" max="12297" width="16" style="8" customWidth="1"/>
    <col min="12298" max="12298" width="6.85546875" style="8"/>
    <col min="12299" max="12299" width="17.85546875" style="8" customWidth="1"/>
    <col min="12300" max="12544" width="6.85546875" style="8"/>
    <col min="12545" max="12545" width="39.7109375" style="8" customWidth="1"/>
    <col min="12546" max="12546" width="46.42578125" style="8" customWidth="1"/>
    <col min="12547" max="12550" width="0" style="8" hidden="1" customWidth="1"/>
    <col min="12551" max="12551" width="6.85546875" style="8" customWidth="1"/>
    <col min="12552" max="12552" width="15.5703125" style="8" customWidth="1"/>
    <col min="12553" max="12553" width="16" style="8" customWidth="1"/>
    <col min="12554" max="12554" width="6.85546875" style="8"/>
    <col min="12555" max="12555" width="17.85546875" style="8" customWidth="1"/>
    <col min="12556" max="12800" width="6.85546875" style="8"/>
    <col min="12801" max="12801" width="39.7109375" style="8" customWidth="1"/>
    <col min="12802" max="12802" width="46.42578125" style="8" customWidth="1"/>
    <col min="12803" max="12806" width="0" style="8" hidden="1" customWidth="1"/>
    <col min="12807" max="12807" width="6.85546875" style="8" customWidth="1"/>
    <col min="12808" max="12808" width="15.5703125" style="8" customWidth="1"/>
    <col min="12809" max="12809" width="16" style="8" customWidth="1"/>
    <col min="12810" max="12810" width="6.85546875" style="8"/>
    <col min="12811" max="12811" width="17.85546875" style="8" customWidth="1"/>
    <col min="12812" max="13056" width="6.85546875" style="8"/>
    <col min="13057" max="13057" width="39.7109375" style="8" customWidth="1"/>
    <col min="13058" max="13058" width="46.42578125" style="8" customWidth="1"/>
    <col min="13059" max="13062" width="0" style="8" hidden="1" customWidth="1"/>
    <col min="13063" max="13063" width="6.85546875" style="8" customWidth="1"/>
    <col min="13064" max="13064" width="15.5703125" style="8" customWidth="1"/>
    <col min="13065" max="13065" width="16" style="8" customWidth="1"/>
    <col min="13066" max="13066" width="6.85546875" style="8"/>
    <col min="13067" max="13067" width="17.85546875" style="8" customWidth="1"/>
    <col min="13068" max="13312" width="6.85546875" style="8"/>
    <col min="13313" max="13313" width="39.7109375" style="8" customWidth="1"/>
    <col min="13314" max="13314" width="46.42578125" style="8" customWidth="1"/>
    <col min="13315" max="13318" width="0" style="8" hidden="1" customWidth="1"/>
    <col min="13319" max="13319" width="6.85546875" style="8" customWidth="1"/>
    <col min="13320" max="13320" width="15.5703125" style="8" customWidth="1"/>
    <col min="13321" max="13321" width="16" style="8" customWidth="1"/>
    <col min="13322" max="13322" width="6.85546875" style="8"/>
    <col min="13323" max="13323" width="17.85546875" style="8" customWidth="1"/>
    <col min="13324" max="13568" width="6.85546875" style="8"/>
    <col min="13569" max="13569" width="39.7109375" style="8" customWidth="1"/>
    <col min="13570" max="13570" width="46.42578125" style="8" customWidth="1"/>
    <col min="13571" max="13574" width="0" style="8" hidden="1" customWidth="1"/>
    <col min="13575" max="13575" width="6.85546875" style="8" customWidth="1"/>
    <col min="13576" max="13576" width="15.5703125" style="8" customWidth="1"/>
    <col min="13577" max="13577" width="16" style="8" customWidth="1"/>
    <col min="13578" max="13578" width="6.85546875" style="8"/>
    <col min="13579" max="13579" width="17.85546875" style="8" customWidth="1"/>
    <col min="13580" max="13824" width="6.85546875" style="8"/>
    <col min="13825" max="13825" width="39.7109375" style="8" customWidth="1"/>
    <col min="13826" max="13826" width="46.42578125" style="8" customWidth="1"/>
    <col min="13827" max="13830" width="0" style="8" hidden="1" customWidth="1"/>
    <col min="13831" max="13831" width="6.85546875" style="8" customWidth="1"/>
    <col min="13832" max="13832" width="15.5703125" style="8" customWidth="1"/>
    <col min="13833" max="13833" width="16" style="8" customWidth="1"/>
    <col min="13834" max="13834" width="6.85546875" style="8"/>
    <col min="13835" max="13835" width="17.85546875" style="8" customWidth="1"/>
    <col min="13836" max="14080" width="6.85546875" style="8"/>
    <col min="14081" max="14081" width="39.7109375" style="8" customWidth="1"/>
    <col min="14082" max="14082" width="46.42578125" style="8" customWidth="1"/>
    <col min="14083" max="14086" width="0" style="8" hidden="1" customWidth="1"/>
    <col min="14087" max="14087" width="6.85546875" style="8" customWidth="1"/>
    <col min="14088" max="14088" width="15.5703125" style="8" customWidth="1"/>
    <col min="14089" max="14089" width="16" style="8" customWidth="1"/>
    <col min="14090" max="14090" width="6.85546875" style="8"/>
    <col min="14091" max="14091" width="17.85546875" style="8" customWidth="1"/>
    <col min="14092" max="14336" width="6.85546875" style="8"/>
    <col min="14337" max="14337" width="39.7109375" style="8" customWidth="1"/>
    <col min="14338" max="14338" width="46.42578125" style="8" customWidth="1"/>
    <col min="14339" max="14342" width="0" style="8" hidden="1" customWidth="1"/>
    <col min="14343" max="14343" width="6.85546875" style="8" customWidth="1"/>
    <col min="14344" max="14344" width="15.5703125" style="8" customWidth="1"/>
    <col min="14345" max="14345" width="16" style="8" customWidth="1"/>
    <col min="14346" max="14346" width="6.85546875" style="8"/>
    <col min="14347" max="14347" width="17.85546875" style="8" customWidth="1"/>
    <col min="14348" max="14592" width="6.85546875" style="8"/>
    <col min="14593" max="14593" width="39.7109375" style="8" customWidth="1"/>
    <col min="14594" max="14594" width="46.42578125" style="8" customWidth="1"/>
    <col min="14595" max="14598" width="0" style="8" hidden="1" customWidth="1"/>
    <col min="14599" max="14599" width="6.85546875" style="8" customWidth="1"/>
    <col min="14600" max="14600" width="15.5703125" style="8" customWidth="1"/>
    <col min="14601" max="14601" width="16" style="8" customWidth="1"/>
    <col min="14602" max="14602" width="6.85546875" style="8"/>
    <col min="14603" max="14603" width="17.85546875" style="8" customWidth="1"/>
    <col min="14604" max="14848" width="6.85546875" style="8"/>
    <col min="14849" max="14849" width="39.7109375" style="8" customWidth="1"/>
    <col min="14850" max="14850" width="46.42578125" style="8" customWidth="1"/>
    <col min="14851" max="14854" width="0" style="8" hidden="1" customWidth="1"/>
    <col min="14855" max="14855" width="6.85546875" style="8" customWidth="1"/>
    <col min="14856" max="14856" width="15.5703125" style="8" customWidth="1"/>
    <col min="14857" max="14857" width="16" style="8" customWidth="1"/>
    <col min="14858" max="14858" width="6.85546875" style="8"/>
    <col min="14859" max="14859" width="17.85546875" style="8" customWidth="1"/>
    <col min="14860" max="15104" width="6.85546875" style="8"/>
    <col min="15105" max="15105" width="39.7109375" style="8" customWidth="1"/>
    <col min="15106" max="15106" width="46.42578125" style="8" customWidth="1"/>
    <col min="15107" max="15110" width="0" style="8" hidden="1" customWidth="1"/>
    <col min="15111" max="15111" width="6.85546875" style="8" customWidth="1"/>
    <col min="15112" max="15112" width="15.5703125" style="8" customWidth="1"/>
    <col min="15113" max="15113" width="16" style="8" customWidth="1"/>
    <col min="15114" max="15114" width="6.85546875" style="8"/>
    <col min="15115" max="15115" width="17.85546875" style="8" customWidth="1"/>
    <col min="15116" max="15360" width="6.85546875" style="8"/>
    <col min="15361" max="15361" width="39.7109375" style="8" customWidth="1"/>
    <col min="15362" max="15362" width="46.42578125" style="8" customWidth="1"/>
    <col min="15363" max="15366" width="0" style="8" hidden="1" customWidth="1"/>
    <col min="15367" max="15367" width="6.85546875" style="8" customWidth="1"/>
    <col min="15368" max="15368" width="15.5703125" style="8" customWidth="1"/>
    <col min="15369" max="15369" width="16" style="8" customWidth="1"/>
    <col min="15370" max="15370" width="6.85546875" style="8"/>
    <col min="15371" max="15371" width="17.85546875" style="8" customWidth="1"/>
    <col min="15372" max="15616" width="6.85546875" style="8"/>
    <col min="15617" max="15617" width="39.7109375" style="8" customWidth="1"/>
    <col min="15618" max="15618" width="46.42578125" style="8" customWidth="1"/>
    <col min="15619" max="15622" width="0" style="8" hidden="1" customWidth="1"/>
    <col min="15623" max="15623" width="6.85546875" style="8" customWidth="1"/>
    <col min="15624" max="15624" width="15.5703125" style="8" customWidth="1"/>
    <col min="15625" max="15625" width="16" style="8" customWidth="1"/>
    <col min="15626" max="15626" width="6.85546875" style="8"/>
    <col min="15627" max="15627" width="17.85546875" style="8" customWidth="1"/>
    <col min="15628" max="15872" width="6.85546875" style="8"/>
    <col min="15873" max="15873" width="39.7109375" style="8" customWidth="1"/>
    <col min="15874" max="15874" width="46.42578125" style="8" customWidth="1"/>
    <col min="15875" max="15878" width="0" style="8" hidden="1" customWidth="1"/>
    <col min="15879" max="15879" width="6.85546875" style="8" customWidth="1"/>
    <col min="15880" max="15880" width="15.5703125" style="8" customWidth="1"/>
    <col min="15881" max="15881" width="16" style="8" customWidth="1"/>
    <col min="15882" max="15882" width="6.85546875" style="8"/>
    <col min="15883" max="15883" width="17.85546875" style="8" customWidth="1"/>
    <col min="15884" max="16128" width="6.85546875" style="8"/>
    <col min="16129" max="16129" width="39.7109375" style="8" customWidth="1"/>
    <col min="16130" max="16130" width="46.42578125" style="8" customWidth="1"/>
    <col min="16131" max="16134" width="0" style="8" hidden="1" customWidth="1"/>
    <col min="16135" max="16135" width="6.85546875" style="8" customWidth="1"/>
    <col min="16136" max="16136" width="15.5703125" style="8" customWidth="1"/>
    <col min="16137" max="16137" width="16" style="8" customWidth="1"/>
    <col min="16138" max="16138" width="6.85546875" style="8"/>
    <col min="16139" max="16139" width="17.85546875" style="8" customWidth="1"/>
    <col min="16140" max="16384" width="6.85546875" style="8"/>
  </cols>
  <sheetData>
    <row r="1" spans="1:11" ht="17.100000000000001" customHeight="1" x14ac:dyDescent="0.25">
      <c r="B1" s="9" t="s">
        <v>88</v>
      </c>
    </row>
    <row r="2" spans="1:11" ht="17.100000000000001" customHeight="1" x14ac:dyDescent="0.25">
      <c r="B2" s="8" t="s">
        <v>89</v>
      </c>
      <c r="C2" s="8" t="s">
        <v>90</v>
      </c>
      <c r="D2" s="8" t="s">
        <v>91</v>
      </c>
      <c r="E2" s="8" t="s">
        <v>92</v>
      </c>
      <c r="F2" s="8" t="s">
        <v>93</v>
      </c>
      <c r="H2" s="10" t="s">
        <v>91</v>
      </c>
      <c r="I2" s="10" t="s">
        <v>92</v>
      </c>
    </row>
    <row r="3" spans="1:11" ht="17.100000000000001" customHeight="1" x14ac:dyDescent="0.25">
      <c r="A3" s="11" t="s">
        <v>94</v>
      </c>
      <c r="B3" s="8" t="s">
        <v>95</v>
      </c>
      <c r="C3" s="12">
        <v>1887520</v>
      </c>
      <c r="D3" s="12">
        <v>0</v>
      </c>
      <c r="E3" s="12">
        <v>0</v>
      </c>
      <c r="F3" s="13">
        <v>1887520</v>
      </c>
      <c r="H3" s="24">
        <v>1887520</v>
      </c>
      <c r="I3" s="25"/>
    </row>
    <row r="4" spans="1:11" ht="17.100000000000001" customHeight="1" x14ac:dyDescent="0.25">
      <c r="A4" s="11" t="s">
        <v>94</v>
      </c>
      <c r="B4" s="8" t="s">
        <v>96</v>
      </c>
      <c r="C4" s="12">
        <v>466666</v>
      </c>
      <c r="D4" s="12">
        <v>0</v>
      </c>
      <c r="E4" s="12">
        <v>0</v>
      </c>
      <c r="F4" s="13">
        <v>466666</v>
      </c>
      <c r="H4" s="24">
        <v>466666</v>
      </c>
      <c r="I4" s="25"/>
    </row>
    <row r="5" spans="1:11" ht="17.100000000000001" customHeight="1" x14ac:dyDescent="0.25">
      <c r="A5" s="11" t="s">
        <v>94</v>
      </c>
      <c r="B5" s="8" t="s">
        <v>97</v>
      </c>
      <c r="C5" s="12">
        <v>30936638</v>
      </c>
      <c r="D5" s="12">
        <v>0</v>
      </c>
      <c r="E5" s="12">
        <v>0</v>
      </c>
      <c r="F5" s="13">
        <v>30936638</v>
      </c>
      <c r="H5" s="24">
        <v>30936638</v>
      </c>
      <c r="I5" s="25"/>
    </row>
    <row r="6" spans="1:11" ht="17.100000000000001" customHeight="1" x14ac:dyDescent="0.25">
      <c r="A6" s="11" t="s">
        <v>94</v>
      </c>
      <c r="B6" s="8" t="s">
        <v>98</v>
      </c>
      <c r="C6" s="12">
        <v>251102</v>
      </c>
      <c r="D6" s="12">
        <v>0</v>
      </c>
      <c r="E6" s="12">
        <v>0</v>
      </c>
      <c r="F6" s="13">
        <v>251102</v>
      </c>
      <c r="H6" s="24">
        <v>251102</v>
      </c>
      <c r="I6" s="25"/>
    </row>
    <row r="7" spans="1:11" ht="17.100000000000001" customHeight="1" x14ac:dyDescent="0.25">
      <c r="A7" s="11" t="s">
        <v>94</v>
      </c>
      <c r="B7" s="8" t="s">
        <v>99</v>
      </c>
      <c r="C7" s="12">
        <v>19420360</v>
      </c>
      <c r="D7" s="12">
        <v>2013200</v>
      </c>
      <c r="E7" s="12">
        <v>0</v>
      </c>
      <c r="F7" s="13">
        <v>21433560</v>
      </c>
      <c r="H7" s="24">
        <v>21433560</v>
      </c>
      <c r="I7" s="25"/>
    </row>
    <row r="8" spans="1:11" ht="17.100000000000001" customHeight="1" x14ac:dyDescent="0.25">
      <c r="A8" s="11" t="s">
        <v>94</v>
      </c>
      <c r="B8" s="8" t="s">
        <v>100</v>
      </c>
      <c r="C8" s="12">
        <v>50500</v>
      </c>
      <c r="D8" s="12">
        <v>0</v>
      </c>
      <c r="E8" s="12">
        <v>0</v>
      </c>
      <c r="F8" s="13">
        <v>50500</v>
      </c>
      <c r="H8" s="24">
        <v>50500</v>
      </c>
      <c r="I8" s="25"/>
    </row>
    <row r="9" spans="1:11" ht="17.100000000000001" customHeight="1" x14ac:dyDescent="0.25">
      <c r="A9" s="11" t="s">
        <v>94</v>
      </c>
      <c r="B9" s="8" t="s">
        <v>101</v>
      </c>
      <c r="C9" s="12">
        <v>6235352</v>
      </c>
      <c r="D9" s="12">
        <v>2659926.25</v>
      </c>
      <c r="E9" s="12">
        <v>2.25</v>
      </c>
      <c r="F9" s="13">
        <v>8895276</v>
      </c>
      <c r="H9" s="24">
        <v>8895276</v>
      </c>
      <c r="I9" s="25"/>
      <c r="K9" s="12">
        <f>SUM(H3:H9)</f>
        <v>63921262</v>
      </c>
    </row>
    <row r="10" spans="1:11" ht="17.100000000000001" customHeight="1" x14ac:dyDescent="0.25">
      <c r="A10" s="11" t="s">
        <v>102</v>
      </c>
      <c r="B10" s="8" t="s">
        <v>103</v>
      </c>
      <c r="C10" s="12">
        <v>-25974322</v>
      </c>
      <c r="D10" s="12">
        <v>0</v>
      </c>
      <c r="E10" s="12">
        <v>446608</v>
      </c>
      <c r="F10" s="13">
        <v>-26420930</v>
      </c>
      <c r="H10" s="26"/>
      <c r="I10" s="25">
        <v>-26420930</v>
      </c>
    </row>
    <row r="11" spans="1:11" ht="17.100000000000001" customHeight="1" x14ac:dyDescent="0.25">
      <c r="A11" s="11" t="s">
        <v>102</v>
      </c>
      <c r="B11" s="8" t="s">
        <v>104</v>
      </c>
      <c r="C11" s="12">
        <v>-805954</v>
      </c>
      <c r="D11" s="12">
        <v>0</v>
      </c>
      <c r="E11" s="12">
        <v>97341</v>
      </c>
      <c r="F11" s="13">
        <v>-903295</v>
      </c>
      <c r="H11" s="26"/>
      <c r="I11" s="25">
        <v>-903295</v>
      </c>
    </row>
    <row r="12" spans="1:11" ht="17.100000000000001" customHeight="1" x14ac:dyDescent="0.25">
      <c r="A12" s="11" t="s">
        <v>102</v>
      </c>
      <c r="B12" s="8" t="s">
        <v>105</v>
      </c>
      <c r="C12" s="12">
        <v>-122130</v>
      </c>
      <c r="D12" s="12">
        <v>0</v>
      </c>
      <c r="E12" s="12">
        <v>0</v>
      </c>
      <c r="F12" s="13">
        <v>-122130</v>
      </c>
      <c r="H12" s="26"/>
      <c r="I12" s="25">
        <v>-122130</v>
      </c>
    </row>
    <row r="13" spans="1:11" ht="17.100000000000001" customHeight="1" x14ac:dyDescent="0.25">
      <c r="A13" s="11" t="s">
        <v>102</v>
      </c>
      <c r="B13" s="8" t="s">
        <v>106</v>
      </c>
      <c r="C13" s="12">
        <v>-15779436</v>
      </c>
      <c r="D13" s="12">
        <v>0</v>
      </c>
      <c r="E13" s="12">
        <v>893512</v>
      </c>
      <c r="F13" s="13">
        <v>-16672948</v>
      </c>
      <c r="H13" s="26"/>
      <c r="I13" s="25">
        <v>-16672948</v>
      </c>
    </row>
    <row r="14" spans="1:11" ht="17.100000000000001" customHeight="1" x14ac:dyDescent="0.25">
      <c r="A14" s="11" t="s">
        <v>102</v>
      </c>
      <c r="B14" s="8" t="s">
        <v>107</v>
      </c>
      <c r="C14" s="12">
        <v>-33981</v>
      </c>
      <c r="D14" s="12">
        <v>0</v>
      </c>
      <c r="E14" s="12">
        <v>2478</v>
      </c>
      <c r="F14" s="13">
        <v>-36459</v>
      </c>
      <c r="H14" s="26"/>
      <c r="I14" s="25">
        <v>-36459</v>
      </c>
    </row>
    <row r="15" spans="1:11" ht="17.100000000000001" customHeight="1" x14ac:dyDescent="0.25">
      <c r="A15" s="11" t="s">
        <v>102</v>
      </c>
      <c r="B15" s="8" t="s">
        <v>108</v>
      </c>
      <c r="C15" s="12">
        <v>-4841894</v>
      </c>
      <c r="D15" s="12">
        <v>0</v>
      </c>
      <c r="E15" s="12">
        <v>379176</v>
      </c>
      <c r="F15" s="13">
        <v>-5221070</v>
      </c>
      <c r="H15" s="27"/>
      <c r="I15" s="25">
        <v>-5222691</v>
      </c>
      <c r="K15" s="28">
        <f>SUM(I10:I15)</f>
        <v>-49378453</v>
      </c>
    </row>
    <row r="16" spans="1:11" ht="17.100000000000001" customHeight="1" x14ac:dyDescent="0.25">
      <c r="A16" s="11" t="s">
        <v>109</v>
      </c>
      <c r="B16" s="8" t="s">
        <v>110</v>
      </c>
      <c r="C16" s="12">
        <v>175000</v>
      </c>
      <c r="D16" s="12">
        <v>0</v>
      </c>
      <c r="E16" s="12">
        <v>0</v>
      </c>
      <c r="F16" s="13">
        <v>175000</v>
      </c>
      <c r="H16" s="17">
        <v>175000</v>
      </c>
      <c r="I16" s="25"/>
      <c r="K16" s="12">
        <f>K15+K9</f>
        <v>14542809</v>
      </c>
    </row>
    <row r="17" spans="1:9" ht="17.100000000000001" customHeight="1" thickBot="1" x14ac:dyDescent="0.3">
      <c r="A17" s="11" t="s">
        <v>111</v>
      </c>
      <c r="B17" s="8" t="s">
        <v>112</v>
      </c>
      <c r="C17" s="12">
        <v>36102843</v>
      </c>
      <c r="D17" s="12">
        <v>0</v>
      </c>
      <c r="E17" s="12">
        <v>0</v>
      </c>
      <c r="F17" s="13">
        <v>36102843</v>
      </c>
      <c r="H17" s="17">
        <v>36102843</v>
      </c>
      <c r="I17" s="25"/>
    </row>
    <row r="18" spans="1:9" ht="17.100000000000001" customHeight="1" thickBot="1" x14ac:dyDescent="0.3">
      <c r="A18" s="11" t="s">
        <v>113</v>
      </c>
      <c r="B18" s="8" t="s">
        <v>114</v>
      </c>
      <c r="C18" s="12">
        <v>101703</v>
      </c>
      <c r="D18" s="12">
        <v>0</v>
      </c>
      <c r="E18" s="12">
        <v>0</v>
      </c>
      <c r="F18" s="15">
        <v>101703</v>
      </c>
      <c r="H18" s="17">
        <v>101703</v>
      </c>
      <c r="I18" s="25"/>
    </row>
    <row r="19" spans="1:9" ht="17.100000000000001" customHeight="1" x14ac:dyDescent="0.25">
      <c r="A19" s="11" t="s">
        <v>113</v>
      </c>
      <c r="B19" s="8" t="s">
        <v>115</v>
      </c>
      <c r="C19" s="12">
        <v>1000971</v>
      </c>
      <c r="D19" s="12">
        <v>0</v>
      </c>
      <c r="E19" s="12">
        <v>1000971</v>
      </c>
      <c r="F19" s="12">
        <v>0</v>
      </c>
      <c r="H19" s="27"/>
      <c r="I19" s="25"/>
    </row>
    <row r="20" spans="1:9" ht="17.100000000000001" customHeight="1" thickBot="1" x14ac:dyDescent="0.3">
      <c r="A20" s="11" t="s">
        <v>113</v>
      </c>
      <c r="B20" s="16" t="s">
        <v>116</v>
      </c>
      <c r="C20" s="12">
        <v>532602.55000000005</v>
      </c>
      <c r="D20" s="12">
        <v>0</v>
      </c>
      <c r="E20" s="12">
        <v>532602.67000000004</v>
      </c>
      <c r="F20" s="12">
        <v>-0.12</v>
      </c>
      <c r="H20" s="17">
        <v>1370058</v>
      </c>
      <c r="I20" s="25">
        <v>-0.12</v>
      </c>
    </row>
    <row r="21" spans="1:9" ht="17.100000000000001" customHeight="1" x14ac:dyDescent="0.25">
      <c r="A21" s="11" t="s">
        <v>117</v>
      </c>
      <c r="B21" s="8" t="s">
        <v>118</v>
      </c>
      <c r="C21" s="12">
        <v>0</v>
      </c>
      <c r="D21" s="12">
        <v>7003500</v>
      </c>
      <c r="E21" s="12">
        <v>5731000</v>
      </c>
      <c r="F21" s="18">
        <v>1272500</v>
      </c>
      <c r="H21" s="17">
        <v>1272500</v>
      </c>
      <c r="I21" s="25"/>
    </row>
    <row r="22" spans="1:9" ht="17.100000000000001" customHeight="1" x14ac:dyDescent="0.25">
      <c r="A22" s="11" t="s">
        <v>119</v>
      </c>
      <c r="B22" s="8" t="s">
        <v>120</v>
      </c>
      <c r="C22" s="12">
        <v>31266</v>
      </c>
      <c r="D22" s="12">
        <v>0</v>
      </c>
      <c r="E22" s="12">
        <v>0</v>
      </c>
      <c r="F22" s="19">
        <v>31266</v>
      </c>
      <c r="H22" s="17">
        <v>0</v>
      </c>
      <c r="I22" s="25"/>
    </row>
    <row r="23" spans="1:9" ht="17.100000000000001" customHeight="1" thickBot="1" x14ac:dyDescent="0.3">
      <c r="A23" s="11" t="s">
        <v>119</v>
      </c>
      <c r="B23" s="8" t="s">
        <v>121</v>
      </c>
      <c r="C23" s="12">
        <v>220448.54</v>
      </c>
      <c r="D23" s="12">
        <v>0</v>
      </c>
      <c r="E23" s="12">
        <v>0</v>
      </c>
      <c r="F23" s="20">
        <v>220448.54</v>
      </c>
      <c r="H23" s="196">
        <f>220448.54-220448.54</f>
        <v>0</v>
      </c>
      <c r="I23" s="25">
        <v>-912500</v>
      </c>
    </row>
    <row r="24" spans="1:9" ht="17.100000000000001" customHeight="1" x14ac:dyDescent="0.25">
      <c r="A24" s="11" t="s">
        <v>122</v>
      </c>
      <c r="B24" s="8" t="s">
        <v>123</v>
      </c>
      <c r="C24" s="12">
        <v>85143</v>
      </c>
      <c r="D24" s="12">
        <v>0</v>
      </c>
      <c r="E24" s="12">
        <v>0</v>
      </c>
      <c r="F24" s="13">
        <v>85143</v>
      </c>
      <c r="H24" s="17">
        <v>85143</v>
      </c>
      <c r="I24" s="25"/>
    </row>
    <row r="25" spans="1:9" ht="17.100000000000001" customHeight="1" thickBot="1" x14ac:dyDescent="0.3">
      <c r="A25" s="11" t="s">
        <v>122</v>
      </c>
      <c r="B25" s="8" t="s">
        <v>124</v>
      </c>
      <c r="C25" s="12">
        <v>7765695</v>
      </c>
      <c r="D25" s="12">
        <v>0</v>
      </c>
      <c r="E25" s="12">
        <v>7765695</v>
      </c>
      <c r="F25" s="12">
        <v>0</v>
      </c>
      <c r="H25" s="27"/>
      <c r="I25" s="25"/>
    </row>
    <row r="26" spans="1:9" ht="17.100000000000001" customHeight="1" x14ac:dyDescent="0.25">
      <c r="A26" s="21" t="s">
        <v>125</v>
      </c>
      <c r="B26" s="8" t="s">
        <v>126</v>
      </c>
      <c r="C26" s="12">
        <v>191129</v>
      </c>
      <c r="D26" s="12">
        <v>374280</v>
      </c>
      <c r="E26" s="12">
        <v>346836</v>
      </c>
      <c r="F26" s="18">
        <v>218573</v>
      </c>
      <c r="H26" s="17">
        <v>218573</v>
      </c>
      <c r="I26" s="25"/>
    </row>
    <row r="27" spans="1:9" ht="17.100000000000001" customHeight="1" thickBot="1" x14ac:dyDescent="0.3">
      <c r="A27" s="21" t="s">
        <v>125</v>
      </c>
      <c r="B27" s="8" t="s">
        <v>127</v>
      </c>
      <c r="C27" s="12">
        <v>0</v>
      </c>
      <c r="D27" s="12">
        <v>84750</v>
      </c>
      <c r="E27" s="12">
        <v>28250</v>
      </c>
      <c r="F27" s="20">
        <v>56500</v>
      </c>
      <c r="H27" s="29">
        <v>0</v>
      </c>
      <c r="I27" s="25">
        <v>-28250</v>
      </c>
    </row>
    <row r="28" spans="1:9" ht="17.100000000000001" customHeight="1" x14ac:dyDescent="0.25">
      <c r="A28" s="21" t="s">
        <v>128</v>
      </c>
      <c r="B28" s="8" t="s">
        <v>129</v>
      </c>
      <c r="C28" s="12">
        <v>317728</v>
      </c>
      <c r="D28" s="12">
        <v>0</v>
      </c>
      <c r="E28" s="12">
        <v>0</v>
      </c>
      <c r="F28" s="12">
        <v>317728</v>
      </c>
      <c r="H28" s="17">
        <v>317728</v>
      </c>
      <c r="I28" s="25"/>
    </row>
    <row r="29" spans="1:9" ht="17.100000000000001" customHeight="1" thickBot="1" x14ac:dyDescent="0.3">
      <c r="A29" s="21" t="s">
        <v>128</v>
      </c>
      <c r="B29" s="8" t="s">
        <v>130</v>
      </c>
      <c r="C29" s="12">
        <v>957703</v>
      </c>
      <c r="D29" s="12">
        <v>210000</v>
      </c>
      <c r="E29" s="12">
        <v>0</v>
      </c>
      <c r="F29" s="12">
        <v>1167703</v>
      </c>
      <c r="H29" s="17">
        <v>1167703</v>
      </c>
      <c r="I29" s="25"/>
    </row>
    <row r="30" spans="1:9" ht="17.100000000000001" customHeight="1" x14ac:dyDescent="0.25">
      <c r="A30" s="21" t="s">
        <v>131</v>
      </c>
      <c r="B30" s="8" t="s">
        <v>132</v>
      </c>
      <c r="C30" s="12">
        <v>28063</v>
      </c>
      <c r="D30" s="12">
        <v>1289000</v>
      </c>
      <c r="E30" s="12">
        <v>1316819</v>
      </c>
      <c r="F30" s="18">
        <v>244</v>
      </c>
      <c r="H30" s="17">
        <v>244</v>
      </c>
      <c r="I30" s="25"/>
    </row>
    <row r="31" spans="1:9" ht="17.100000000000001" customHeight="1" x14ac:dyDescent="0.25">
      <c r="A31" s="21" t="s">
        <v>131</v>
      </c>
      <c r="B31" s="8" t="s">
        <v>133</v>
      </c>
      <c r="C31" s="12">
        <v>35760308.100000001</v>
      </c>
      <c r="D31" s="12">
        <v>43925683.729999997</v>
      </c>
      <c r="E31" s="12">
        <v>35172709.960000001</v>
      </c>
      <c r="F31" s="19">
        <v>44513281.869999997</v>
      </c>
      <c r="H31" s="17">
        <v>44513281.869999997</v>
      </c>
      <c r="I31" s="25"/>
    </row>
    <row r="32" spans="1:9" ht="17.100000000000001" customHeight="1" thickBot="1" x14ac:dyDescent="0.3">
      <c r="A32" s="21" t="s">
        <v>131</v>
      </c>
      <c r="B32" s="8" t="s">
        <v>134</v>
      </c>
      <c r="C32" s="12">
        <v>2434425</v>
      </c>
      <c r="D32" s="12">
        <v>0</v>
      </c>
      <c r="E32" s="12">
        <v>0</v>
      </c>
      <c r="F32" s="20">
        <v>2434425</v>
      </c>
      <c r="H32" s="17">
        <v>2434425</v>
      </c>
      <c r="I32" s="25"/>
    </row>
    <row r="33" spans="1:9" ht="17.100000000000001" customHeight="1" x14ac:dyDescent="0.25">
      <c r="A33" s="21" t="s">
        <v>135</v>
      </c>
      <c r="B33" s="16" t="s">
        <v>136</v>
      </c>
      <c r="C33" s="12">
        <v>-30928.000000109998</v>
      </c>
      <c r="D33" s="12">
        <v>7229472</v>
      </c>
      <c r="E33" s="12">
        <v>7255240</v>
      </c>
      <c r="F33" s="12">
        <v>-56696.000000109998</v>
      </c>
      <c r="H33" s="27"/>
      <c r="I33" s="25">
        <v>-56696.000000109998</v>
      </c>
    </row>
    <row r="34" spans="1:9" ht="17.100000000000001" customHeight="1" x14ac:dyDescent="0.25">
      <c r="A34" s="21" t="s">
        <v>137</v>
      </c>
      <c r="B34" s="8" t="s">
        <v>138</v>
      </c>
      <c r="C34" s="12">
        <v>0</v>
      </c>
      <c r="D34" s="12">
        <v>0</v>
      </c>
      <c r="E34" s="12">
        <v>32500</v>
      </c>
      <c r="F34" s="12">
        <v>-32500</v>
      </c>
      <c r="H34" s="27"/>
      <c r="I34" s="25">
        <v>-32500</v>
      </c>
    </row>
    <row r="35" spans="1:9" ht="17.100000000000001" customHeight="1" x14ac:dyDescent="0.25">
      <c r="A35" s="21" t="s">
        <v>139</v>
      </c>
      <c r="B35" s="16" t="s">
        <v>140</v>
      </c>
      <c r="C35" s="12">
        <v>30420</v>
      </c>
      <c r="D35" s="12">
        <v>0</v>
      </c>
      <c r="E35" s="12">
        <v>0</v>
      </c>
      <c r="F35" s="12">
        <v>30420</v>
      </c>
      <c r="H35" s="24">
        <v>30420</v>
      </c>
      <c r="I35" s="25"/>
    </row>
    <row r="36" spans="1:9" ht="17.100000000000001" customHeight="1" x14ac:dyDescent="0.25">
      <c r="A36" s="21" t="s">
        <v>139</v>
      </c>
      <c r="B36" s="8" t="s">
        <v>141</v>
      </c>
      <c r="C36" s="12">
        <v>-52500</v>
      </c>
      <c r="D36" s="12">
        <v>54002</v>
      </c>
      <c r="E36" s="12">
        <v>0</v>
      </c>
      <c r="F36" s="12">
        <v>1502</v>
      </c>
      <c r="H36" s="25">
        <v>0</v>
      </c>
      <c r="I36" s="25"/>
    </row>
    <row r="37" spans="1:9" ht="17.100000000000001" customHeight="1" x14ac:dyDescent="0.25">
      <c r="A37" s="21" t="s">
        <v>139</v>
      </c>
      <c r="B37" s="8" t="s">
        <v>142</v>
      </c>
      <c r="C37" s="12">
        <v>-214169</v>
      </c>
      <c r="D37" s="12">
        <v>214169</v>
      </c>
      <c r="E37" s="12">
        <v>209118</v>
      </c>
      <c r="F37" s="12">
        <v>-209118</v>
      </c>
      <c r="H37" s="26"/>
      <c r="I37" s="25">
        <v>-209118</v>
      </c>
    </row>
    <row r="38" spans="1:9" ht="17.100000000000001" customHeight="1" x14ac:dyDescent="0.25">
      <c r="A38" s="21" t="s">
        <v>143</v>
      </c>
      <c r="B38" s="8" t="s">
        <v>144</v>
      </c>
      <c r="C38" s="12">
        <v>12</v>
      </c>
      <c r="D38" s="12">
        <v>16455396</v>
      </c>
      <c r="E38" s="12">
        <v>17956096</v>
      </c>
      <c r="F38" s="12">
        <v>-1500688</v>
      </c>
      <c r="H38" s="26"/>
      <c r="I38" s="25">
        <v>-1500688</v>
      </c>
    </row>
    <row r="39" spans="1:9" ht="17.100000000000001" customHeight="1" x14ac:dyDescent="0.25">
      <c r="A39" s="21" t="s">
        <v>143</v>
      </c>
      <c r="B39" s="8" t="s">
        <v>145</v>
      </c>
      <c r="C39" s="12">
        <v>-46826</v>
      </c>
      <c r="D39" s="12">
        <v>203486</v>
      </c>
      <c r="E39" s="12">
        <v>156660</v>
      </c>
      <c r="F39" s="12">
        <v>0</v>
      </c>
      <c r="H39" s="26"/>
      <c r="I39" s="25"/>
    </row>
    <row r="40" spans="1:9" ht="17.100000000000001" customHeight="1" x14ac:dyDescent="0.25">
      <c r="A40" s="21" t="s">
        <v>146</v>
      </c>
      <c r="B40" s="8" t="s">
        <v>147</v>
      </c>
      <c r="C40" s="12">
        <v>-27.52</v>
      </c>
      <c r="D40" s="12">
        <v>67242.02</v>
      </c>
      <c r="E40" s="12">
        <v>67214.5</v>
      </c>
      <c r="F40" s="12">
        <v>0</v>
      </c>
      <c r="H40" s="26"/>
      <c r="I40" s="25"/>
    </row>
    <row r="41" spans="1:9" ht="17.100000000000001" customHeight="1" x14ac:dyDescent="0.25">
      <c r="A41" s="21" t="s">
        <v>146</v>
      </c>
      <c r="B41" s="8" t="s">
        <v>148</v>
      </c>
      <c r="C41" s="12">
        <v>-2938</v>
      </c>
      <c r="D41" s="12">
        <v>41836</v>
      </c>
      <c r="E41" s="12">
        <v>42680</v>
      </c>
      <c r="F41" s="12">
        <v>-3782</v>
      </c>
      <c r="H41" s="26"/>
      <c r="I41" s="25">
        <v>-3782</v>
      </c>
    </row>
    <row r="42" spans="1:9" ht="17.100000000000001" customHeight="1" x14ac:dyDescent="0.25">
      <c r="A42" s="21" t="s">
        <v>146</v>
      </c>
      <c r="B42" s="8" t="s">
        <v>149</v>
      </c>
      <c r="C42" s="12">
        <v>0</v>
      </c>
      <c r="D42" s="12">
        <v>127823.89</v>
      </c>
      <c r="E42" s="12">
        <v>132527.89000000001</v>
      </c>
      <c r="F42" s="12">
        <v>-4704</v>
      </c>
      <c r="H42" s="26"/>
      <c r="I42" s="25">
        <v>-4704</v>
      </c>
    </row>
    <row r="43" spans="1:9" ht="17.100000000000001" customHeight="1" x14ac:dyDescent="0.25">
      <c r="A43" s="21" t="s">
        <v>146</v>
      </c>
      <c r="B43" s="8" t="s">
        <v>150</v>
      </c>
      <c r="C43" s="12">
        <v>0</v>
      </c>
      <c r="D43" s="12">
        <v>9305</v>
      </c>
      <c r="E43" s="12">
        <v>13253</v>
      </c>
      <c r="F43" s="12">
        <v>-3948</v>
      </c>
      <c r="H43" s="26"/>
      <c r="I43" s="25">
        <v>-3948</v>
      </c>
    </row>
    <row r="44" spans="1:9" ht="17.100000000000001" customHeight="1" x14ac:dyDescent="0.25">
      <c r="A44" s="21" t="s">
        <v>151</v>
      </c>
      <c r="B44" s="8" t="s">
        <v>152</v>
      </c>
      <c r="C44" s="12">
        <v>-40187859</v>
      </c>
      <c r="D44" s="12">
        <v>2534419</v>
      </c>
      <c r="E44" s="12">
        <v>912500</v>
      </c>
      <c r="F44" s="12">
        <v>-38565940</v>
      </c>
      <c r="H44" s="26"/>
      <c r="I44" s="25">
        <v>-37620672</v>
      </c>
    </row>
    <row r="45" spans="1:9" ht="17.100000000000001" customHeight="1" x14ac:dyDescent="0.25">
      <c r="A45" s="21" t="s">
        <v>151</v>
      </c>
      <c r="B45" s="8" t="s">
        <v>153</v>
      </c>
      <c r="C45" s="12">
        <v>-59427990</v>
      </c>
      <c r="D45" s="12">
        <v>0</v>
      </c>
      <c r="E45" s="12">
        <v>2310000</v>
      </c>
      <c r="F45" s="12">
        <v>-61737990</v>
      </c>
      <c r="H45" s="26"/>
      <c r="I45" s="25">
        <v>-61737990</v>
      </c>
    </row>
    <row r="46" spans="1:9" ht="17.100000000000001" customHeight="1" x14ac:dyDescent="0.25">
      <c r="A46" s="21" t="s">
        <v>154</v>
      </c>
      <c r="B46" s="8" t="s">
        <v>155</v>
      </c>
      <c r="C46" s="12">
        <v>-3108500</v>
      </c>
      <c r="D46" s="12">
        <v>3124500</v>
      </c>
      <c r="E46" s="12">
        <v>6091000</v>
      </c>
      <c r="F46" s="12">
        <v>-6075000</v>
      </c>
      <c r="H46" s="26"/>
      <c r="I46" s="25">
        <v>-6075000</v>
      </c>
    </row>
    <row r="47" spans="1:9" ht="17.100000000000001" customHeight="1" x14ac:dyDescent="0.25">
      <c r="A47" s="21" t="s">
        <v>154</v>
      </c>
      <c r="B47" s="8" t="s">
        <v>156</v>
      </c>
      <c r="C47" s="12">
        <v>-100000</v>
      </c>
      <c r="D47" s="12">
        <v>100000</v>
      </c>
      <c r="E47" s="12">
        <v>70000</v>
      </c>
      <c r="F47" s="12">
        <v>-70000</v>
      </c>
      <c r="H47" s="26"/>
      <c r="I47" s="25">
        <v>-70000</v>
      </c>
    </row>
    <row r="48" spans="1:9" ht="17.100000000000001" customHeight="1" x14ac:dyDescent="0.25">
      <c r="A48" s="21" t="s">
        <v>154</v>
      </c>
      <c r="B48" s="8" t="s">
        <v>157</v>
      </c>
      <c r="C48" s="12">
        <v>-6000</v>
      </c>
      <c r="D48" s="12">
        <v>6000</v>
      </c>
      <c r="E48" s="12">
        <v>6000</v>
      </c>
      <c r="F48" s="12">
        <v>-6000</v>
      </c>
      <c r="H48" s="26"/>
      <c r="I48" s="25">
        <v>-6000</v>
      </c>
    </row>
    <row r="49" spans="1:9" ht="17.100000000000001" customHeight="1" x14ac:dyDescent="0.25">
      <c r="A49" s="21" t="s">
        <v>154</v>
      </c>
      <c r="B49" s="8" t="s">
        <v>158</v>
      </c>
      <c r="C49" s="12">
        <v>-25500</v>
      </c>
      <c r="D49" s="12">
        <v>25500</v>
      </c>
      <c r="E49" s="12">
        <v>14500</v>
      </c>
      <c r="F49" s="12">
        <v>-14500</v>
      </c>
      <c r="H49" s="26"/>
      <c r="I49" s="25">
        <v>-14500</v>
      </c>
    </row>
    <row r="50" spans="1:9" ht="17.100000000000001" customHeight="1" x14ac:dyDescent="0.25">
      <c r="A50" s="21" t="s">
        <v>154</v>
      </c>
      <c r="B50" s="8" t="s">
        <v>159</v>
      </c>
      <c r="C50" s="12">
        <v>-4700</v>
      </c>
      <c r="D50" s="12">
        <v>4700</v>
      </c>
      <c r="E50" s="12">
        <v>16200</v>
      </c>
      <c r="F50" s="12">
        <v>-16200</v>
      </c>
      <c r="H50" s="26"/>
      <c r="I50" s="25">
        <v>-16200</v>
      </c>
    </row>
    <row r="51" spans="1:9" ht="17.100000000000001" customHeight="1" x14ac:dyDescent="0.25">
      <c r="A51" s="21" t="s">
        <v>160</v>
      </c>
      <c r="B51" s="8" t="s">
        <v>161</v>
      </c>
      <c r="C51" s="12">
        <v>-2724970</v>
      </c>
      <c r="D51" s="12">
        <v>2724970</v>
      </c>
      <c r="E51" s="12">
        <v>7183302</v>
      </c>
      <c r="F51" s="12">
        <v>-7183302</v>
      </c>
      <c r="H51" s="26"/>
      <c r="I51" s="25">
        <v>-7183302</v>
      </c>
    </row>
    <row r="52" spans="1:9" ht="17.100000000000001" customHeight="1" x14ac:dyDescent="0.25">
      <c r="A52" s="21" t="s">
        <v>160</v>
      </c>
      <c r="B52" s="8" t="s">
        <v>162</v>
      </c>
      <c r="C52" s="12">
        <v>-3938118.29</v>
      </c>
      <c r="D52" s="12">
        <v>3938118</v>
      </c>
      <c r="E52" s="12">
        <v>4247128</v>
      </c>
      <c r="F52" s="12">
        <v>-4247128.29</v>
      </c>
      <c r="H52" s="26"/>
      <c r="I52" s="25">
        <v>-4247128.29</v>
      </c>
    </row>
    <row r="53" spans="1:9" ht="17.100000000000001" customHeight="1" x14ac:dyDescent="0.25">
      <c r="A53" s="21" t="s">
        <v>160</v>
      </c>
      <c r="B53" s="8" t="s">
        <v>163</v>
      </c>
      <c r="C53" s="12">
        <v>-3880800</v>
      </c>
      <c r="D53" s="12">
        <v>3880800</v>
      </c>
      <c r="E53" s="12">
        <v>4185445</v>
      </c>
      <c r="F53" s="12">
        <v>-4185445</v>
      </c>
      <c r="H53" s="26"/>
      <c r="I53" s="25">
        <v>-4185445</v>
      </c>
    </row>
    <row r="54" spans="1:9" ht="17.100000000000001" customHeight="1" x14ac:dyDescent="0.25">
      <c r="A54" s="21" t="s">
        <v>164</v>
      </c>
      <c r="B54" s="8" t="s">
        <v>165</v>
      </c>
      <c r="C54" s="12">
        <v>1028</v>
      </c>
      <c r="D54" s="12">
        <v>0</v>
      </c>
      <c r="E54" s="12">
        <v>1028</v>
      </c>
      <c r="F54" s="12">
        <v>0</v>
      </c>
      <c r="H54" s="26"/>
      <c r="I54" s="25">
        <v>0</v>
      </c>
    </row>
    <row r="55" spans="1:9" ht="17.100000000000001" customHeight="1" x14ac:dyDescent="0.25">
      <c r="A55" s="21" t="s">
        <v>166</v>
      </c>
      <c r="B55" s="8" t="s">
        <v>167</v>
      </c>
      <c r="C55" s="12">
        <v>0</v>
      </c>
      <c r="D55" s="12">
        <v>0</v>
      </c>
      <c r="E55" s="12">
        <v>36475</v>
      </c>
      <c r="F55" s="12">
        <v>-36475</v>
      </c>
      <c r="H55" s="26"/>
      <c r="I55" s="25">
        <v>-36475</v>
      </c>
    </row>
    <row r="56" spans="1:9" ht="17.100000000000001" customHeight="1" x14ac:dyDescent="0.25">
      <c r="A56" s="21" t="s">
        <v>168</v>
      </c>
      <c r="B56" s="8" t="s">
        <v>169</v>
      </c>
      <c r="C56" s="12">
        <v>14618405</v>
      </c>
      <c r="D56" s="12">
        <v>19263275</v>
      </c>
      <c r="E56" s="12">
        <v>15256964</v>
      </c>
      <c r="F56" s="12">
        <v>18624716</v>
      </c>
      <c r="H56" s="24">
        <v>18624716</v>
      </c>
      <c r="I56" s="25"/>
    </row>
    <row r="57" spans="1:9" ht="17.100000000000001" customHeight="1" x14ac:dyDescent="0.25">
      <c r="A57" s="21" t="s">
        <v>168</v>
      </c>
      <c r="B57" s="8" t="s">
        <v>170</v>
      </c>
      <c r="C57" s="12">
        <v>253187</v>
      </c>
      <c r="D57" s="12">
        <v>69390</v>
      </c>
      <c r="E57" s="12">
        <v>253187</v>
      </c>
      <c r="F57" s="12">
        <v>69390</v>
      </c>
      <c r="H57" s="24">
        <v>69390</v>
      </c>
      <c r="I57" s="25"/>
    </row>
    <row r="58" spans="1:9" ht="17.100000000000001" customHeight="1" x14ac:dyDescent="0.25">
      <c r="A58" s="21" t="s">
        <v>168</v>
      </c>
      <c r="B58" s="8" t="s">
        <v>171</v>
      </c>
      <c r="C58" s="12">
        <v>265767</v>
      </c>
      <c r="D58" s="12">
        <v>254613</v>
      </c>
      <c r="E58" s="12">
        <v>265767</v>
      </c>
      <c r="F58" s="12">
        <v>254613</v>
      </c>
      <c r="H58" s="24">
        <v>254613</v>
      </c>
      <c r="I58" s="25"/>
    </row>
    <row r="59" spans="1:9" ht="17.100000000000001" customHeight="1" x14ac:dyDescent="0.25">
      <c r="A59" s="21" t="s">
        <v>168</v>
      </c>
      <c r="B59" s="8" t="s">
        <v>172</v>
      </c>
      <c r="C59" s="12">
        <v>0</v>
      </c>
      <c r="D59" s="12">
        <v>64000</v>
      </c>
      <c r="E59" s="12">
        <v>0</v>
      </c>
      <c r="F59" s="12">
        <v>64000</v>
      </c>
      <c r="H59" s="24">
        <v>64000</v>
      </c>
      <c r="I59" s="25"/>
    </row>
    <row r="60" spans="1:9" ht="17.100000000000001" customHeight="1" x14ac:dyDescent="0.25">
      <c r="A60" s="21" t="s">
        <v>168</v>
      </c>
      <c r="B60" s="8" t="s">
        <v>173</v>
      </c>
      <c r="C60" s="12">
        <v>54500</v>
      </c>
      <c r="D60" s="12">
        <v>0</v>
      </c>
      <c r="E60" s="12">
        <v>54500</v>
      </c>
      <c r="F60" s="12">
        <v>0</v>
      </c>
      <c r="H60" s="24">
        <v>0</v>
      </c>
      <c r="I60" s="25"/>
    </row>
    <row r="61" spans="1:9" ht="17.100000000000001" customHeight="1" x14ac:dyDescent="0.25">
      <c r="A61" s="21" t="s">
        <v>168</v>
      </c>
      <c r="B61" s="8" t="s">
        <v>174</v>
      </c>
      <c r="C61" s="12">
        <v>552354</v>
      </c>
      <c r="D61" s="12">
        <v>792300</v>
      </c>
      <c r="E61" s="12">
        <v>552354</v>
      </c>
      <c r="F61" s="12">
        <v>792300</v>
      </c>
      <c r="H61" s="24">
        <v>792300</v>
      </c>
      <c r="I61" s="25"/>
    </row>
    <row r="62" spans="1:9" ht="17.100000000000001" customHeight="1" x14ac:dyDescent="0.25">
      <c r="A62" s="21" t="s">
        <v>168</v>
      </c>
      <c r="B62" s="8" t="s">
        <v>175</v>
      </c>
      <c r="C62" s="12">
        <v>0</v>
      </c>
      <c r="D62" s="12">
        <v>480895</v>
      </c>
      <c r="E62" s="12">
        <v>595955</v>
      </c>
      <c r="F62" s="12">
        <v>-115060</v>
      </c>
      <c r="H62" s="198">
        <v>105388.54</v>
      </c>
      <c r="I62" s="197">
        <f>-115060+115060</f>
        <v>0</v>
      </c>
    </row>
    <row r="63" spans="1:9" ht="17.100000000000001" customHeight="1" x14ac:dyDescent="0.25">
      <c r="A63" s="21" t="s">
        <v>176</v>
      </c>
      <c r="B63" s="8" t="s">
        <v>177</v>
      </c>
      <c r="C63" s="12">
        <v>833935</v>
      </c>
      <c r="D63" s="12">
        <v>1014204</v>
      </c>
      <c r="E63" s="12">
        <v>833935</v>
      </c>
      <c r="F63" s="12">
        <v>1014204</v>
      </c>
      <c r="H63" s="24">
        <v>1014204</v>
      </c>
      <c r="I63" s="25"/>
    </row>
    <row r="64" spans="1:9" ht="17.100000000000001" customHeight="1" x14ac:dyDescent="0.25">
      <c r="A64" s="21" t="s">
        <v>176</v>
      </c>
      <c r="B64" s="8" t="s">
        <v>178</v>
      </c>
      <c r="C64" s="12">
        <v>29580</v>
      </c>
      <c r="D64" s="12">
        <v>58060</v>
      </c>
      <c r="E64" s="12">
        <v>29580</v>
      </c>
      <c r="F64" s="12">
        <v>58060</v>
      </c>
      <c r="H64" s="24">
        <v>58060</v>
      </c>
      <c r="I64" s="25"/>
    </row>
    <row r="65" spans="1:9" ht="17.100000000000001" customHeight="1" x14ac:dyDescent="0.25">
      <c r="A65" s="21" t="s">
        <v>176</v>
      </c>
      <c r="B65" s="8" t="s">
        <v>179</v>
      </c>
      <c r="C65" s="12">
        <v>0</v>
      </c>
      <c r="D65" s="12">
        <v>113123</v>
      </c>
      <c r="E65" s="12">
        <v>0</v>
      </c>
      <c r="F65" s="12">
        <v>113123</v>
      </c>
      <c r="H65" s="24">
        <v>113123</v>
      </c>
      <c r="I65" s="25"/>
    </row>
    <row r="66" spans="1:9" ht="17.100000000000001" customHeight="1" x14ac:dyDescent="0.25">
      <c r="A66" s="21" t="s">
        <v>180</v>
      </c>
      <c r="B66" s="8" t="s">
        <v>181</v>
      </c>
      <c r="C66" s="12">
        <v>24550</v>
      </c>
      <c r="D66" s="12">
        <v>16900</v>
      </c>
      <c r="E66" s="12">
        <v>24550</v>
      </c>
      <c r="F66" s="12">
        <v>16900</v>
      </c>
      <c r="H66" s="24">
        <v>16900</v>
      </c>
      <c r="I66" s="25"/>
    </row>
    <row r="67" spans="1:9" ht="17.100000000000001" customHeight="1" x14ac:dyDescent="0.25">
      <c r="A67" s="21" t="s">
        <v>180</v>
      </c>
      <c r="B67" s="8" t="s">
        <v>182</v>
      </c>
      <c r="C67" s="12">
        <v>105153</v>
      </c>
      <c r="D67" s="12">
        <v>61717</v>
      </c>
      <c r="E67" s="12">
        <v>105153</v>
      </c>
      <c r="F67" s="12">
        <v>61717</v>
      </c>
      <c r="H67" s="24">
        <v>61717</v>
      </c>
      <c r="I67" s="25"/>
    </row>
    <row r="68" spans="1:9" ht="17.100000000000001" customHeight="1" x14ac:dyDescent="0.25">
      <c r="A68" s="21" t="s">
        <v>180</v>
      </c>
      <c r="B68" s="8" t="s">
        <v>183</v>
      </c>
      <c r="C68" s="12">
        <v>0</v>
      </c>
      <c r="D68" s="12">
        <v>3900</v>
      </c>
      <c r="E68" s="12">
        <v>0</v>
      </c>
      <c r="F68" s="12">
        <v>3900</v>
      </c>
      <c r="H68" s="24">
        <v>3900</v>
      </c>
      <c r="I68" s="25"/>
    </row>
    <row r="69" spans="1:9" ht="17.100000000000001" customHeight="1" x14ac:dyDescent="0.25">
      <c r="A69" s="21" t="s">
        <v>180</v>
      </c>
      <c r="B69" s="8" t="s">
        <v>184</v>
      </c>
      <c r="C69" s="12">
        <v>1864</v>
      </c>
      <c r="D69" s="12">
        <v>4600</v>
      </c>
      <c r="E69" s="12">
        <v>1864</v>
      </c>
      <c r="F69" s="12">
        <v>4600</v>
      </c>
      <c r="H69" s="24">
        <v>4600</v>
      </c>
      <c r="I69" s="25"/>
    </row>
    <row r="70" spans="1:9" ht="17.100000000000001" customHeight="1" x14ac:dyDescent="0.25">
      <c r="A70" s="21" t="s">
        <v>180</v>
      </c>
      <c r="B70" s="8" t="s">
        <v>185</v>
      </c>
      <c r="C70" s="12">
        <v>36271</v>
      </c>
      <c r="D70" s="12">
        <v>347290</v>
      </c>
      <c r="E70" s="12">
        <v>36272</v>
      </c>
      <c r="F70" s="12">
        <v>347289</v>
      </c>
      <c r="H70" s="24">
        <v>347289</v>
      </c>
      <c r="I70" s="25"/>
    </row>
    <row r="71" spans="1:9" ht="17.100000000000001" customHeight="1" x14ac:dyDescent="0.25">
      <c r="A71" s="21" t="s">
        <v>186</v>
      </c>
      <c r="B71" s="8" t="s">
        <v>187</v>
      </c>
      <c r="C71" s="12">
        <v>207121</v>
      </c>
      <c r="D71" s="12">
        <v>580494</v>
      </c>
      <c r="E71" s="12">
        <v>207121.39</v>
      </c>
      <c r="F71" s="12">
        <v>580493.61</v>
      </c>
      <c r="H71" s="24">
        <v>580493.61</v>
      </c>
      <c r="I71" s="25"/>
    </row>
    <row r="72" spans="1:9" ht="17.100000000000001" customHeight="1" x14ac:dyDescent="0.25">
      <c r="A72" s="21" t="s">
        <v>186</v>
      </c>
      <c r="B72" s="8" t="s">
        <v>188</v>
      </c>
      <c r="C72" s="12">
        <v>38900</v>
      </c>
      <c r="D72" s="12">
        <v>35200</v>
      </c>
      <c r="E72" s="12">
        <v>38900</v>
      </c>
      <c r="F72" s="12">
        <v>35200</v>
      </c>
      <c r="H72" s="24">
        <v>35200</v>
      </c>
      <c r="I72" s="25"/>
    </row>
    <row r="73" spans="1:9" ht="17.100000000000001" customHeight="1" x14ac:dyDescent="0.25">
      <c r="A73" s="21" t="s">
        <v>186</v>
      </c>
      <c r="B73" s="8" t="s">
        <v>189</v>
      </c>
      <c r="C73" s="12">
        <v>9306</v>
      </c>
      <c r="D73" s="12">
        <v>100</v>
      </c>
      <c r="E73" s="12">
        <v>9306</v>
      </c>
      <c r="F73" s="12">
        <v>100</v>
      </c>
      <c r="H73" s="24">
        <v>100</v>
      </c>
      <c r="I73" s="25"/>
    </row>
    <row r="74" spans="1:9" ht="17.100000000000001" customHeight="1" x14ac:dyDescent="0.25">
      <c r="A74" s="21" t="s">
        <v>186</v>
      </c>
      <c r="B74" s="8" t="s">
        <v>190</v>
      </c>
      <c r="C74" s="12">
        <v>0</v>
      </c>
      <c r="D74" s="12">
        <v>11750</v>
      </c>
      <c r="E74" s="12">
        <v>0</v>
      </c>
      <c r="F74" s="12">
        <v>11750</v>
      </c>
      <c r="H74" s="24">
        <v>11750</v>
      </c>
      <c r="I74" s="25"/>
    </row>
    <row r="75" spans="1:9" ht="17.100000000000001" customHeight="1" x14ac:dyDescent="0.25">
      <c r="A75" s="21" t="s">
        <v>186</v>
      </c>
      <c r="B75" s="8" t="s">
        <v>191</v>
      </c>
      <c r="C75" s="12">
        <v>14300</v>
      </c>
      <c r="D75" s="12">
        <v>13950</v>
      </c>
      <c r="E75" s="12">
        <v>14300</v>
      </c>
      <c r="F75" s="12">
        <v>13950</v>
      </c>
      <c r="H75" s="24">
        <v>13950</v>
      </c>
      <c r="I75" s="25"/>
    </row>
    <row r="76" spans="1:9" ht="17.100000000000001" customHeight="1" x14ac:dyDescent="0.25">
      <c r="A76" s="21" t="s">
        <v>186</v>
      </c>
      <c r="B76" s="8" t="s">
        <v>192</v>
      </c>
      <c r="C76" s="12">
        <v>0</v>
      </c>
      <c r="D76" s="12">
        <v>7500</v>
      </c>
      <c r="E76" s="12">
        <v>0</v>
      </c>
      <c r="F76" s="12">
        <v>7500</v>
      </c>
      <c r="H76" s="24">
        <v>7500</v>
      </c>
      <c r="I76" s="25"/>
    </row>
    <row r="77" spans="1:9" ht="17.100000000000001" customHeight="1" x14ac:dyDescent="0.25">
      <c r="A77" s="21" t="s">
        <v>186</v>
      </c>
      <c r="B77" s="8" t="s">
        <v>193</v>
      </c>
      <c r="C77" s="12">
        <v>700</v>
      </c>
      <c r="D77" s="12">
        <v>0</v>
      </c>
      <c r="E77" s="12">
        <v>700</v>
      </c>
      <c r="F77" s="12">
        <v>0</v>
      </c>
      <c r="H77" s="24">
        <v>0</v>
      </c>
      <c r="I77" s="25"/>
    </row>
    <row r="78" spans="1:9" ht="17.100000000000001" customHeight="1" x14ac:dyDescent="0.25">
      <c r="A78" s="21" t="s">
        <v>186</v>
      </c>
      <c r="B78" s="8" t="s">
        <v>194</v>
      </c>
      <c r="C78" s="12">
        <v>559731</v>
      </c>
      <c r="D78" s="12">
        <v>248601</v>
      </c>
      <c r="E78" s="12">
        <v>559731.25</v>
      </c>
      <c r="F78" s="12">
        <v>248600.75</v>
      </c>
      <c r="H78" s="24">
        <v>248600.75</v>
      </c>
      <c r="I78" s="25"/>
    </row>
    <row r="79" spans="1:9" ht="17.100000000000001" customHeight="1" x14ac:dyDescent="0.25">
      <c r="A79" s="21" t="s">
        <v>195</v>
      </c>
      <c r="B79" s="8" t="s">
        <v>196</v>
      </c>
      <c r="C79" s="12">
        <v>0</v>
      </c>
      <c r="D79" s="12">
        <v>1700</v>
      </c>
      <c r="E79" s="12">
        <v>0</v>
      </c>
      <c r="F79" s="12">
        <v>1700</v>
      </c>
      <c r="H79" s="24">
        <v>1700</v>
      </c>
      <c r="I79" s="25"/>
    </row>
    <row r="80" spans="1:9" ht="17.100000000000001" customHeight="1" x14ac:dyDescent="0.25">
      <c r="A80" s="21" t="s">
        <v>195</v>
      </c>
      <c r="B80" s="8" t="s">
        <v>197</v>
      </c>
      <c r="C80" s="12">
        <v>-11999</v>
      </c>
      <c r="D80" s="12">
        <v>462207.66</v>
      </c>
      <c r="E80" s="12">
        <v>60.02</v>
      </c>
      <c r="F80" s="12">
        <v>450148.64</v>
      </c>
      <c r="H80" s="24">
        <v>450148.64</v>
      </c>
      <c r="I80" s="25"/>
    </row>
    <row r="81" spans="1:9" ht="17.100000000000001" customHeight="1" x14ac:dyDescent="0.25">
      <c r="A81" s="21" t="s">
        <v>198</v>
      </c>
      <c r="B81" s="8" t="s">
        <v>199</v>
      </c>
      <c r="C81" s="12">
        <v>244847</v>
      </c>
      <c r="D81" s="12">
        <v>164741</v>
      </c>
      <c r="E81" s="12">
        <v>244847</v>
      </c>
      <c r="F81" s="12">
        <v>164741</v>
      </c>
      <c r="H81" s="24">
        <v>164741</v>
      </c>
      <c r="I81" s="25"/>
    </row>
    <row r="82" spans="1:9" ht="17.100000000000001" customHeight="1" x14ac:dyDescent="0.25">
      <c r="A82" s="21" t="s">
        <v>198</v>
      </c>
      <c r="B82" s="8" t="s">
        <v>200</v>
      </c>
      <c r="C82" s="12">
        <v>45642</v>
      </c>
      <c r="D82" s="12">
        <v>8322</v>
      </c>
      <c r="E82" s="12">
        <v>45642</v>
      </c>
      <c r="F82" s="12">
        <v>8322</v>
      </c>
      <c r="H82" s="24">
        <v>8322</v>
      </c>
      <c r="I82" s="25"/>
    </row>
    <row r="83" spans="1:9" ht="17.100000000000001" customHeight="1" x14ac:dyDescent="0.25">
      <c r="A83" s="21" t="s">
        <v>198</v>
      </c>
      <c r="B83" s="8" t="s">
        <v>201</v>
      </c>
      <c r="C83" s="12">
        <v>85801</v>
      </c>
      <c r="D83" s="12">
        <v>151377</v>
      </c>
      <c r="E83" s="12">
        <v>85801</v>
      </c>
      <c r="F83" s="12">
        <v>151377</v>
      </c>
      <c r="H83" s="24">
        <v>151377</v>
      </c>
      <c r="I83" s="25"/>
    </row>
    <row r="84" spans="1:9" ht="17.100000000000001" customHeight="1" x14ac:dyDescent="0.25">
      <c r="A84" s="21" t="s">
        <v>198</v>
      </c>
      <c r="B84" s="8" t="s">
        <v>202</v>
      </c>
      <c r="C84" s="12">
        <v>0</v>
      </c>
      <c r="D84" s="12">
        <v>35300</v>
      </c>
      <c r="E84" s="12">
        <v>0</v>
      </c>
      <c r="F84" s="12">
        <v>35300</v>
      </c>
      <c r="H84" s="24">
        <v>35300</v>
      </c>
      <c r="I84" s="25"/>
    </row>
    <row r="85" spans="1:9" ht="17.100000000000001" customHeight="1" x14ac:dyDescent="0.25">
      <c r="A85" s="21" t="s">
        <v>203</v>
      </c>
      <c r="B85" s="8" t="s">
        <v>204</v>
      </c>
      <c r="C85" s="12">
        <v>0</v>
      </c>
      <c r="D85" s="12">
        <v>1500</v>
      </c>
      <c r="E85" s="12">
        <v>0</v>
      </c>
      <c r="F85" s="12">
        <v>1500</v>
      </c>
      <c r="H85" s="24">
        <v>1500</v>
      </c>
      <c r="I85" s="25"/>
    </row>
    <row r="86" spans="1:9" ht="17.100000000000001" customHeight="1" x14ac:dyDescent="0.25">
      <c r="A86" s="21" t="s">
        <v>203</v>
      </c>
      <c r="B86" s="8" t="s">
        <v>205</v>
      </c>
      <c r="C86" s="12">
        <v>729000</v>
      </c>
      <c r="D86" s="12">
        <v>832600</v>
      </c>
      <c r="E86" s="12">
        <v>729000</v>
      </c>
      <c r="F86" s="12">
        <v>832600</v>
      </c>
      <c r="H86" s="24">
        <v>832600</v>
      </c>
      <c r="I86" s="25"/>
    </row>
    <row r="87" spans="1:9" ht="17.100000000000001" customHeight="1" x14ac:dyDescent="0.25">
      <c r="A87" s="21" t="s">
        <v>206</v>
      </c>
      <c r="B87" s="8" t="s">
        <v>207</v>
      </c>
      <c r="C87" s="12">
        <v>288470</v>
      </c>
      <c r="D87" s="12">
        <v>378243</v>
      </c>
      <c r="E87" s="12">
        <v>288470</v>
      </c>
      <c r="F87" s="12">
        <v>378243</v>
      </c>
      <c r="H87" s="24">
        <v>378243</v>
      </c>
      <c r="I87" s="25"/>
    </row>
    <row r="88" spans="1:9" ht="17.100000000000001" customHeight="1" x14ac:dyDescent="0.25">
      <c r="A88" s="21" t="s">
        <v>206</v>
      </c>
      <c r="B88" s="8" t="s">
        <v>208</v>
      </c>
      <c r="C88" s="12">
        <v>47498</v>
      </c>
      <c r="D88" s="12">
        <v>90188</v>
      </c>
      <c r="E88" s="12">
        <v>47498</v>
      </c>
      <c r="F88" s="12">
        <v>90188</v>
      </c>
      <c r="H88" s="24">
        <v>90188</v>
      </c>
      <c r="I88" s="25"/>
    </row>
    <row r="89" spans="1:9" ht="17.100000000000001" customHeight="1" x14ac:dyDescent="0.25">
      <c r="A89" s="21" t="s">
        <v>206</v>
      </c>
      <c r="B89" s="8" t="s">
        <v>209</v>
      </c>
      <c r="C89" s="12">
        <v>330930</v>
      </c>
      <c r="D89" s="12">
        <v>296940</v>
      </c>
      <c r="E89" s="12">
        <v>330930</v>
      </c>
      <c r="F89" s="12">
        <v>296940</v>
      </c>
      <c r="H89" s="24">
        <v>296940</v>
      </c>
      <c r="I89" s="25"/>
    </row>
    <row r="90" spans="1:9" ht="17.100000000000001" customHeight="1" x14ac:dyDescent="0.25">
      <c r="A90" s="21" t="s">
        <v>206</v>
      </c>
      <c r="B90" s="8" t="s">
        <v>210</v>
      </c>
      <c r="C90" s="12">
        <v>18500</v>
      </c>
      <c r="D90" s="12">
        <v>10000</v>
      </c>
      <c r="E90" s="12">
        <v>18500</v>
      </c>
      <c r="F90" s="12">
        <v>10000</v>
      </c>
      <c r="H90" s="24">
        <v>10000</v>
      </c>
      <c r="I90" s="25"/>
    </row>
    <row r="91" spans="1:9" ht="17.100000000000001" customHeight="1" x14ac:dyDescent="0.25">
      <c r="A91" s="21" t="s">
        <v>206</v>
      </c>
      <c r="B91" s="8" t="s">
        <v>211</v>
      </c>
      <c r="C91" s="12">
        <v>113023</v>
      </c>
      <c r="D91" s="12">
        <v>113000</v>
      </c>
      <c r="E91" s="12">
        <v>197773</v>
      </c>
      <c r="F91" s="12">
        <v>28250</v>
      </c>
      <c r="H91" s="24">
        <v>113000</v>
      </c>
      <c r="I91" s="25"/>
    </row>
    <row r="92" spans="1:9" ht="17.100000000000001" customHeight="1" x14ac:dyDescent="0.25">
      <c r="A92" s="21" t="s">
        <v>206</v>
      </c>
      <c r="B92" s="8" t="s">
        <v>212</v>
      </c>
      <c r="C92" s="12">
        <v>148470</v>
      </c>
      <c r="D92" s="12">
        <v>0</v>
      </c>
      <c r="E92" s="12">
        <v>148470</v>
      </c>
      <c r="F92" s="12">
        <v>0</v>
      </c>
      <c r="H92" s="24">
        <v>0</v>
      </c>
      <c r="I92" s="25"/>
    </row>
    <row r="93" spans="1:9" ht="17.100000000000001" customHeight="1" x14ac:dyDescent="0.25">
      <c r="A93" s="21" t="s">
        <v>206</v>
      </c>
      <c r="B93" s="8" t="s">
        <v>213</v>
      </c>
      <c r="C93" s="12">
        <v>28960</v>
      </c>
      <c r="D93" s="12">
        <v>9900</v>
      </c>
      <c r="E93" s="12">
        <v>28960</v>
      </c>
      <c r="F93" s="12">
        <v>9900</v>
      </c>
      <c r="H93" s="24">
        <v>9900</v>
      </c>
      <c r="I93" s="25"/>
    </row>
    <row r="94" spans="1:9" ht="17.100000000000001" customHeight="1" x14ac:dyDescent="0.25">
      <c r="A94" s="21" t="s">
        <v>206</v>
      </c>
      <c r="B94" s="8" t="s">
        <v>214</v>
      </c>
      <c r="C94" s="12">
        <v>63000</v>
      </c>
      <c r="D94" s="12">
        <v>90000</v>
      </c>
      <c r="E94" s="12">
        <v>63000</v>
      </c>
      <c r="F94" s="12">
        <v>90000</v>
      </c>
      <c r="H94" s="24">
        <v>90000</v>
      </c>
      <c r="I94" s="25"/>
    </row>
    <row r="95" spans="1:9" ht="17.100000000000001" customHeight="1" x14ac:dyDescent="0.25">
      <c r="A95" s="21" t="s">
        <v>206</v>
      </c>
      <c r="B95" s="8" t="s">
        <v>215</v>
      </c>
      <c r="C95" s="12">
        <v>450</v>
      </c>
      <c r="D95" s="12">
        <v>1600</v>
      </c>
      <c r="E95" s="12">
        <v>450</v>
      </c>
      <c r="F95" s="12">
        <v>1600</v>
      </c>
      <c r="H95" s="24">
        <v>1600</v>
      </c>
      <c r="I95" s="25"/>
    </row>
    <row r="96" spans="1:9" ht="17.100000000000001" customHeight="1" x14ac:dyDescent="0.25">
      <c r="A96" s="21" t="s">
        <v>206</v>
      </c>
      <c r="B96" s="8" t="s">
        <v>216</v>
      </c>
      <c r="C96" s="12">
        <v>0</v>
      </c>
      <c r="D96" s="12">
        <v>73799</v>
      </c>
      <c r="E96" s="12">
        <v>0</v>
      </c>
      <c r="F96" s="12">
        <v>73799</v>
      </c>
      <c r="H96" s="24">
        <v>73799</v>
      </c>
      <c r="I96" s="25"/>
    </row>
    <row r="97" spans="1:9" ht="17.100000000000001" customHeight="1" x14ac:dyDescent="0.25">
      <c r="A97" s="21" t="s">
        <v>217</v>
      </c>
      <c r="B97" s="8" t="s">
        <v>218</v>
      </c>
      <c r="C97" s="12">
        <v>23370</v>
      </c>
      <c r="D97" s="12">
        <v>90370</v>
      </c>
      <c r="E97" s="12">
        <v>23370</v>
      </c>
      <c r="F97" s="12">
        <v>90370</v>
      </c>
      <c r="H97" s="24">
        <v>90370</v>
      </c>
      <c r="I97" s="25"/>
    </row>
    <row r="98" spans="1:9" ht="17.100000000000001" customHeight="1" x14ac:dyDescent="0.25">
      <c r="A98" s="21" t="s">
        <v>217</v>
      </c>
      <c r="B98" s="8" t="s">
        <v>219</v>
      </c>
      <c r="C98" s="12">
        <v>0</v>
      </c>
      <c r="D98" s="12">
        <v>2000</v>
      </c>
      <c r="E98" s="12">
        <v>0</v>
      </c>
      <c r="F98" s="12">
        <v>2000</v>
      </c>
      <c r="H98" s="24">
        <v>2000</v>
      </c>
      <c r="I98" s="25"/>
    </row>
    <row r="99" spans="1:9" ht="17.100000000000001" customHeight="1" x14ac:dyDescent="0.25">
      <c r="A99" s="21" t="s">
        <v>217</v>
      </c>
      <c r="B99" s="8" t="s">
        <v>220</v>
      </c>
      <c r="C99" s="12">
        <v>0</v>
      </c>
      <c r="D99" s="12">
        <v>122698.39</v>
      </c>
      <c r="E99" s="12">
        <v>0</v>
      </c>
      <c r="F99" s="12">
        <v>122698.39</v>
      </c>
      <c r="H99" s="24">
        <v>122698.39</v>
      </c>
      <c r="I99" s="25"/>
    </row>
    <row r="100" spans="1:9" ht="17.100000000000001" customHeight="1" x14ac:dyDescent="0.25">
      <c r="A100" s="21" t="s">
        <v>217</v>
      </c>
      <c r="B100" s="8" t="s">
        <v>221</v>
      </c>
      <c r="C100" s="12">
        <v>34086</v>
      </c>
      <c r="D100" s="12">
        <v>77373</v>
      </c>
      <c r="E100" s="12">
        <v>34086</v>
      </c>
      <c r="F100" s="12">
        <v>77373</v>
      </c>
      <c r="H100" s="24">
        <v>77373</v>
      </c>
      <c r="I100" s="25"/>
    </row>
    <row r="101" spans="1:9" ht="17.100000000000001" customHeight="1" x14ac:dyDescent="0.25">
      <c r="A101" s="21" t="s">
        <v>222</v>
      </c>
      <c r="B101" s="8" t="s">
        <v>223</v>
      </c>
      <c r="C101" s="12">
        <v>401400</v>
      </c>
      <c r="D101" s="12">
        <v>732650</v>
      </c>
      <c r="E101" s="12">
        <v>401400</v>
      </c>
      <c r="F101" s="12">
        <v>732650</v>
      </c>
      <c r="H101" s="24">
        <v>732650</v>
      </c>
      <c r="I101" s="25"/>
    </row>
    <row r="102" spans="1:9" ht="17.100000000000001" customHeight="1" x14ac:dyDescent="0.25">
      <c r="A102" s="21" t="s">
        <v>222</v>
      </c>
      <c r="B102" s="8" t="s">
        <v>224</v>
      </c>
      <c r="C102" s="12">
        <v>4166923</v>
      </c>
      <c r="D102" s="12">
        <v>4918248</v>
      </c>
      <c r="E102" s="12">
        <v>4854493</v>
      </c>
      <c r="F102" s="12">
        <v>4230678</v>
      </c>
      <c r="H102" s="24">
        <v>4230678</v>
      </c>
      <c r="I102" s="25"/>
    </row>
    <row r="103" spans="1:9" ht="17.100000000000001" customHeight="1" x14ac:dyDescent="0.25">
      <c r="A103" s="21" t="s">
        <v>222</v>
      </c>
      <c r="B103" s="8" t="s">
        <v>225</v>
      </c>
      <c r="C103" s="12">
        <v>357968</v>
      </c>
      <c r="D103" s="12">
        <v>305074</v>
      </c>
      <c r="E103" s="12">
        <v>357968</v>
      </c>
      <c r="F103" s="12">
        <v>305074</v>
      </c>
      <c r="H103" s="24">
        <v>305074</v>
      </c>
      <c r="I103" s="25"/>
    </row>
    <row r="104" spans="1:9" ht="17.100000000000001" customHeight="1" x14ac:dyDescent="0.25">
      <c r="A104" s="21" t="s">
        <v>222</v>
      </c>
      <c r="B104" s="8" t="s">
        <v>226</v>
      </c>
      <c r="C104" s="12">
        <v>0</v>
      </c>
      <c r="D104" s="12">
        <v>24300</v>
      </c>
      <c r="E104" s="12">
        <v>0</v>
      </c>
      <c r="F104" s="12">
        <v>24300</v>
      </c>
      <c r="H104" s="24">
        <v>24300</v>
      </c>
      <c r="I104" s="25"/>
    </row>
    <row r="105" spans="1:9" ht="17.100000000000001" customHeight="1" x14ac:dyDescent="0.25">
      <c r="A105" s="21" t="s">
        <v>227</v>
      </c>
      <c r="B105" s="8" t="s">
        <v>228</v>
      </c>
      <c r="C105" s="12">
        <v>47112</v>
      </c>
      <c r="D105" s="12">
        <v>0</v>
      </c>
      <c r="E105" s="12">
        <v>47112</v>
      </c>
      <c r="F105" s="12">
        <v>0</v>
      </c>
      <c r="H105" s="24">
        <v>0</v>
      </c>
      <c r="I105" s="25"/>
    </row>
    <row r="106" spans="1:9" ht="17.100000000000001" customHeight="1" x14ac:dyDescent="0.25">
      <c r="A106" s="21" t="s">
        <v>227</v>
      </c>
      <c r="B106" s="8" t="s">
        <v>229</v>
      </c>
      <c r="C106" s="12">
        <v>0</v>
      </c>
      <c r="D106" s="12">
        <v>41762</v>
      </c>
      <c r="E106" s="12">
        <v>0</v>
      </c>
      <c r="F106" s="12">
        <v>41762</v>
      </c>
      <c r="H106" s="24">
        <v>41762</v>
      </c>
      <c r="I106" s="25"/>
    </row>
    <row r="107" spans="1:9" ht="17.100000000000001" customHeight="1" x14ac:dyDescent="0.25">
      <c r="A107" s="21" t="s">
        <v>230</v>
      </c>
      <c r="B107" s="8" t="s">
        <v>231</v>
      </c>
      <c r="C107" s="12">
        <v>490778</v>
      </c>
      <c r="D107" s="12">
        <v>446608</v>
      </c>
      <c r="E107" s="12">
        <v>490778</v>
      </c>
      <c r="F107" s="12">
        <v>446608</v>
      </c>
      <c r="H107" s="24">
        <v>446608</v>
      </c>
      <c r="I107" s="25"/>
    </row>
    <row r="108" spans="1:9" ht="17.100000000000001" customHeight="1" x14ac:dyDescent="0.25">
      <c r="A108" s="21" t="s">
        <v>230</v>
      </c>
      <c r="B108" s="8" t="s">
        <v>232</v>
      </c>
      <c r="C108" s="12">
        <v>910230</v>
      </c>
      <c r="D108" s="12">
        <v>893512</v>
      </c>
      <c r="E108" s="12">
        <v>910230</v>
      </c>
      <c r="F108" s="12">
        <v>893512</v>
      </c>
      <c r="H108" s="24">
        <v>893512</v>
      </c>
      <c r="I108" s="25"/>
    </row>
    <row r="109" spans="1:9" ht="17.100000000000001" customHeight="1" x14ac:dyDescent="0.25">
      <c r="A109" s="21" t="s">
        <v>230</v>
      </c>
      <c r="B109" s="8" t="s">
        <v>233</v>
      </c>
      <c r="C109" s="12">
        <v>2916</v>
      </c>
      <c r="D109" s="12">
        <v>2478</v>
      </c>
      <c r="E109" s="12">
        <v>2916</v>
      </c>
      <c r="F109" s="12">
        <v>2478</v>
      </c>
      <c r="H109" s="24">
        <v>2478</v>
      </c>
      <c r="I109" s="25"/>
    </row>
    <row r="110" spans="1:9" ht="17.100000000000001" customHeight="1" x14ac:dyDescent="0.25">
      <c r="A110" s="21" t="s">
        <v>230</v>
      </c>
      <c r="B110" s="8" t="s">
        <v>234</v>
      </c>
      <c r="C110" s="12">
        <v>106968</v>
      </c>
      <c r="D110" s="12">
        <v>97341</v>
      </c>
      <c r="E110" s="12">
        <v>106968</v>
      </c>
      <c r="F110" s="12">
        <v>97341</v>
      </c>
      <c r="H110" s="24">
        <v>97341</v>
      </c>
      <c r="I110" s="25"/>
    </row>
    <row r="111" spans="1:9" ht="17.100000000000001" customHeight="1" x14ac:dyDescent="0.25">
      <c r="A111" s="21" t="s">
        <v>230</v>
      </c>
      <c r="B111" s="8" t="s">
        <v>235</v>
      </c>
      <c r="C111" s="12">
        <v>270189</v>
      </c>
      <c r="D111" s="12">
        <v>379176</v>
      </c>
      <c r="E111" s="12">
        <v>270189</v>
      </c>
      <c r="F111" s="12">
        <v>379176</v>
      </c>
      <c r="H111" s="24">
        <v>380797</v>
      </c>
      <c r="I111" s="25"/>
    </row>
    <row r="112" spans="1:9" ht="17.100000000000001" customHeight="1" x14ac:dyDescent="0.25">
      <c r="A112" s="21" t="s">
        <v>236</v>
      </c>
      <c r="B112" s="8" t="s">
        <v>237</v>
      </c>
      <c r="C112" s="12">
        <v>0</v>
      </c>
      <c r="D112" s="12">
        <v>50000</v>
      </c>
      <c r="E112" s="12">
        <v>0</v>
      </c>
      <c r="F112" s="12">
        <v>50000</v>
      </c>
      <c r="H112" s="24">
        <v>50000</v>
      </c>
      <c r="I112" s="25"/>
    </row>
    <row r="113" spans="1:11" ht="17.100000000000001" customHeight="1" x14ac:dyDescent="0.25">
      <c r="A113" s="21" t="s">
        <v>238</v>
      </c>
      <c r="B113" s="8" t="s">
        <v>239</v>
      </c>
      <c r="C113" s="12">
        <v>0</v>
      </c>
      <c r="D113" s="12">
        <v>571464</v>
      </c>
      <c r="E113" s="12">
        <v>13220</v>
      </c>
      <c r="F113" s="12">
        <v>558244</v>
      </c>
      <c r="H113" s="24">
        <v>558244</v>
      </c>
      <c r="I113" s="25"/>
    </row>
    <row r="114" spans="1:11" ht="17.100000000000001" customHeight="1" x14ac:dyDescent="0.25">
      <c r="A114" s="22" t="s">
        <v>240</v>
      </c>
      <c r="B114" s="8" t="s">
        <v>241</v>
      </c>
      <c r="C114" s="12">
        <v>570</v>
      </c>
      <c r="D114" s="12">
        <v>15345</v>
      </c>
      <c r="E114" s="12">
        <v>570</v>
      </c>
      <c r="F114" s="12">
        <v>15345</v>
      </c>
      <c r="H114" s="24">
        <v>15345</v>
      </c>
      <c r="I114" s="25"/>
    </row>
    <row r="115" spans="1:11" ht="17.100000000000001" customHeight="1" x14ac:dyDescent="0.25">
      <c r="A115" s="22" t="s">
        <v>240</v>
      </c>
      <c r="B115" s="8" t="s">
        <v>242</v>
      </c>
      <c r="C115" s="12">
        <v>0</v>
      </c>
      <c r="D115" s="12">
        <v>12988</v>
      </c>
      <c r="E115" s="12">
        <v>0</v>
      </c>
      <c r="F115" s="12">
        <v>12988</v>
      </c>
      <c r="H115" s="24">
        <v>12988</v>
      </c>
      <c r="I115" s="25"/>
    </row>
    <row r="116" spans="1:11" ht="17.100000000000001" customHeight="1" x14ac:dyDescent="0.25">
      <c r="A116" s="21" t="s">
        <v>243</v>
      </c>
      <c r="B116" s="8" t="s">
        <v>244</v>
      </c>
      <c r="C116" s="12">
        <v>12487.52</v>
      </c>
      <c r="D116" s="12">
        <v>10561</v>
      </c>
      <c r="E116" s="12">
        <v>12488</v>
      </c>
      <c r="F116" s="12">
        <v>10560.52</v>
      </c>
      <c r="H116" s="24">
        <v>10560.52</v>
      </c>
      <c r="I116" s="25"/>
    </row>
    <row r="117" spans="1:11" ht="17.100000000000001" customHeight="1" x14ac:dyDescent="0.25">
      <c r="A117" s="21" t="s">
        <v>245</v>
      </c>
      <c r="B117" s="8" t="s">
        <v>246</v>
      </c>
      <c r="C117" s="12">
        <v>-2717</v>
      </c>
      <c r="D117" s="12">
        <v>2717</v>
      </c>
      <c r="E117" s="12">
        <v>0</v>
      </c>
      <c r="F117" s="12">
        <v>0</v>
      </c>
      <c r="H117" s="24">
        <v>0</v>
      </c>
      <c r="I117" s="25"/>
    </row>
    <row r="118" spans="1:11" ht="17.100000000000001" customHeight="1" x14ac:dyDescent="0.25">
      <c r="A118" s="21" t="s">
        <v>245</v>
      </c>
      <c r="B118" s="8" t="s">
        <v>247</v>
      </c>
      <c r="C118" s="12">
        <v>-690716</v>
      </c>
      <c r="D118" s="12">
        <v>690716</v>
      </c>
      <c r="E118" s="12">
        <v>0</v>
      </c>
      <c r="F118" s="12">
        <v>0</v>
      </c>
      <c r="H118" s="24">
        <v>0</v>
      </c>
      <c r="I118" s="25"/>
    </row>
    <row r="119" spans="1:11" ht="17.100000000000001" customHeight="1" x14ac:dyDescent="0.25">
      <c r="A119" s="21" t="s">
        <v>245</v>
      </c>
      <c r="B119" s="8" t="s">
        <v>248</v>
      </c>
      <c r="C119" s="12">
        <v>0.2</v>
      </c>
      <c r="D119" s="12">
        <v>0</v>
      </c>
      <c r="E119" s="12">
        <v>0</v>
      </c>
      <c r="F119" s="12">
        <v>0.2</v>
      </c>
      <c r="H119" s="24">
        <v>0.2</v>
      </c>
      <c r="I119" s="25"/>
    </row>
    <row r="120" spans="1:11" ht="17.100000000000001" customHeight="1" x14ac:dyDescent="0.25">
      <c r="A120" s="21" t="s">
        <v>245</v>
      </c>
      <c r="B120" s="8" t="s">
        <v>249</v>
      </c>
      <c r="C120" s="12">
        <v>-165831</v>
      </c>
      <c r="D120" s="12">
        <v>165831</v>
      </c>
      <c r="E120" s="12">
        <v>0</v>
      </c>
      <c r="F120" s="12">
        <v>0</v>
      </c>
      <c r="H120" s="24">
        <v>0</v>
      </c>
      <c r="I120" s="25"/>
    </row>
    <row r="121" spans="1:11" ht="17.100000000000001" customHeight="1" x14ac:dyDescent="0.25">
      <c r="A121" s="21" t="s">
        <v>245</v>
      </c>
      <c r="B121" s="8" t="s">
        <v>250</v>
      </c>
      <c r="C121" s="12">
        <v>-4221206</v>
      </c>
      <c r="D121" s="12">
        <v>4221206</v>
      </c>
      <c r="E121" s="12">
        <v>233334</v>
      </c>
      <c r="F121" s="12">
        <v>-233334</v>
      </c>
      <c r="H121" s="24">
        <v>0</v>
      </c>
      <c r="I121" s="25">
        <v>-233334</v>
      </c>
    </row>
    <row r="122" spans="1:11" ht="17.100000000000001" customHeight="1" x14ac:dyDescent="0.25">
      <c r="A122" s="21" t="s">
        <v>245</v>
      </c>
      <c r="B122" s="8" t="s">
        <v>251</v>
      </c>
      <c r="C122" s="12">
        <v>-2800000</v>
      </c>
      <c r="D122" s="12">
        <v>2800000</v>
      </c>
      <c r="E122" s="12">
        <v>2800000</v>
      </c>
      <c r="F122" s="12">
        <v>-2800000</v>
      </c>
      <c r="H122" s="24">
        <v>0</v>
      </c>
      <c r="I122" s="25">
        <v>-2800000</v>
      </c>
    </row>
    <row r="123" spans="1:11" ht="17.100000000000001" customHeight="1" x14ac:dyDescent="0.25">
      <c r="A123" s="21" t="s">
        <v>245</v>
      </c>
      <c r="B123" s="8" t="s">
        <v>252</v>
      </c>
      <c r="C123" s="12">
        <v>-2381991.15</v>
      </c>
      <c r="D123" s="12">
        <v>2381991</v>
      </c>
      <c r="E123" s="12">
        <v>7216073.0099999998</v>
      </c>
      <c r="F123" s="12">
        <v>-7216073.1600000001</v>
      </c>
      <c r="H123" s="24">
        <v>0</v>
      </c>
      <c r="I123" s="25">
        <v>-8586131.1600000001</v>
      </c>
    </row>
    <row r="124" spans="1:11" ht="17.100000000000001" customHeight="1" x14ac:dyDescent="0.25">
      <c r="A124" s="21" t="s">
        <v>245</v>
      </c>
      <c r="B124" s="8" t="s">
        <v>253</v>
      </c>
      <c r="C124" s="12">
        <v>-5.95</v>
      </c>
      <c r="D124" s="12">
        <v>6</v>
      </c>
      <c r="E124" s="12">
        <v>0</v>
      </c>
      <c r="F124" s="12">
        <v>0.05</v>
      </c>
      <c r="H124" s="24">
        <v>0.05</v>
      </c>
      <c r="I124" s="25"/>
    </row>
    <row r="125" spans="1:11" ht="17.100000000000001" customHeight="1" x14ac:dyDescent="0.25">
      <c r="A125" s="21" t="s">
        <v>245</v>
      </c>
      <c r="B125" s="8" t="s">
        <v>254</v>
      </c>
      <c r="C125" s="12">
        <v>24170</v>
      </c>
      <c r="D125" s="12">
        <v>0</v>
      </c>
      <c r="E125" s="12">
        <v>24170</v>
      </c>
      <c r="F125" s="12">
        <v>0</v>
      </c>
      <c r="H125" s="12">
        <v>0</v>
      </c>
      <c r="I125" s="14"/>
    </row>
    <row r="126" spans="1:11" ht="17.100000000000001" customHeight="1" thickBot="1" x14ac:dyDescent="0.3">
      <c r="B126" s="8" t="s">
        <v>255</v>
      </c>
      <c r="C126" s="12">
        <v>-1.1444091796875E-7</v>
      </c>
      <c r="D126" s="12">
        <v>143521773.94</v>
      </c>
      <c r="E126" s="12">
        <v>143521773.94</v>
      </c>
      <c r="F126" s="12">
        <v>-1.1444091796875E-7</v>
      </c>
      <c r="H126" s="23">
        <f>SUM(H3:H125)</f>
        <v>184942816.56999999</v>
      </c>
      <c r="I126" s="23">
        <f>SUM(I3:I125)</f>
        <v>-184942816.57000011</v>
      </c>
      <c r="K126" s="12">
        <f>H126+I126</f>
        <v>0</v>
      </c>
    </row>
    <row r="128" spans="1:11" ht="17.100000000000001" customHeight="1" x14ac:dyDescent="0.25">
      <c r="B128" s="8" t="s">
        <v>256</v>
      </c>
      <c r="C128" s="8" t="s">
        <v>256</v>
      </c>
      <c r="D128" s="8" t="s">
        <v>256</v>
      </c>
      <c r="E128" s="8" t="s">
        <v>256</v>
      </c>
      <c r="F128" s="8" t="s">
        <v>256</v>
      </c>
      <c r="G128" s="8" t="s">
        <v>256</v>
      </c>
      <c r="H128" s="8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9"/>
  <sheetViews>
    <sheetView topLeftCell="A19" workbookViewId="0">
      <selection activeCell="D20" sqref="D20"/>
    </sheetView>
  </sheetViews>
  <sheetFormatPr defaultRowHeight="15" x14ac:dyDescent="0.25"/>
  <cols>
    <col min="2" max="2" width="49.5703125" customWidth="1"/>
    <col min="3" max="3" width="6.85546875" customWidth="1"/>
    <col min="4" max="4" width="18.42578125" customWidth="1"/>
    <col min="8" max="8" width="19.140625" customWidth="1"/>
    <col min="9" max="9" width="16" customWidth="1"/>
  </cols>
  <sheetData>
    <row r="3" spans="2:9" x14ac:dyDescent="0.25">
      <c r="B3" s="30" t="s">
        <v>257</v>
      </c>
      <c r="C3" s="31"/>
      <c r="D3" s="31"/>
      <c r="F3" s="54" t="s">
        <v>263</v>
      </c>
    </row>
    <row r="4" spans="2:9" x14ac:dyDescent="0.25">
      <c r="B4" s="32"/>
      <c r="C4" s="31"/>
      <c r="D4" s="31"/>
      <c r="F4" s="8" t="s">
        <v>155</v>
      </c>
      <c r="I4" s="25">
        <v>-6075000</v>
      </c>
    </row>
    <row r="5" spans="2:9" x14ac:dyDescent="0.25">
      <c r="B5" s="32" t="s">
        <v>258</v>
      </c>
      <c r="C5" s="31"/>
      <c r="D5" s="25">
        <v>-7183302</v>
      </c>
      <c r="F5" s="8" t="s">
        <v>156</v>
      </c>
      <c r="I5" s="25">
        <v>-70000</v>
      </c>
    </row>
    <row r="6" spans="2:9" x14ac:dyDescent="0.25">
      <c r="B6" s="32" t="s">
        <v>259</v>
      </c>
      <c r="C6" s="31"/>
      <c r="D6" s="31"/>
      <c r="F6" s="8" t="s">
        <v>157</v>
      </c>
      <c r="I6" s="25">
        <v>-6000</v>
      </c>
    </row>
    <row r="7" spans="2:9" x14ac:dyDescent="0.25">
      <c r="B7" s="32" t="s">
        <v>260</v>
      </c>
      <c r="C7" s="31"/>
      <c r="D7" s="31"/>
      <c r="F7" s="8" t="s">
        <v>158</v>
      </c>
      <c r="I7" s="25">
        <v>-14500</v>
      </c>
    </row>
    <row r="8" spans="2:9" x14ac:dyDescent="0.25">
      <c r="B8" s="32" t="s">
        <v>261</v>
      </c>
      <c r="C8" s="31"/>
      <c r="D8" s="25">
        <v>-4185445</v>
      </c>
      <c r="F8" s="8" t="s">
        <v>159</v>
      </c>
      <c r="I8" s="25">
        <v>-16200</v>
      </c>
    </row>
    <row r="9" spans="2:9" x14ac:dyDescent="0.25">
      <c r="B9" s="32" t="s">
        <v>262</v>
      </c>
      <c r="C9" s="33"/>
      <c r="D9" s="25">
        <v>-4247128.29</v>
      </c>
      <c r="I9" s="44">
        <f>SUM(I4:I8)</f>
        <v>-6181700</v>
      </c>
    </row>
    <row r="10" spans="2:9" x14ac:dyDescent="0.25">
      <c r="B10" s="32" t="s">
        <v>263</v>
      </c>
      <c r="C10" s="175">
        <v>16</v>
      </c>
      <c r="D10" s="14">
        <f>-6181700</f>
        <v>-6181700</v>
      </c>
      <c r="F10" s="54" t="s">
        <v>264</v>
      </c>
    </row>
    <row r="11" spans="2:9" x14ac:dyDescent="0.25">
      <c r="B11" s="32" t="s">
        <v>264</v>
      </c>
      <c r="C11" s="175">
        <v>17</v>
      </c>
      <c r="D11" s="34">
        <f>-11619465.01</f>
        <v>-11619465.01</v>
      </c>
      <c r="F11" s="8" t="s">
        <v>250</v>
      </c>
      <c r="I11" s="25">
        <v>-233334</v>
      </c>
    </row>
    <row r="12" spans="2:9" x14ac:dyDescent="0.25">
      <c r="B12" s="32" t="s">
        <v>265</v>
      </c>
      <c r="C12" s="33"/>
      <c r="D12" s="33"/>
      <c r="F12" s="8" t="s">
        <v>251</v>
      </c>
      <c r="I12" s="25">
        <v>-2800000</v>
      </c>
    </row>
    <row r="13" spans="2:9" x14ac:dyDescent="0.25">
      <c r="B13" s="32" t="s">
        <v>266</v>
      </c>
      <c r="C13" s="33"/>
      <c r="D13" s="33"/>
      <c r="F13" s="8" t="s">
        <v>252</v>
      </c>
      <c r="I13" s="25">
        <v>-8586131.0099999998</v>
      </c>
    </row>
    <row r="14" spans="2:9" x14ac:dyDescent="0.25">
      <c r="B14" s="32" t="s">
        <v>267</v>
      </c>
      <c r="C14" s="33"/>
      <c r="D14" s="25">
        <v>-36475</v>
      </c>
      <c r="I14" s="44">
        <f>SUM(I11:I13)</f>
        <v>-11619465.01</v>
      </c>
    </row>
    <row r="15" spans="2:9" x14ac:dyDescent="0.25">
      <c r="B15" s="32"/>
      <c r="C15" s="33"/>
      <c r="D15" s="35">
        <f>SUM(D5:D14)</f>
        <v>-33453515.299999997</v>
      </c>
    </row>
    <row r="16" spans="2:9" x14ac:dyDescent="0.25">
      <c r="B16" s="32"/>
      <c r="C16" s="33"/>
      <c r="D16" s="33"/>
      <c r="F16" s="30" t="s">
        <v>268</v>
      </c>
    </row>
    <row r="17" spans="2:9" x14ac:dyDescent="0.25">
      <c r="B17" s="30" t="s">
        <v>268</v>
      </c>
      <c r="C17" s="33"/>
      <c r="D17" s="33"/>
      <c r="F17" s="8" t="s">
        <v>169</v>
      </c>
      <c r="I17" s="55">
        <v>18624716</v>
      </c>
    </row>
    <row r="18" spans="2:9" x14ac:dyDescent="0.25">
      <c r="B18" s="32"/>
      <c r="C18" s="33"/>
      <c r="D18" s="33"/>
      <c r="F18" s="8" t="s">
        <v>170</v>
      </c>
      <c r="I18" s="55">
        <v>69390</v>
      </c>
    </row>
    <row r="19" spans="2:9" x14ac:dyDescent="0.25">
      <c r="B19" s="32" t="s">
        <v>269</v>
      </c>
      <c r="C19" s="175">
        <v>18</v>
      </c>
      <c r="D19" s="36">
        <v>33136454</v>
      </c>
      <c r="F19" s="8" t="s">
        <v>171</v>
      </c>
      <c r="I19" s="55">
        <v>254613</v>
      </c>
    </row>
    <row r="20" spans="2:9" x14ac:dyDescent="0.25">
      <c r="B20" s="32"/>
      <c r="C20" s="33"/>
      <c r="D20" s="33"/>
      <c r="F20" s="8" t="s">
        <v>172</v>
      </c>
      <c r="I20" s="55">
        <v>64000</v>
      </c>
    </row>
    <row r="21" spans="2:9" x14ac:dyDescent="0.25">
      <c r="B21" s="32" t="s">
        <v>270</v>
      </c>
      <c r="C21" s="175">
        <v>19</v>
      </c>
      <c r="D21" s="36">
        <v>1</v>
      </c>
      <c r="F21" s="8" t="s">
        <v>173</v>
      </c>
      <c r="I21" s="55">
        <v>0</v>
      </c>
    </row>
    <row r="22" spans="2:9" x14ac:dyDescent="0.25">
      <c r="B22" s="32"/>
      <c r="C22" s="31"/>
      <c r="D22" s="31"/>
      <c r="F22" s="8" t="s">
        <v>174</v>
      </c>
      <c r="I22" s="55">
        <v>792300</v>
      </c>
    </row>
    <row r="23" spans="2:9" x14ac:dyDescent="0.25">
      <c r="B23" s="32"/>
      <c r="C23" s="31"/>
      <c r="D23" s="31"/>
      <c r="F23" s="8" t="s">
        <v>175</v>
      </c>
      <c r="I23" s="55"/>
    </row>
    <row r="24" spans="2:9" x14ac:dyDescent="0.25">
      <c r="B24" s="32"/>
      <c r="C24" s="31"/>
      <c r="D24" s="37">
        <f>D19+D21</f>
        <v>33136455</v>
      </c>
      <c r="F24" s="8" t="s">
        <v>177</v>
      </c>
      <c r="I24" s="55">
        <v>1014204</v>
      </c>
    </row>
    <row r="25" spans="2:9" x14ac:dyDescent="0.25">
      <c r="B25" s="32"/>
      <c r="C25" s="31"/>
      <c r="D25" s="31"/>
      <c r="F25" s="8" t="s">
        <v>178</v>
      </c>
      <c r="I25" s="55">
        <v>59910</v>
      </c>
    </row>
    <row r="26" spans="2:9" x14ac:dyDescent="0.25">
      <c r="B26" s="32" t="s">
        <v>271</v>
      </c>
      <c r="C26" s="38">
        <v>20</v>
      </c>
      <c r="D26" s="38"/>
      <c r="F26" s="8" t="s">
        <v>179</v>
      </c>
      <c r="I26" s="55">
        <v>113123</v>
      </c>
    </row>
    <row r="27" spans="2:9" x14ac:dyDescent="0.25">
      <c r="B27" s="32"/>
      <c r="C27" s="31"/>
      <c r="D27" s="31"/>
      <c r="F27" s="8" t="s">
        <v>181</v>
      </c>
      <c r="I27" s="55">
        <v>16900</v>
      </c>
    </row>
    <row r="28" spans="2:9" x14ac:dyDescent="0.25">
      <c r="B28" s="39" t="s">
        <v>272</v>
      </c>
      <c r="C28" s="31"/>
      <c r="D28" s="31"/>
      <c r="F28" s="8" t="s">
        <v>182</v>
      </c>
      <c r="I28" s="55">
        <v>61717</v>
      </c>
    </row>
    <row r="29" spans="2:9" x14ac:dyDescent="0.25">
      <c r="B29" s="40" t="s">
        <v>273</v>
      </c>
      <c r="C29" s="31"/>
      <c r="D29" s="50">
        <f>D24+D15</f>
        <v>-317060.29999999702</v>
      </c>
      <c r="F29" s="8" t="s">
        <v>183</v>
      </c>
      <c r="I29" s="55">
        <v>3900</v>
      </c>
    </row>
    <row r="30" spans="2:9" x14ac:dyDescent="0.25">
      <c r="B30" s="32"/>
      <c r="C30" s="31"/>
      <c r="D30" s="31"/>
      <c r="F30" s="8" t="s">
        <v>184</v>
      </c>
      <c r="I30" s="55">
        <v>4600</v>
      </c>
    </row>
    <row r="31" spans="2:9" x14ac:dyDescent="0.25">
      <c r="B31" s="32" t="s">
        <v>274</v>
      </c>
      <c r="C31" s="31"/>
      <c r="D31" s="31"/>
      <c r="F31" s="8" t="s">
        <v>185</v>
      </c>
      <c r="I31" s="55">
        <v>347289</v>
      </c>
    </row>
    <row r="32" spans="2:9" x14ac:dyDescent="0.25">
      <c r="B32" s="32"/>
      <c r="C32" s="31"/>
      <c r="D32" s="31"/>
      <c r="F32" s="8" t="s">
        <v>187</v>
      </c>
      <c r="I32" s="55">
        <v>580493.61</v>
      </c>
    </row>
    <row r="33" spans="2:9" ht="15.75" thickBot="1" x14ac:dyDescent="0.3">
      <c r="B33" s="30" t="s">
        <v>275</v>
      </c>
      <c r="C33" s="31"/>
      <c r="D33" s="41">
        <f>D29+D31</f>
        <v>-317060.29999999702</v>
      </c>
      <c r="F33" s="8" t="s">
        <v>188</v>
      </c>
      <c r="I33" s="55">
        <v>35200</v>
      </c>
    </row>
    <row r="34" spans="2:9" ht="15.75" thickTop="1" x14ac:dyDescent="0.25">
      <c r="B34" s="32"/>
      <c r="C34" s="31"/>
      <c r="D34" s="31"/>
      <c r="F34" s="8" t="s">
        <v>189</v>
      </c>
      <c r="I34" s="55">
        <v>100</v>
      </c>
    </row>
    <row r="35" spans="2:9" x14ac:dyDescent="0.25">
      <c r="B35" s="42" t="s">
        <v>276</v>
      </c>
      <c r="C35" s="42"/>
      <c r="D35" s="42"/>
      <c r="F35" s="8" t="s">
        <v>190</v>
      </c>
      <c r="I35" s="55">
        <v>11750</v>
      </c>
    </row>
    <row r="36" spans="2:9" x14ac:dyDescent="0.25">
      <c r="B36" s="43"/>
      <c r="C36" s="42"/>
      <c r="D36" s="42"/>
      <c r="F36" s="8" t="s">
        <v>191</v>
      </c>
      <c r="I36" s="55">
        <v>13950</v>
      </c>
    </row>
    <row r="37" spans="2:9" x14ac:dyDescent="0.25">
      <c r="F37" s="8" t="s">
        <v>192</v>
      </c>
      <c r="I37" s="55">
        <v>7500</v>
      </c>
    </row>
    <row r="38" spans="2:9" x14ac:dyDescent="0.25">
      <c r="F38" s="8" t="s">
        <v>193</v>
      </c>
      <c r="I38" s="55">
        <v>0</v>
      </c>
    </row>
    <row r="39" spans="2:9" x14ac:dyDescent="0.25">
      <c r="F39" s="8" t="s">
        <v>194</v>
      </c>
      <c r="I39" s="55">
        <v>248600.75</v>
      </c>
    </row>
    <row r="40" spans="2:9" x14ac:dyDescent="0.25">
      <c r="F40" s="8" t="s">
        <v>196</v>
      </c>
      <c r="I40" s="55">
        <v>1700</v>
      </c>
    </row>
    <row r="41" spans="2:9" x14ac:dyDescent="0.25">
      <c r="F41" s="8" t="s">
        <v>197</v>
      </c>
      <c r="I41" s="55">
        <v>450148.64</v>
      </c>
    </row>
    <row r="42" spans="2:9" x14ac:dyDescent="0.25">
      <c r="F42" s="8" t="s">
        <v>199</v>
      </c>
      <c r="I42" s="55">
        <v>164741</v>
      </c>
    </row>
    <row r="43" spans="2:9" x14ac:dyDescent="0.25">
      <c r="F43" s="8" t="s">
        <v>200</v>
      </c>
      <c r="I43" s="55">
        <v>8322</v>
      </c>
    </row>
    <row r="44" spans="2:9" x14ac:dyDescent="0.25">
      <c r="F44" s="8" t="s">
        <v>201</v>
      </c>
      <c r="I44" s="55">
        <v>151377</v>
      </c>
    </row>
    <row r="45" spans="2:9" x14ac:dyDescent="0.25">
      <c r="F45" s="8" t="s">
        <v>202</v>
      </c>
      <c r="I45" s="55">
        <v>35300</v>
      </c>
    </row>
    <row r="46" spans="2:9" x14ac:dyDescent="0.25">
      <c r="F46" s="8" t="s">
        <v>204</v>
      </c>
      <c r="I46" s="55">
        <v>1500</v>
      </c>
    </row>
    <row r="47" spans="2:9" x14ac:dyDescent="0.25">
      <c r="F47" s="8" t="s">
        <v>205</v>
      </c>
      <c r="I47" s="55">
        <v>832600</v>
      </c>
    </row>
    <row r="48" spans="2:9" x14ac:dyDescent="0.25">
      <c r="F48" s="8" t="s">
        <v>207</v>
      </c>
      <c r="I48" s="55">
        <v>378243</v>
      </c>
    </row>
    <row r="49" spans="6:9" x14ac:dyDescent="0.25">
      <c r="F49" s="8" t="s">
        <v>208</v>
      </c>
      <c r="I49" s="55">
        <v>90188</v>
      </c>
    </row>
    <row r="50" spans="6:9" x14ac:dyDescent="0.25">
      <c r="F50" s="8" t="s">
        <v>209</v>
      </c>
      <c r="I50" s="55">
        <v>296940</v>
      </c>
    </row>
    <row r="51" spans="6:9" x14ac:dyDescent="0.25">
      <c r="F51" s="8" t="s">
        <v>210</v>
      </c>
      <c r="I51" s="55">
        <v>10000</v>
      </c>
    </row>
    <row r="52" spans="6:9" x14ac:dyDescent="0.25">
      <c r="F52" s="8" t="s">
        <v>211</v>
      </c>
      <c r="I52" s="55">
        <v>113000</v>
      </c>
    </row>
    <row r="53" spans="6:9" x14ac:dyDescent="0.25">
      <c r="F53" s="8" t="s">
        <v>212</v>
      </c>
      <c r="I53" s="55">
        <v>0</v>
      </c>
    </row>
    <row r="54" spans="6:9" x14ac:dyDescent="0.25">
      <c r="F54" s="8" t="s">
        <v>213</v>
      </c>
      <c r="I54" s="55">
        <v>9900</v>
      </c>
    </row>
    <row r="55" spans="6:9" x14ac:dyDescent="0.25">
      <c r="F55" s="8" t="s">
        <v>214</v>
      </c>
      <c r="I55" s="55">
        <v>90000</v>
      </c>
    </row>
    <row r="56" spans="6:9" x14ac:dyDescent="0.25">
      <c r="F56" s="8" t="s">
        <v>215</v>
      </c>
      <c r="I56" s="55">
        <v>1600</v>
      </c>
    </row>
    <row r="57" spans="6:9" x14ac:dyDescent="0.25">
      <c r="F57" s="8" t="s">
        <v>216</v>
      </c>
      <c r="I57" s="55">
        <v>73799</v>
      </c>
    </row>
    <row r="58" spans="6:9" x14ac:dyDescent="0.25">
      <c r="F58" s="8" t="s">
        <v>218</v>
      </c>
      <c r="I58" s="55">
        <v>90370</v>
      </c>
    </row>
    <row r="59" spans="6:9" x14ac:dyDescent="0.25">
      <c r="F59" s="8" t="s">
        <v>219</v>
      </c>
      <c r="I59" s="55">
        <v>2000</v>
      </c>
    </row>
    <row r="60" spans="6:9" x14ac:dyDescent="0.25">
      <c r="F60" s="8" t="s">
        <v>220</v>
      </c>
      <c r="I60" s="55">
        <v>122698.39</v>
      </c>
    </row>
    <row r="61" spans="6:9" x14ac:dyDescent="0.25">
      <c r="F61" s="8" t="s">
        <v>221</v>
      </c>
      <c r="I61" s="55">
        <v>77373</v>
      </c>
    </row>
    <row r="62" spans="6:9" x14ac:dyDescent="0.25">
      <c r="F62" s="8" t="s">
        <v>223</v>
      </c>
      <c r="I62" s="55">
        <v>732650</v>
      </c>
    </row>
    <row r="63" spans="6:9" x14ac:dyDescent="0.25">
      <c r="F63" s="8" t="s">
        <v>224</v>
      </c>
      <c r="I63" s="55">
        <v>4238739</v>
      </c>
    </row>
    <row r="64" spans="6:9" x14ac:dyDescent="0.25">
      <c r="F64" s="8" t="s">
        <v>225</v>
      </c>
      <c r="I64" s="55">
        <v>305074</v>
      </c>
    </row>
    <row r="65" spans="6:9" x14ac:dyDescent="0.25">
      <c r="F65" s="8" t="s">
        <v>226</v>
      </c>
      <c r="I65" s="55">
        <v>24300</v>
      </c>
    </row>
    <row r="66" spans="6:9" x14ac:dyDescent="0.25">
      <c r="F66" s="8" t="s">
        <v>228</v>
      </c>
      <c r="I66" s="55">
        <v>0</v>
      </c>
    </row>
    <row r="67" spans="6:9" x14ac:dyDescent="0.25">
      <c r="F67" s="8" t="s">
        <v>229</v>
      </c>
      <c r="I67" s="55">
        <v>41762</v>
      </c>
    </row>
    <row r="68" spans="6:9" x14ac:dyDescent="0.25">
      <c r="F68" s="8" t="s">
        <v>231</v>
      </c>
      <c r="I68" s="55">
        <v>446608</v>
      </c>
    </row>
    <row r="69" spans="6:9" x14ac:dyDescent="0.25">
      <c r="F69" s="8" t="s">
        <v>232</v>
      </c>
      <c r="I69" s="55">
        <v>893512</v>
      </c>
    </row>
    <row r="70" spans="6:9" x14ac:dyDescent="0.25">
      <c r="F70" s="8" t="s">
        <v>233</v>
      </c>
      <c r="I70" s="55">
        <v>2478</v>
      </c>
    </row>
    <row r="71" spans="6:9" x14ac:dyDescent="0.25">
      <c r="F71" s="8" t="s">
        <v>234</v>
      </c>
      <c r="I71" s="55">
        <v>97341</v>
      </c>
    </row>
    <row r="72" spans="6:9" x14ac:dyDescent="0.25">
      <c r="F72" s="8" t="s">
        <v>235</v>
      </c>
      <c r="I72" s="55">
        <v>380797</v>
      </c>
    </row>
    <row r="73" spans="6:9" x14ac:dyDescent="0.25">
      <c r="F73" s="8" t="s">
        <v>237</v>
      </c>
      <c r="I73" s="55">
        <v>50000</v>
      </c>
    </row>
    <row r="74" spans="6:9" x14ac:dyDescent="0.25">
      <c r="F74" s="8" t="s">
        <v>239</v>
      </c>
      <c r="I74" s="55">
        <v>558244</v>
      </c>
    </row>
    <row r="75" spans="6:9" x14ac:dyDescent="0.25">
      <c r="F75" s="8" t="s">
        <v>241</v>
      </c>
      <c r="I75" s="55">
        <v>15345</v>
      </c>
    </row>
    <row r="76" spans="6:9" x14ac:dyDescent="0.25">
      <c r="F76" s="8" t="s">
        <v>242</v>
      </c>
      <c r="I76" s="55">
        <v>12988</v>
      </c>
    </row>
    <row r="77" spans="6:9" x14ac:dyDescent="0.25">
      <c r="F77" s="45" t="s">
        <v>243</v>
      </c>
      <c r="I77" s="55">
        <v>10560.52</v>
      </c>
    </row>
    <row r="78" spans="6:9" ht="15.75" thickBot="1" x14ac:dyDescent="0.3">
      <c r="I78" s="66">
        <f>SUM(I17:I77)</f>
        <v>33136454.91</v>
      </c>
    </row>
    <row r="79" spans="6:9" ht="15.75" thickTop="1" x14ac:dyDescent="0.25"/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C111" workbookViewId="0">
      <selection activeCell="H43" sqref="H43"/>
    </sheetView>
  </sheetViews>
  <sheetFormatPr defaultColWidth="8.85546875" defaultRowHeight="12.75" x14ac:dyDescent="0.2"/>
  <cols>
    <col min="1" max="1" width="5.85546875" style="118" customWidth="1"/>
    <col min="2" max="2" width="41.28515625" style="118" customWidth="1"/>
    <col min="3" max="3" width="13.85546875" style="118" customWidth="1"/>
    <col min="4" max="4" width="14.140625" style="118" bestFit="1" customWidth="1"/>
    <col min="5" max="5" width="15.7109375" style="118" customWidth="1"/>
    <col min="6" max="6" width="14.42578125" style="118" bestFit="1" customWidth="1"/>
    <col min="7" max="7" width="15.42578125" style="118" bestFit="1" customWidth="1"/>
    <col min="8" max="8" width="15.42578125" style="118" customWidth="1"/>
    <col min="9" max="9" width="14.140625" style="118" customWidth="1"/>
    <col min="10" max="10" width="13.5703125" style="118" customWidth="1"/>
    <col min="11" max="11" width="13" style="118" customWidth="1"/>
    <col min="12" max="12" width="14.140625" style="118" customWidth="1"/>
    <col min="13" max="14" width="13.42578125" style="118" bestFit="1" customWidth="1"/>
    <col min="15" max="15" width="13" style="118" bestFit="1" customWidth="1"/>
    <col min="16" max="16" width="17" style="118" bestFit="1" customWidth="1"/>
    <col min="17" max="17" width="11.5703125" style="118" hidden="1" customWidth="1"/>
    <col min="18" max="18" width="13.140625" style="118" customWidth="1"/>
    <col min="19" max="19" width="17" style="118" bestFit="1" customWidth="1"/>
    <col min="20" max="20" width="12.5703125" style="118" bestFit="1" customWidth="1"/>
    <col min="21" max="21" width="11.42578125" style="118" bestFit="1" customWidth="1"/>
    <col min="22" max="256" width="8.85546875" style="118"/>
    <col min="257" max="257" width="5.85546875" style="118" customWidth="1"/>
    <col min="258" max="258" width="41.28515625" style="118" customWidth="1"/>
    <col min="259" max="259" width="13.85546875" style="118" customWidth="1"/>
    <col min="260" max="260" width="14.140625" style="118" bestFit="1" customWidth="1"/>
    <col min="261" max="261" width="15.7109375" style="118" customWidth="1"/>
    <col min="262" max="262" width="14.42578125" style="118" bestFit="1" customWidth="1"/>
    <col min="263" max="263" width="15.42578125" style="118" bestFit="1" customWidth="1"/>
    <col min="264" max="264" width="15.42578125" style="118" customWidth="1"/>
    <col min="265" max="265" width="14.140625" style="118" customWidth="1"/>
    <col min="266" max="266" width="13.5703125" style="118" customWidth="1"/>
    <col min="267" max="267" width="13" style="118" customWidth="1"/>
    <col min="268" max="268" width="14.140625" style="118" customWidth="1"/>
    <col min="269" max="270" width="13.42578125" style="118" bestFit="1" customWidth="1"/>
    <col min="271" max="271" width="13" style="118" bestFit="1" customWidth="1"/>
    <col min="272" max="272" width="17" style="118" bestFit="1" customWidth="1"/>
    <col min="273" max="273" width="0" style="118" hidden="1" customWidth="1"/>
    <col min="274" max="274" width="13.140625" style="118" customWidth="1"/>
    <col min="275" max="275" width="17" style="118" bestFit="1" customWidth="1"/>
    <col min="276" max="276" width="12.5703125" style="118" bestFit="1" customWidth="1"/>
    <col min="277" max="277" width="11.42578125" style="118" bestFit="1" customWidth="1"/>
    <col min="278" max="512" width="8.85546875" style="118"/>
    <col min="513" max="513" width="5.85546875" style="118" customWidth="1"/>
    <col min="514" max="514" width="41.28515625" style="118" customWidth="1"/>
    <col min="515" max="515" width="13.85546875" style="118" customWidth="1"/>
    <col min="516" max="516" width="14.140625" style="118" bestFit="1" customWidth="1"/>
    <col min="517" max="517" width="15.7109375" style="118" customWidth="1"/>
    <col min="518" max="518" width="14.42578125" style="118" bestFit="1" customWidth="1"/>
    <col min="519" max="519" width="15.42578125" style="118" bestFit="1" customWidth="1"/>
    <col min="520" max="520" width="15.42578125" style="118" customWidth="1"/>
    <col min="521" max="521" width="14.140625" style="118" customWidth="1"/>
    <col min="522" max="522" width="13.5703125" style="118" customWidth="1"/>
    <col min="523" max="523" width="13" style="118" customWidth="1"/>
    <col min="524" max="524" width="14.140625" style="118" customWidth="1"/>
    <col min="525" max="526" width="13.42578125" style="118" bestFit="1" customWidth="1"/>
    <col min="527" max="527" width="13" style="118" bestFit="1" customWidth="1"/>
    <col min="528" max="528" width="17" style="118" bestFit="1" customWidth="1"/>
    <col min="529" max="529" width="0" style="118" hidden="1" customWidth="1"/>
    <col min="530" max="530" width="13.140625" style="118" customWidth="1"/>
    <col min="531" max="531" width="17" style="118" bestFit="1" customWidth="1"/>
    <col min="532" max="532" width="12.5703125" style="118" bestFit="1" customWidth="1"/>
    <col min="533" max="533" width="11.42578125" style="118" bestFit="1" customWidth="1"/>
    <col min="534" max="768" width="8.85546875" style="118"/>
    <col min="769" max="769" width="5.85546875" style="118" customWidth="1"/>
    <col min="770" max="770" width="41.28515625" style="118" customWidth="1"/>
    <col min="771" max="771" width="13.85546875" style="118" customWidth="1"/>
    <col min="772" max="772" width="14.140625" style="118" bestFit="1" customWidth="1"/>
    <col min="773" max="773" width="15.7109375" style="118" customWidth="1"/>
    <col min="774" max="774" width="14.42578125" style="118" bestFit="1" customWidth="1"/>
    <col min="775" max="775" width="15.42578125" style="118" bestFit="1" customWidth="1"/>
    <col min="776" max="776" width="15.42578125" style="118" customWidth="1"/>
    <col min="777" max="777" width="14.140625" style="118" customWidth="1"/>
    <col min="778" max="778" width="13.5703125" style="118" customWidth="1"/>
    <col min="779" max="779" width="13" style="118" customWidth="1"/>
    <col min="780" max="780" width="14.140625" style="118" customWidth="1"/>
    <col min="781" max="782" width="13.42578125" style="118" bestFit="1" customWidth="1"/>
    <col min="783" max="783" width="13" style="118" bestFit="1" customWidth="1"/>
    <col min="784" max="784" width="17" style="118" bestFit="1" customWidth="1"/>
    <col min="785" max="785" width="0" style="118" hidden="1" customWidth="1"/>
    <col min="786" max="786" width="13.140625" style="118" customWidth="1"/>
    <col min="787" max="787" width="17" style="118" bestFit="1" customWidth="1"/>
    <col min="788" max="788" width="12.5703125" style="118" bestFit="1" customWidth="1"/>
    <col min="789" max="789" width="11.42578125" style="118" bestFit="1" customWidth="1"/>
    <col min="790" max="1024" width="8.85546875" style="118"/>
    <col min="1025" max="1025" width="5.85546875" style="118" customWidth="1"/>
    <col min="1026" max="1026" width="41.28515625" style="118" customWidth="1"/>
    <col min="1027" max="1027" width="13.85546875" style="118" customWidth="1"/>
    <col min="1028" max="1028" width="14.140625" style="118" bestFit="1" customWidth="1"/>
    <col min="1029" max="1029" width="15.7109375" style="118" customWidth="1"/>
    <col min="1030" max="1030" width="14.42578125" style="118" bestFit="1" customWidth="1"/>
    <col min="1031" max="1031" width="15.42578125" style="118" bestFit="1" customWidth="1"/>
    <col min="1032" max="1032" width="15.42578125" style="118" customWidth="1"/>
    <col min="1033" max="1033" width="14.140625" style="118" customWidth="1"/>
    <col min="1034" max="1034" width="13.5703125" style="118" customWidth="1"/>
    <col min="1035" max="1035" width="13" style="118" customWidth="1"/>
    <col min="1036" max="1036" width="14.140625" style="118" customWidth="1"/>
    <col min="1037" max="1038" width="13.42578125" style="118" bestFit="1" customWidth="1"/>
    <col min="1039" max="1039" width="13" style="118" bestFit="1" customWidth="1"/>
    <col min="1040" max="1040" width="17" style="118" bestFit="1" customWidth="1"/>
    <col min="1041" max="1041" width="0" style="118" hidden="1" customWidth="1"/>
    <col min="1042" max="1042" width="13.140625" style="118" customWidth="1"/>
    <col min="1043" max="1043" width="17" style="118" bestFit="1" customWidth="1"/>
    <col min="1044" max="1044" width="12.5703125" style="118" bestFit="1" customWidth="1"/>
    <col min="1045" max="1045" width="11.42578125" style="118" bestFit="1" customWidth="1"/>
    <col min="1046" max="1280" width="8.85546875" style="118"/>
    <col min="1281" max="1281" width="5.85546875" style="118" customWidth="1"/>
    <col min="1282" max="1282" width="41.28515625" style="118" customWidth="1"/>
    <col min="1283" max="1283" width="13.85546875" style="118" customWidth="1"/>
    <col min="1284" max="1284" width="14.140625" style="118" bestFit="1" customWidth="1"/>
    <col min="1285" max="1285" width="15.7109375" style="118" customWidth="1"/>
    <col min="1286" max="1286" width="14.42578125" style="118" bestFit="1" customWidth="1"/>
    <col min="1287" max="1287" width="15.42578125" style="118" bestFit="1" customWidth="1"/>
    <col min="1288" max="1288" width="15.42578125" style="118" customWidth="1"/>
    <col min="1289" max="1289" width="14.140625" style="118" customWidth="1"/>
    <col min="1290" max="1290" width="13.5703125" style="118" customWidth="1"/>
    <col min="1291" max="1291" width="13" style="118" customWidth="1"/>
    <col min="1292" max="1292" width="14.140625" style="118" customWidth="1"/>
    <col min="1293" max="1294" width="13.42578125" style="118" bestFit="1" customWidth="1"/>
    <col min="1295" max="1295" width="13" style="118" bestFit="1" customWidth="1"/>
    <col min="1296" max="1296" width="17" style="118" bestFit="1" customWidth="1"/>
    <col min="1297" max="1297" width="0" style="118" hidden="1" customWidth="1"/>
    <col min="1298" max="1298" width="13.140625" style="118" customWidth="1"/>
    <col min="1299" max="1299" width="17" style="118" bestFit="1" customWidth="1"/>
    <col min="1300" max="1300" width="12.5703125" style="118" bestFit="1" customWidth="1"/>
    <col min="1301" max="1301" width="11.42578125" style="118" bestFit="1" customWidth="1"/>
    <col min="1302" max="1536" width="8.85546875" style="118"/>
    <col min="1537" max="1537" width="5.85546875" style="118" customWidth="1"/>
    <col min="1538" max="1538" width="41.28515625" style="118" customWidth="1"/>
    <col min="1539" max="1539" width="13.85546875" style="118" customWidth="1"/>
    <col min="1540" max="1540" width="14.140625" style="118" bestFit="1" customWidth="1"/>
    <col min="1541" max="1541" width="15.7109375" style="118" customWidth="1"/>
    <col min="1542" max="1542" width="14.42578125" style="118" bestFit="1" customWidth="1"/>
    <col min="1543" max="1543" width="15.42578125" style="118" bestFit="1" customWidth="1"/>
    <col min="1544" max="1544" width="15.42578125" style="118" customWidth="1"/>
    <col min="1545" max="1545" width="14.140625" style="118" customWidth="1"/>
    <col min="1546" max="1546" width="13.5703125" style="118" customWidth="1"/>
    <col min="1547" max="1547" width="13" style="118" customWidth="1"/>
    <col min="1548" max="1548" width="14.140625" style="118" customWidth="1"/>
    <col min="1549" max="1550" width="13.42578125" style="118" bestFit="1" customWidth="1"/>
    <col min="1551" max="1551" width="13" style="118" bestFit="1" customWidth="1"/>
    <col min="1552" max="1552" width="17" style="118" bestFit="1" customWidth="1"/>
    <col min="1553" max="1553" width="0" style="118" hidden="1" customWidth="1"/>
    <col min="1554" max="1554" width="13.140625" style="118" customWidth="1"/>
    <col min="1555" max="1555" width="17" style="118" bestFit="1" customWidth="1"/>
    <col min="1556" max="1556" width="12.5703125" style="118" bestFit="1" customWidth="1"/>
    <col min="1557" max="1557" width="11.42578125" style="118" bestFit="1" customWidth="1"/>
    <col min="1558" max="1792" width="8.85546875" style="118"/>
    <col min="1793" max="1793" width="5.85546875" style="118" customWidth="1"/>
    <col min="1794" max="1794" width="41.28515625" style="118" customWidth="1"/>
    <col min="1795" max="1795" width="13.85546875" style="118" customWidth="1"/>
    <col min="1796" max="1796" width="14.140625" style="118" bestFit="1" customWidth="1"/>
    <col min="1797" max="1797" width="15.7109375" style="118" customWidth="1"/>
    <col min="1798" max="1798" width="14.42578125" style="118" bestFit="1" customWidth="1"/>
    <col min="1799" max="1799" width="15.42578125" style="118" bestFit="1" customWidth="1"/>
    <col min="1800" max="1800" width="15.42578125" style="118" customWidth="1"/>
    <col min="1801" max="1801" width="14.140625" style="118" customWidth="1"/>
    <col min="1802" max="1802" width="13.5703125" style="118" customWidth="1"/>
    <col min="1803" max="1803" width="13" style="118" customWidth="1"/>
    <col min="1804" max="1804" width="14.140625" style="118" customWidth="1"/>
    <col min="1805" max="1806" width="13.42578125" style="118" bestFit="1" customWidth="1"/>
    <col min="1807" max="1807" width="13" style="118" bestFit="1" customWidth="1"/>
    <col min="1808" max="1808" width="17" style="118" bestFit="1" customWidth="1"/>
    <col min="1809" max="1809" width="0" style="118" hidden="1" customWidth="1"/>
    <col min="1810" max="1810" width="13.140625" style="118" customWidth="1"/>
    <col min="1811" max="1811" width="17" style="118" bestFit="1" customWidth="1"/>
    <col min="1812" max="1812" width="12.5703125" style="118" bestFit="1" customWidth="1"/>
    <col min="1813" max="1813" width="11.42578125" style="118" bestFit="1" customWidth="1"/>
    <col min="1814" max="2048" width="8.85546875" style="118"/>
    <col min="2049" max="2049" width="5.85546875" style="118" customWidth="1"/>
    <col min="2050" max="2050" width="41.28515625" style="118" customWidth="1"/>
    <col min="2051" max="2051" width="13.85546875" style="118" customWidth="1"/>
    <col min="2052" max="2052" width="14.140625" style="118" bestFit="1" customWidth="1"/>
    <col min="2053" max="2053" width="15.7109375" style="118" customWidth="1"/>
    <col min="2054" max="2054" width="14.42578125" style="118" bestFit="1" customWidth="1"/>
    <col min="2055" max="2055" width="15.42578125" style="118" bestFit="1" customWidth="1"/>
    <col min="2056" max="2056" width="15.42578125" style="118" customWidth="1"/>
    <col min="2057" max="2057" width="14.140625" style="118" customWidth="1"/>
    <col min="2058" max="2058" width="13.5703125" style="118" customWidth="1"/>
    <col min="2059" max="2059" width="13" style="118" customWidth="1"/>
    <col min="2060" max="2060" width="14.140625" style="118" customWidth="1"/>
    <col min="2061" max="2062" width="13.42578125" style="118" bestFit="1" customWidth="1"/>
    <col min="2063" max="2063" width="13" style="118" bestFit="1" customWidth="1"/>
    <col min="2064" max="2064" width="17" style="118" bestFit="1" customWidth="1"/>
    <col min="2065" max="2065" width="0" style="118" hidden="1" customWidth="1"/>
    <col min="2066" max="2066" width="13.140625" style="118" customWidth="1"/>
    <col min="2067" max="2067" width="17" style="118" bestFit="1" customWidth="1"/>
    <col min="2068" max="2068" width="12.5703125" style="118" bestFit="1" customWidth="1"/>
    <col min="2069" max="2069" width="11.42578125" style="118" bestFit="1" customWidth="1"/>
    <col min="2070" max="2304" width="8.85546875" style="118"/>
    <col min="2305" max="2305" width="5.85546875" style="118" customWidth="1"/>
    <col min="2306" max="2306" width="41.28515625" style="118" customWidth="1"/>
    <col min="2307" max="2307" width="13.85546875" style="118" customWidth="1"/>
    <col min="2308" max="2308" width="14.140625" style="118" bestFit="1" customWidth="1"/>
    <col min="2309" max="2309" width="15.7109375" style="118" customWidth="1"/>
    <col min="2310" max="2310" width="14.42578125" style="118" bestFit="1" customWidth="1"/>
    <col min="2311" max="2311" width="15.42578125" style="118" bestFit="1" customWidth="1"/>
    <col min="2312" max="2312" width="15.42578125" style="118" customWidth="1"/>
    <col min="2313" max="2313" width="14.140625" style="118" customWidth="1"/>
    <col min="2314" max="2314" width="13.5703125" style="118" customWidth="1"/>
    <col min="2315" max="2315" width="13" style="118" customWidth="1"/>
    <col min="2316" max="2316" width="14.140625" style="118" customWidth="1"/>
    <col min="2317" max="2318" width="13.42578125" style="118" bestFit="1" customWidth="1"/>
    <col min="2319" max="2319" width="13" style="118" bestFit="1" customWidth="1"/>
    <col min="2320" max="2320" width="17" style="118" bestFit="1" customWidth="1"/>
    <col min="2321" max="2321" width="0" style="118" hidden="1" customWidth="1"/>
    <col min="2322" max="2322" width="13.140625" style="118" customWidth="1"/>
    <col min="2323" max="2323" width="17" style="118" bestFit="1" customWidth="1"/>
    <col min="2324" max="2324" width="12.5703125" style="118" bestFit="1" customWidth="1"/>
    <col min="2325" max="2325" width="11.42578125" style="118" bestFit="1" customWidth="1"/>
    <col min="2326" max="2560" width="8.85546875" style="118"/>
    <col min="2561" max="2561" width="5.85546875" style="118" customWidth="1"/>
    <col min="2562" max="2562" width="41.28515625" style="118" customWidth="1"/>
    <col min="2563" max="2563" width="13.85546875" style="118" customWidth="1"/>
    <col min="2564" max="2564" width="14.140625" style="118" bestFit="1" customWidth="1"/>
    <col min="2565" max="2565" width="15.7109375" style="118" customWidth="1"/>
    <col min="2566" max="2566" width="14.42578125" style="118" bestFit="1" customWidth="1"/>
    <col min="2567" max="2567" width="15.42578125" style="118" bestFit="1" customWidth="1"/>
    <col min="2568" max="2568" width="15.42578125" style="118" customWidth="1"/>
    <col min="2569" max="2569" width="14.140625" style="118" customWidth="1"/>
    <col min="2570" max="2570" width="13.5703125" style="118" customWidth="1"/>
    <col min="2571" max="2571" width="13" style="118" customWidth="1"/>
    <col min="2572" max="2572" width="14.140625" style="118" customWidth="1"/>
    <col min="2573" max="2574" width="13.42578125" style="118" bestFit="1" customWidth="1"/>
    <col min="2575" max="2575" width="13" style="118" bestFit="1" customWidth="1"/>
    <col min="2576" max="2576" width="17" style="118" bestFit="1" customWidth="1"/>
    <col min="2577" max="2577" width="0" style="118" hidden="1" customWidth="1"/>
    <col min="2578" max="2578" width="13.140625" style="118" customWidth="1"/>
    <col min="2579" max="2579" width="17" style="118" bestFit="1" customWidth="1"/>
    <col min="2580" max="2580" width="12.5703125" style="118" bestFit="1" customWidth="1"/>
    <col min="2581" max="2581" width="11.42578125" style="118" bestFit="1" customWidth="1"/>
    <col min="2582" max="2816" width="8.85546875" style="118"/>
    <col min="2817" max="2817" width="5.85546875" style="118" customWidth="1"/>
    <col min="2818" max="2818" width="41.28515625" style="118" customWidth="1"/>
    <col min="2819" max="2819" width="13.85546875" style="118" customWidth="1"/>
    <col min="2820" max="2820" width="14.140625" style="118" bestFit="1" customWidth="1"/>
    <col min="2821" max="2821" width="15.7109375" style="118" customWidth="1"/>
    <col min="2822" max="2822" width="14.42578125" style="118" bestFit="1" customWidth="1"/>
    <col min="2823" max="2823" width="15.42578125" style="118" bestFit="1" customWidth="1"/>
    <col min="2824" max="2824" width="15.42578125" style="118" customWidth="1"/>
    <col min="2825" max="2825" width="14.140625" style="118" customWidth="1"/>
    <col min="2826" max="2826" width="13.5703125" style="118" customWidth="1"/>
    <col min="2827" max="2827" width="13" style="118" customWidth="1"/>
    <col min="2828" max="2828" width="14.140625" style="118" customWidth="1"/>
    <col min="2829" max="2830" width="13.42578125" style="118" bestFit="1" customWidth="1"/>
    <col min="2831" max="2831" width="13" style="118" bestFit="1" customWidth="1"/>
    <col min="2832" max="2832" width="17" style="118" bestFit="1" customWidth="1"/>
    <col min="2833" max="2833" width="0" style="118" hidden="1" customWidth="1"/>
    <col min="2834" max="2834" width="13.140625" style="118" customWidth="1"/>
    <col min="2835" max="2835" width="17" style="118" bestFit="1" customWidth="1"/>
    <col min="2836" max="2836" width="12.5703125" style="118" bestFit="1" customWidth="1"/>
    <col min="2837" max="2837" width="11.42578125" style="118" bestFit="1" customWidth="1"/>
    <col min="2838" max="3072" width="8.85546875" style="118"/>
    <col min="3073" max="3073" width="5.85546875" style="118" customWidth="1"/>
    <col min="3074" max="3074" width="41.28515625" style="118" customWidth="1"/>
    <col min="3075" max="3075" width="13.85546875" style="118" customWidth="1"/>
    <col min="3076" max="3076" width="14.140625" style="118" bestFit="1" customWidth="1"/>
    <col min="3077" max="3077" width="15.7109375" style="118" customWidth="1"/>
    <col min="3078" max="3078" width="14.42578125" style="118" bestFit="1" customWidth="1"/>
    <col min="3079" max="3079" width="15.42578125" style="118" bestFit="1" customWidth="1"/>
    <col min="3080" max="3080" width="15.42578125" style="118" customWidth="1"/>
    <col min="3081" max="3081" width="14.140625" style="118" customWidth="1"/>
    <col min="3082" max="3082" width="13.5703125" style="118" customWidth="1"/>
    <col min="3083" max="3083" width="13" style="118" customWidth="1"/>
    <col min="3084" max="3084" width="14.140625" style="118" customWidth="1"/>
    <col min="3085" max="3086" width="13.42578125" style="118" bestFit="1" customWidth="1"/>
    <col min="3087" max="3087" width="13" style="118" bestFit="1" customWidth="1"/>
    <col min="3088" max="3088" width="17" style="118" bestFit="1" customWidth="1"/>
    <col min="3089" max="3089" width="0" style="118" hidden="1" customWidth="1"/>
    <col min="3090" max="3090" width="13.140625" style="118" customWidth="1"/>
    <col min="3091" max="3091" width="17" style="118" bestFit="1" customWidth="1"/>
    <col min="3092" max="3092" width="12.5703125" style="118" bestFit="1" customWidth="1"/>
    <col min="3093" max="3093" width="11.42578125" style="118" bestFit="1" customWidth="1"/>
    <col min="3094" max="3328" width="8.85546875" style="118"/>
    <col min="3329" max="3329" width="5.85546875" style="118" customWidth="1"/>
    <col min="3330" max="3330" width="41.28515625" style="118" customWidth="1"/>
    <col min="3331" max="3331" width="13.85546875" style="118" customWidth="1"/>
    <col min="3332" max="3332" width="14.140625" style="118" bestFit="1" customWidth="1"/>
    <col min="3333" max="3333" width="15.7109375" style="118" customWidth="1"/>
    <col min="3334" max="3334" width="14.42578125" style="118" bestFit="1" customWidth="1"/>
    <col min="3335" max="3335" width="15.42578125" style="118" bestFit="1" customWidth="1"/>
    <col min="3336" max="3336" width="15.42578125" style="118" customWidth="1"/>
    <col min="3337" max="3337" width="14.140625" style="118" customWidth="1"/>
    <col min="3338" max="3338" width="13.5703125" style="118" customWidth="1"/>
    <col min="3339" max="3339" width="13" style="118" customWidth="1"/>
    <col min="3340" max="3340" width="14.140625" style="118" customWidth="1"/>
    <col min="3341" max="3342" width="13.42578125" style="118" bestFit="1" customWidth="1"/>
    <col min="3343" max="3343" width="13" style="118" bestFit="1" customWidth="1"/>
    <col min="3344" max="3344" width="17" style="118" bestFit="1" customWidth="1"/>
    <col min="3345" max="3345" width="0" style="118" hidden="1" customWidth="1"/>
    <col min="3346" max="3346" width="13.140625" style="118" customWidth="1"/>
    <col min="3347" max="3347" width="17" style="118" bestFit="1" customWidth="1"/>
    <col min="3348" max="3348" width="12.5703125" style="118" bestFit="1" customWidth="1"/>
    <col min="3349" max="3349" width="11.42578125" style="118" bestFit="1" customWidth="1"/>
    <col min="3350" max="3584" width="8.85546875" style="118"/>
    <col min="3585" max="3585" width="5.85546875" style="118" customWidth="1"/>
    <col min="3586" max="3586" width="41.28515625" style="118" customWidth="1"/>
    <col min="3587" max="3587" width="13.85546875" style="118" customWidth="1"/>
    <col min="3588" max="3588" width="14.140625" style="118" bestFit="1" customWidth="1"/>
    <col min="3589" max="3589" width="15.7109375" style="118" customWidth="1"/>
    <col min="3590" max="3590" width="14.42578125" style="118" bestFit="1" customWidth="1"/>
    <col min="3591" max="3591" width="15.42578125" style="118" bestFit="1" customWidth="1"/>
    <col min="3592" max="3592" width="15.42578125" style="118" customWidth="1"/>
    <col min="3593" max="3593" width="14.140625" style="118" customWidth="1"/>
    <col min="3594" max="3594" width="13.5703125" style="118" customWidth="1"/>
    <col min="3595" max="3595" width="13" style="118" customWidth="1"/>
    <col min="3596" max="3596" width="14.140625" style="118" customWidth="1"/>
    <col min="3597" max="3598" width="13.42578125" style="118" bestFit="1" customWidth="1"/>
    <col min="3599" max="3599" width="13" style="118" bestFit="1" customWidth="1"/>
    <col min="3600" max="3600" width="17" style="118" bestFit="1" customWidth="1"/>
    <col min="3601" max="3601" width="0" style="118" hidden="1" customWidth="1"/>
    <col min="3602" max="3602" width="13.140625" style="118" customWidth="1"/>
    <col min="3603" max="3603" width="17" style="118" bestFit="1" customWidth="1"/>
    <col min="3604" max="3604" width="12.5703125" style="118" bestFit="1" customWidth="1"/>
    <col min="3605" max="3605" width="11.42578125" style="118" bestFit="1" customWidth="1"/>
    <col min="3606" max="3840" width="8.85546875" style="118"/>
    <col min="3841" max="3841" width="5.85546875" style="118" customWidth="1"/>
    <col min="3842" max="3842" width="41.28515625" style="118" customWidth="1"/>
    <col min="3843" max="3843" width="13.85546875" style="118" customWidth="1"/>
    <col min="3844" max="3844" width="14.140625" style="118" bestFit="1" customWidth="1"/>
    <col min="3845" max="3845" width="15.7109375" style="118" customWidth="1"/>
    <col min="3846" max="3846" width="14.42578125" style="118" bestFit="1" customWidth="1"/>
    <col min="3847" max="3847" width="15.42578125" style="118" bestFit="1" customWidth="1"/>
    <col min="3848" max="3848" width="15.42578125" style="118" customWidth="1"/>
    <col min="3849" max="3849" width="14.140625" style="118" customWidth="1"/>
    <col min="3850" max="3850" width="13.5703125" style="118" customWidth="1"/>
    <col min="3851" max="3851" width="13" style="118" customWidth="1"/>
    <col min="3852" max="3852" width="14.140625" style="118" customWidth="1"/>
    <col min="3853" max="3854" width="13.42578125" style="118" bestFit="1" customWidth="1"/>
    <col min="3855" max="3855" width="13" style="118" bestFit="1" customWidth="1"/>
    <col min="3856" max="3856" width="17" style="118" bestFit="1" customWidth="1"/>
    <col min="3857" max="3857" width="0" style="118" hidden="1" customWidth="1"/>
    <col min="3858" max="3858" width="13.140625" style="118" customWidth="1"/>
    <col min="3859" max="3859" width="17" style="118" bestFit="1" customWidth="1"/>
    <col min="3860" max="3860" width="12.5703125" style="118" bestFit="1" customWidth="1"/>
    <col min="3861" max="3861" width="11.42578125" style="118" bestFit="1" customWidth="1"/>
    <col min="3862" max="4096" width="8.85546875" style="118"/>
    <col min="4097" max="4097" width="5.85546875" style="118" customWidth="1"/>
    <col min="4098" max="4098" width="41.28515625" style="118" customWidth="1"/>
    <col min="4099" max="4099" width="13.85546875" style="118" customWidth="1"/>
    <col min="4100" max="4100" width="14.140625" style="118" bestFit="1" customWidth="1"/>
    <col min="4101" max="4101" width="15.7109375" style="118" customWidth="1"/>
    <col min="4102" max="4102" width="14.42578125" style="118" bestFit="1" customWidth="1"/>
    <col min="4103" max="4103" width="15.42578125" style="118" bestFit="1" customWidth="1"/>
    <col min="4104" max="4104" width="15.42578125" style="118" customWidth="1"/>
    <col min="4105" max="4105" width="14.140625" style="118" customWidth="1"/>
    <col min="4106" max="4106" width="13.5703125" style="118" customWidth="1"/>
    <col min="4107" max="4107" width="13" style="118" customWidth="1"/>
    <col min="4108" max="4108" width="14.140625" style="118" customWidth="1"/>
    <col min="4109" max="4110" width="13.42578125" style="118" bestFit="1" customWidth="1"/>
    <col min="4111" max="4111" width="13" style="118" bestFit="1" customWidth="1"/>
    <col min="4112" max="4112" width="17" style="118" bestFit="1" customWidth="1"/>
    <col min="4113" max="4113" width="0" style="118" hidden="1" customWidth="1"/>
    <col min="4114" max="4114" width="13.140625" style="118" customWidth="1"/>
    <col min="4115" max="4115" width="17" style="118" bestFit="1" customWidth="1"/>
    <col min="4116" max="4116" width="12.5703125" style="118" bestFit="1" customWidth="1"/>
    <col min="4117" max="4117" width="11.42578125" style="118" bestFit="1" customWidth="1"/>
    <col min="4118" max="4352" width="8.85546875" style="118"/>
    <col min="4353" max="4353" width="5.85546875" style="118" customWidth="1"/>
    <col min="4354" max="4354" width="41.28515625" style="118" customWidth="1"/>
    <col min="4355" max="4355" width="13.85546875" style="118" customWidth="1"/>
    <col min="4356" max="4356" width="14.140625" style="118" bestFit="1" customWidth="1"/>
    <col min="4357" max="4357" width="15.7109375" style="118" customWidth="1"/>
    <col min="4358" max="4358" width="14.42578125" style="118" bestFit="1" customWidth="1"/>
    <col min="4359" max="4359" width="15.42578125" style="118" bestFit="1" customWidth="1"/>
    <col min="4360" max="4360" width="15.42578125" style="118" customWidth="1"/>
    <col min="4361" max="4361" width="14.140625" style="118" customWidth="1"/>
    <col min="4362" max="4362" width="13.5703125" style="118" customWidth="1"/>
    <col min="4363" max="4363" width="13" style="118" customWidth="1"/>
    <col min="4364" max="4364" width="14.140625" style="118" customWidth="1"/>
    <col min="4365" max="4366" width="13.42578125" style="118" bestFit="1" customWidth="1"/>
    <col min="4367" max="4367" width="13" style="118" bestFit="1" customWidth="1"/>
    <col min="4368" max="4368" width="17" style="118" bestFit="1" customWidth="1"/>
    <col min="4369" max="4369" width="0" style="118" hidden="1" customWidth="1"/>
    <col min="4370" max="4370" width="13.140625" style="118" customWidth="1"/>
    <col min="4371" max="4371" width="17" style="118" bestFit="1" customWidth="1"/>
    <col min="4372" max="4372" width="12.5703125" style="118" bestFit="1" customWidth="1"/>
    <col min="4373" max="4373" width="11.42578125" style="118" bestFit="1" customWidth="1"/>
    <col min="4374" max="4608" width="8.85546875" style="118"/>
    <col min="4609" max="4609" width="5.85546875" style="118" customWidth="1"/>
    <col min="4610" max="4610" width="41.28515625" style="118" customWidth="1"/>
    <col min="4611" max="4611" width="13.85546875" style="118" customWidth="1"/>
    <col min="4612" max="4612" width="14.140625" style="118" bestFit="1" customWidth="1"/>
    <col min="4613" max="4613" width="15.7109375" style="118" customWidth="1"/>
    <col min="4614" max="4614" width="14.42578125" style="118" bestFit="1" customWidth="1"/>
    <col min="4615" max="4615" width="15.42578125" style="118" bestFit="1" customWidth="1"/>
    <col min="4616" max="4616" width="15.42578125" style="118" customWidth="1"/>
    <col min="4617" max="4617" width="14.140625" style="118" customWidth="1"/>
    <col min="4618" max="4618" width="13.5703125" style="118" customWidth="1"/>
    <col min="4619" max="4619" width="13" style="118" customWidth="1"/>
    <col min="4620" max="4620" width="14.140625" style="118" customWidth="1"/>
    <col min="4621" max="4622" width="13.42578125" style="118" bestFit="1" customWidth="1"/>
    <col min="4623" max="4623" width="13" style="118" bestFit="1" customWidth="1"/>
    <col min="4624" max="4624" width="17" style="118" bestFit="1" customWidth="1"/>
    <col min="4625" max="4625" width="0" style="118" hidden="1" customWidth="1"/>
    <col min="4626" max="4626" width="13.140625" style="118" customWidth="1"/>
    <col min="4627" max="4627" width="17" style="118" bestFit="1" customWidth="1"/>
    <col min="4628" max="4628" width="12.5703125" style="118" bestFit="1" customWidth="1"/>
    <col min="4629" max="4629" width="11.42578125" style="118" bestFit="1" customWidth="1"/>
    <col min="4630" max="4864" width="8.85546875" style="118"/>
    <col min="4865" max="4865" width="5.85546875" style="118" customWidth="1"/>
    <col min="4866" max="4866" width="41.28515625" style="118" customWidth="1"/>
    <col min="4867" max="4867" width="13.85546875" style="118" customWidth="1"/>
    <col min="4868" max="4868" width="14.140625" style="118" bestFit="1" customWidth="1"/>
    <col min="4869" max="4869" width="15.7109375" style="118" customWidth="1"/>
    <col min="4870" max="4870" width="14.42578125" style="118" bestFit="1" customWidth="1"/>
    <col min="4871" max="4871" width="15.42578125" style="118" bestFit="1" customWidth="1"/>
    <col min="4872" max="4872" width="15.42578125" style="118" customWidth="1"/>
    <col min="4873" max="4873" width="14.140625" style="118" customWidth="1"/>
    <col min="4874" max="4874" width="13.5703125" style="118" customWidth="1"/>
    <col min="4875" max="4875" width="13" style="118" customWidth="1"/>
    <col min="4876" max="4876" width="14.140625" style="118" customWidth="1"/>
    <col min="4877" max="4878" width="13.42578125" style="118" bestFit="1" customWidth="1"/>
    <col min="4879" max="4879" width="13" style="118" bestFit="1" customWidth="1"/>
    <col min="4880" max="4880" width="17" style="118" bestFit="1" customWidth="1"/>
    <col min="4881" max="4881" width="0" style="118" hidden="1" customWidth="1"/>
    <col min="4882" max="4882" width="13.140625" style="118" customWidth="1"/>
    <col min="4883" max="4883" width="17" style="118" bestFit="1" customWidth="1"/>
    <col min="4884" max="4884" width="12.5703125" style="118" bestFit="1" customWidth="1"/>
    <col min="4885" max="4885" width="11.42578125" style="118" bestFit="1" customWidth="1"/>
    <col min="4886" max="5120" width="8.85546875" style="118"/>
    <col min="5121" max="5121" width="5.85546875" style="118" customWidth="1"/>
    <col min="5122" max="5122" width="41.28515625" style="118" customWidth="1"/>
    <col min="5123" max="5123" width="13.85546875" style="118" customWidth="1"/>
    <col min="5124" max="5124" width="14.140625" style="118" bestFit="1" customWidth="1"/>
    <col min="5125" max="5125" width="15.7109375" style="118" customWidth="1"/>
    <col min="5126" max="5126" width="14.42578125" style="118" bestFit="1" customWidth="1"/>
    <col min="5127" max="5127" width="15.42578125" style="118" bestFit="1" customWidth="1"/>
    <col min="5128" max="5128" width="15.42578125" style="118" customWidth="1"/>
    <col min="5129" max="5129" width="14.140625" style="118" customWidth="1"/>
    <col min="5130" max="5130" width="13.5703125" style="118" customWidth="1"/>
    <col min="5131" max="5131" width="13" style="118" customWidth="1"/>
    <col min="5132" max="5132" width="14.140625" style="118" customWidth="1"/>
    <col min="5133" max="5134" width="13.42578125" style="118" bestFit="1" customWidth="1"/>
    <col min="5135" max="5135" width="13" style="118" bestFit="1" customWidth="1"/>
    <col min="5136" max="5136" width="17" style="118" bestFit="1" customWidth="1"/>
    <col min="5137" max="5137" width="0" style="118" hidden="1" customWidth="1"/>
    <col min="5138" max="5138" width="13.140625" style="118" customWidth="1"/>
    <col min="5139" max="5139" width="17" style="118" bestFit="1" customWidth="1"/>
    <col min="5140" max="5140" width="12.5703125" style="118" bestFit="1" customWidth="1"/>
    <col min="5141" max="5141" width="11.42578125" style="118" bestFit="1" customWidth="1"/>
    <col min="5142" max="5376" width="8.85546875" style="118"/>
    <col min="5377" max="5377" width="5.85546875" style="118" customWidth="1"/>
    <col min="5378" max="5378" width="41.28515625" style="118" customWidth="1"/>
    <col min="5379" max="5379" width="13.85546875" style="118" customWidth="1"/>
    <col min="5380" max="5380" width="14.140625" style="118" bestFit="1" customWidth="1"/>
    <col min="5381" max="5381" width="15.7109375" style="118" customWidth="1"/>
    <col min="5382" max="5382" width="14.42578125" style="118" bestFit="1" customWidth="1"/>
    <col min="5383" max="5383" width="15.42578125" style="118" bestFit="1" customWidth="1"/>
    <col min="5384" max="5384" width="15.42578125" style="118" customWidth="1"/>
    <col min="5385" max="5385" width="14.140625" style="118" customWidth="1"/>
    <col min="5386" max="5386" width="13.5703125" style="118" customWidth="1"/>
    <col min="5387" max="5387" width="13" style="118" customWidth="1"/>
    <col min="5388" max="5388" width="14.140625" style="118" customWidth="1"/>
    <col min="5389" max="5390" width="13.42578125" style="118" bestFit="1" customWidth="1"/>
    <col min="5391" max="5391" width="13" style="118" bestFit="1" customWidth="1"/>
    <col min="5392" max="5392" width="17" style="118" bestFit="1" customWidth="1"/>
    <col min="5393" max="5393" width="0" style="118" hidden="1" customWidth="1"/>
    <col min="5394" max="5394" width="13.140625" style="118" customWidth="1"/>
    <col min="5395" max="5395" width="17" style="118" bestFit="1" customWidth="1"/>
    <col min="5396" max="5396" width="12.5703125" style="118" bestFit="1" customWidth="1"/>
    <col min="5397" max="5397" width="11.42578125" style="118" bestFit="1" customWidth="1"/>
    <col min="5398" max="5632" width="8.85546875" style="118"/>
    <col min="5633" max="5633" width="5.85546875" style="118" customWidth="1"/>
    <col min="5634" max="5634" width="41.28515625" style="118" customWidth="1"/>
    <col min="5635" max="5635" width="13.85546875" style="118" customWidth="1"/>
    <col min="5636" max="5636" width="14.140625" style="118" bestFit="1" customWidth="1"/>
    <col min="5637" max="5637" width="15.7109375" style="118" customWidth="1"/>
    <col min="5638" max="5638" width="14.42578125" style="118" bestFit="1" customWidth="1"/>
    <col min="5639" max="5639" width="15.42578125" style="118" bestFit="1" customWidth="1"/>
    <col min="5640" max="5640" width="15.42578125" style="118" customWidth="1"/>
    <col min="5641" max="5641" width="14.140625" style="118" customWidth="1"/>
    <col min="5642" max="5642" width="13.5703125" style="118" customWidth="1"/>
    <col min="5643" max="5643" width="13" style="118" customWidth="1"/>
    <col min="5644" max="5644" width="14.140625" style="118" customWidth="1"/>
    <col min="5645" max="5646" width="13.42578125" style="118" bestFit="1" customWidth="1"/>
    <col min="5647" max="5647" width="13" style="118" bestFit="1" customWidth="1"/>
    <col min="5648" max="5648" width="17" style="118" bestFit="1" customWidth="1"/>
    <col min="5649" max="5649" width="0" style="118" hidden="1" customWidth="1"/>
    <col min="5650" max="5650" width="13.140625" style="118" customWidth="1"/>
    <col min="5651" max="5651" width="17" style="118" bestFit="1" customWidth="1"/>
    <col min="5652" max="5652" width="12.5703125" style="118" bestFit="1" customWidth="1"/>
    <col min="5653" max="5653" width="11.42578125" style="118" bestFit="1" customWidth="1"/>
    <col min="5654" max="5888" width="8.85546875" style="118"/>
    <col min="5889" max="5889" width="5.85546875" style="118" customWidth="1"/>
    <col min="5890" max="5890" width="41.28515625" style="118" customWidth="1"/>
    <col min="5891" max="5891" width="13.85546875" style="118" customWidth="1"/>
    <col min="5892" max="5892" width="14.140625" style="118" bestFit="1" customWidth="1"/>
    <col min="5893" max="5893" width="15.7109375" style="118" customWidth="1"/>
    <col min="5894" max="5894" width="14.42578125" style="118" bestFit="1" customWidth="1"/>
    <col min="5895" max="5895" width="15.42578125" style="118" bestFit="1" customWidth="1"/>
    <col min="5896" max="5896" width="15.42578125" style="118" customWidth="1"/>
    <col min="5897" max="5897" width="14.140625" style="118" customWidth="1"/>
    <col min="5898" max="5898" width="13.5703125" style="118" customWidth="1"/>
    <col min="5899" max="5899" width="13" style="118" customWidth="1"/>
    <col min="5900" max="5900" width="14.140625" style="118" customWidth="1"/>
    <col min="5901" max="5902" width="13.42578125" style="118" bestFit="1" customWidth="1"/>
    <col min="5903" max="5903" width="13" style="118" bestFit="1" customWidth="1"/>
    <col min="5904" max="5904" width="17" style="118" bestFit="1" customWidth="1"/>
    <col min="5905" max="5905" width="0" style="118" hidden="1" customWidth="1"/>
    <col min="5906" max="5906" width="13.140625" style="118" customWidth="1"/>
    <col min="5907" max="5907" width="17" style="118" bestFit="1" customWidth="1"/>
    <col min="5908" max="5908" width="12.5703125" style="118" bestFit="1" customWidth="1"/>
    <col min="5909" max="5909" width="11.42578125" style="118" bestFit="1" customWidth="1"/>
    <col min="5910" max="6144" width="8.85546875" style="118"/>
    <col min="6145" max="6145" width="5.85546875" style="118" customWidth="1"/>
    <col min="6146" max="6146" width="41.28515625" style="118" customWidth="1"/>
    <col min="6147" max="6147" width="13.85546875" style="118" customWidth="1"/>
    <col min="6148" max="6148" width="14.140625" style="118" bestFit="1" customWidth="1"/>
    <col min="6149" max="6149" width="15.7109375" style="118" customWidth="1"/>
    <col min="6150" max="6150" width="14.42578125" style="118" bestFit="1" customWidth="1"/>
    <col min="6151" max="6151" width="15.42578125" style="118" bestFit="1" customWidth="1"/>
    <col min="6152" max="6152" width="15.42578125" style="118" customWidth="1"/>
    <col min="6153" max="6153" width="14.140625" style="118" customWidth="1"/>
    <col min="6154" max="6154" width="13.5703125" style="118" customWidth="1"/>
    <col min="6155" max="6155" width="13" style="118" customWidth="1"/>
    <col min="6156" max="6156" width="14.140625" style="118" customWidth="1"/>
    <col min="6157" max="6158" width="13.42578125" style="118" bestFit="1" customWidth="1"/>
    <col min="6159" max="6159" width="13" style="118" bestFit="1" customWidth="1"/>
    <col min="6160" max="6160" width="17" style="118" bestFit="1" customWidth="1"/>
    <col min="6161" max="6161" width="0" style="118" hidden="1" customWidth="1"/>
    <col min="6162" max="6162" width="13.140625" style="118" customWidth="1"/>
    <col min="6163" max="6163" width="17" style="118" bestFit="1" customWidth="1"/>
    <col min="6164" max="6164" width="12.5703125" style="118" bestFit="1" customWidth="1"/>
    <col min="6165" max="6165" width="11.42578125" style="118" bestFit="1" customWidth="1"/>
    <col min="6166" max="6400" width="8.85546875" style="118"/>
    <col min="6401" max="6401" width="5.85546875" style="118" customWidth="1"/>
    <col min="6402" max="6402" width="41.28515625" style="118" customWidth="1"/>
    <col min="6403" max="6403" width="13.85546875" style="118" customWidth="1"/>
    <col min="6404" max="6404" width="14.140625" style="118" bestFit="1" customWidth="1"/>
    <col min="6405" max="6405" width="15.7109375" style="118" customWidth="1"/>
    <col min="6406" max="6406" width="14.42578125" style="118" bestFit="1" customWidth="1"/>
    <col min="6407" max="6407" width="15.42578125" style="118" bestFit="1" customWidth="1"/>
    <col min="6408" max="6408" width="15.42578125" style="118" customWidth="1"/>
    <col min="6409" max="6409" width="14.140625" style="118" customWidth="1"/>
    <col min="6410" max="6410" width="13.5703125" style="118" customWidth="1"/>
    <col min="6411" max="6411" width="13" style="118" customWidth="1"/>
    <col min="6412" max="6412" width="14.140625" style="118" customWidth="1"/>
    <col min="6413" max="6414" width="13.42578125" style="118" bestFit="1" customWidth="1"/>
    <col min="6415" max="6415" width="13" style="118" bestFit="1" customWidth="1"/>
    <col min="6416" max="6416" width="17" style="118" bestFit="1" customWidth="1"/>
    <col min="6417" max="6417" width="0" style="118" hidden="1" customWidth="1"/>
    <col min="6418" max="6418" width="13.140625" style="118" customWidth="1"/>
    <col min="6419" max="6419" width="17" style="118" bestFit="1" customWidth="1"/>
    <col min="6420" max="6420" width="12.5703125" style="118" bestFit="1" customWidth="1"/>
    <col min="6421" max="6421" width="11.42578125" style="118" bestFit="1" customWidth="1"/>
    <col min="6422" max="6656" width="8.85546875" style="118"/>
    <col min="6657" max="6657" width="5.85546875" style="118" customWidth="1"/>
    <col min="6658" max="6658" width="41.28515625" style="118" customWidth="1"/>
    <col min="6659" max="6659" width="13.85546875" style="118" customWidth="1"/>
    <col min="6660" max="6660" width="14.140625" style="118" bestFit="1" customWidth="1"/>
    <col min="6661" max="6661" width="15.7109375" style="118" customWidth="1"/>
    <col min="6662" max="6662" width="14.42578125" style="118" bestFit="1" customWidth="1"/>
    <col min="6663" max="6663" width="15.42578125" style="118" bestFit="1" customWidth="1"/>
    <col min="6664" max="6664" width="15.42578125" style="118" customWidth="1"/>
    <col min="6665" max="6665" width="14.140625" style="118" customWidth="1"/>
    <col min="6666" max="6666" width="13.5703125" style="118" customWidth="1"/>
    <col min="6667" max="6667" width="13" style="118" customWidth="1"/>
    <col min="6668" max="6668" width="14.140625" style="118" customWidth="1"/>
    <col min="6669" max="6670" width="13.42578125" style="118" bestFit="1" customWidth="1"/>
    <col min="6671" max="6671" width="13" style="118" bestFit="1" customWidth="1"/>
    <col min="6672" max="6672" width="17" style="118" bestFit="1" customWidth="1"/>
    <col min="6673" max="6673" width="0" style="118" hidden="1" customWidth="1"/>
    <col min="6674" max="6674" width="13.140625" style="118" customWidth="1"/>
    <col min="6675" max="6675" width="17" style="118" bestFit="1" customWidth="1"/>
    <col min="6676" max="6676" width="12.5703125" style="118" bestFit="1" customWidth="1"/>
    <col min="6677" max="6677" width="11.42578125" style="118" bestFit="1" customWidth="1"/>
    <col min="6678" max="6912" width="8.85546875" style="118"/>
    <col min="6913" max="6913" width="5.85546875" style="118" customWidth="1"/>
    <col min="6914" max="6914" width="41.28515625" style="118" customWidth="1"/>
    <col min="6915" max="6915" width="13.85546875" style="118" customWidth="1"/>
    <col min="6916" max="6916" width="14.140625" style="118" bestFit="1" customWidth="1"/>
    <col min="6917" max="6917" width="15.7109375" style="118" customWidth="1"/>
    <col min="6918" max="6918" width="14.42578125" style="118" bestFit="1" customWidth="1"/>
    <col min="6919" max="6919" width="15.42578125" style="118" bestFit="1" customWidth="1"/>
    <col min="6920" max="6920" width="15.42578125" style="118" customWidth="1"/>
    <col min="6921" max="6921" width="14.140625" style="118" customWidth="1"/>
    <col min="6922" max="6922" width="13.5703125" style="118" customWidth="1"/>
    <col min="6923" max="6923" width="13" style="118" customWidth="1"/>
    <col min="6924" max="6924" width="14.140625" style="118" customWidth="1"/>
    <col min="6925" max="6926" width="13.42578125" style="118" bestFit="1" customWidth="1"/>
    <col min="6927" max="6927" width="13" style="118" bestFit="1" customWidth="1"/>
    <col min="6928" max="6928" width="17" style="118" bestFit="1" customWidth="1"/>
    <col min="6929" max="6929" width="0" style="118" hidden="1" customWidth="1"/>
    <col min="6930" max="6930" width="13.140625" style="118" customWidth="1"/>
    <col min="6931" max="6931" width="17" style="118" bestFit="1" customWidth="1"/>
    <col min="6932" max="6932" width="12.5703125" style="118" bestFit="1" customWidth="1"/>
    <col min="6933" max="6933" width="11.42578125" style="118" bestFit="1" customWidth="1"/>
    <col min="6934" max="7168" width="8.85546875" style="118"/>
    <col min="7169" max="7169" width="5.85546875" style="118" customWidth="1"/>
    <col min="7170" max="7170" width="41.28515625" style="118" customWidth="1"/>
    <col min="7171" max="7171" width="13.85546875" style="118" customWidth="1"/>
    <col min="7172" max="7172" width="14.140625" style="118" bestFit="1" customWidth="1"/>
    <col min="7173" max="7173" width="15.7109375" style="118" customWidth="1"/>
    <col min="7174" max="7174" width="14.42578125" style="118" bestFit="1" customWidth="1"/>
    <col min="7175" max="7175" width="15.42578125" style="118" bestFit="1" customWidth="1"/>
    <col min="7176" max="7176" width="15.42578125" style="118" customWidth="1"/>
    <col min="7177" max="7177" width="14.140625" style="118" customWidth="1"/>
    <col min="7178" max="7178" width="13.5703125" style="118" customWidth="1"/>
    <col min="7179" max="7179" width="13" style="118" customWidth="1"/>
    <col min="7180" max="7180" width="14.140625" style="118" customWidth="1"/>
    <col min="7181" max="7182" width="13.42578125" style="118" bestFit="1" customWidth="1"/>
    <col min="7183" max="7183" width="13" style="118" bestFit="1" customWidth="1"/>
    <col min="7184" max="7184" width="17" style="118" bestFit="1" customWidth="1"/>
    <col min="7185" max="7185" width="0" style="118" hidden="1" customWidth="1"/>
    <col min="7186" max="7186" width="13.140625" style="118" customWidth="1"/>
    <col min="7187" max="7187" width="17" style="118" bestFit="1" customWidth="1"/>
    <col min="7188" max="7188" width="12.5703125" style="118" bestFit="1" customWidth="1"/>
    <col min="7189" max="7189" width="11.42578125" style="118" bestFit="1" customWidth="1"/>
    <col min="7190" max="7424" width="8.85546875" style="118"/>
    <col min="7425" max="7425" width="5.85546875" style="118" customWidth="1"/>
    <col min="7426" max="7426" width="41.28515625" style="118" customWidth="1"/>
    <col min="7427" max="7427" width="13.85546875" style="118" customWidth="1"/>
    <col min="7428" max="7428" width="14.140625" style="118" bestFit="1" customWidth="1"/>
    <col min="7429" max="7429" width="15.7109375" style="118" customWidth="1"/>
    <col min="7430" max="7430" width="14.42578125" style="118" bestFit="1" customWidth="1"/>
    <col min="7431" max="7431" width="15.42578125" style="118" bestFit="1" customWidth="1"/>
    <col min="7432" max="7432" width="15.42578125" style="118" customWidth="1"/>
    <col min="7433" max="7433" width="14.140625" style="118" customWidth="1"/>
    <col min="7434" max="7434" width="13.5703125" style="118" customWidth="1"/>
    <col min="7435" max="7435" width="13" style="118" customWidth="1"/>
    <col min="7436" max="7436" width="14.140625" style="118" customWidth="1"/>
    <col min="7437" max="7438" width="13.42578125" style="118" bestFit="1" customWidth="1"/>
    <col min="7439" max="7439" width="13" style="118" bestFit="1" customWidth="1"/>
    <col min="7440" max="7440" width="17" style="118" bestFit="1" customWidth="1"/>
    <col min="7441" max="7441" width="0" style="118" hidden="1" customWidth="1"/>
    <col min="7442" max="7442" width="13.140625" style="118" customWidth="1"/>
    <col min="7443" max="7443" width="17" style="118" bestFit="1" customWidth="1"/>
    <col min="7444" max="7444" width="12.5703125" style="118" bestFit="1" customWidth="1"/>
    <col min="7445" max="7445" width="11.42578125" style="118" bestFit="1" customWidth="1"/>
    <col min="7446" max="7680" width="8.85546875" style="118"/>
    <col min="7681" max="7681" width="5.85546875" style="118" customWidth="1"/>
    <col min="7682" max="7682" width="41.28515625" style="118" customWidth="1"/>
    <col min="7683" max="7683" width="13.85546875" style="118" customWidth="1"/>
    <col min="7684" max="7684" width="14.140625" style="118" bestFit="1" customWidth="1"/>
    <col min="7685" max="7685" width="15.7109375" style="118" customWidth="1"/>
    <col min="7686" max="7686" width="14.42578125" style="118" bestFit="1" customWidth="1"/>
    <col min="7687" max="7687" width="15.42578125" style="118" bestFit="1" customWidth="1"/>
    <col min="7688" max="7688" width="15.42578125" style="118" customWidth="1"/>
    <col min="7689" max="7689" width="14.140625" style="118" customWidth="1"/>
    <col min="7690" max="7690" width="13.5703125" style="118" customWidth="1"/>
    <col min="7691" max="7691" width="13" style="118" customWidth="1"/>
    <col min="7692" max="7692" width="14.140625" style="118" customWidth="1"/>
    <col min="7693" max="7694" width="13.42578125" style="118" bestFit="1" customWidth="1"/>
    <col min="7695" max="7695" width="13" style="118" bestFit="1" customWidth="1"/>
    <col min="7696" max="7696" width="17" style="118" bestFit="1" customWidth="1"/>
    <col min="7697" max="7697" width="0" style="118" hidden="1" customWidth="1"/>
    <col min="7698" max="7698" width="13.140625" style="118" customWidth="1"/>
    <col min="7699" max="7699" width="17" style="118" bestFit="1" customWidth="1"/>
    <col min="7700" max="7700" width="12.5703125" style="118" bestFit="1" customWidth="1"/>
    <col min="7701" max="7701" width="11.42578125" style="118" bestFit="1" customWidth="1"/>
    <col min="7702" max="7936" width="8.85546875" style="118"/>
    <col min="7937" max="7937" width="5.85546875" style="118" customWidth="1"/>
    <col min="7938" max="7938" width="41.28515625" style="118" customWidth="1"/>
    <col min="7939" max="7939" width="13.85546875" style="118" customWidth="1"/>
    <col min="7940" max="7940" width="14.140625" style="118" bestFit="1" customWidth="1"/>
    <col min="7941" max="7941" width="15.7109375" style="118" customWidth="1"/>
    <col min="7942" max="7942" width="14.42578125" style="118" bestFit="1" customWidth="1"/>
    <col min="7943" max="7943" width="15.42578125" style="118" bestFit="1" customWidth="1"/>
    <col min="7944" max="7944" width="15.42578125" style="118" customWidth="1"/>
    <col min="7945" max="7945" width="14.140625" style="118" customWidth="1"/>
    <col min="7946" max="7946" width="13.5703125" style="118" customWidth="1"/>
    <col min="7947" max="7947" width="13" style="118" customWidth="1"/>
    <col min="7948" max="7948" width="14.140625" style="118" customWidth="1"/>
    <col min="7949" max="7950" width="13.42578125" style="118" bestFit="1" customWidth="1"/>
    <col min="7951" max="7951" width="13" style="118" bestFit="1" customWidth="1"/>
    <col min="7952" max="7952" width="17" style="118" bestFit="1" customWidth="1"/>
    <col min="7953" max="7953" width="0" style="118" hidden="1" customWidth="1"/>
    <col min="7954" max="7954" width="13.140625" style="118" customWidth="1"/>
    <col min="7955" max="7955" width="17" style="118" bestFit="1" customWidth="1"/>
    <col min="7956" max="7956" width="12.5703125" style="118" bestFit="1" customWidth="1"/>
    <col min="7957" max="7957" width="11.42578125" style="118" bestFit="1" customWidth="1"/>
    <col min="7958" max="8192" width="8.85546875" style="118"/>
    <col min="8193" max="8193" width="5.85546875" style="118" customWidth="1"/>
    <col min="8194" max="8194" width="41.28515625" style="118" customWidth="1"/>
    <col min="8195" max="8195" width="13.85546875" style="118" customWidth="1"/>
    <col min="8196" max="8196" width="14.140625" style="118" bestFit="1" customWidth="1"/>
    <col min="8197" max="8197" width="15.7109375" style="118" customWidth="1"/>
    <col min="8198" max="8198" width="14.42578125" style="118" bestFit="1" customWidth="1"/>
    <col min="8199" max="8199" width="15.42578125" style="118" bestFit="1" customWidth="1"/>
    <col min="8200" max="8200" width="15.42578125" style="118" customWidth="1"/>
    <col min="8201" max="8201" width="14.140625" style="118" customWidth="1"/>
    <col min="8202" max="8202" width="13.5703125" style="118" customWidth="1"/>
    <col min="8203" max="8203" width="13" style="118" customWidth="1"/>
    <col min="8204" max="8204" width="14.140625" style="118" customWidth="1"/>
    <col min="8205" max="8206" width="13.42578125" style="118" bestFit="1" customWidth="1"/>
    <col min="8207" max="8207" width="13" style="118" bestFit="1" customWidth="1"/>
    <col min="8208" max="8208" width="17" style="118" bestFit="1" customWidth="1"/>
    <col min="8209" max="8209" width="0" style="118" hidden="1" customWidth="1"/>
    <col min="8210" max="8210" width="13.140625" style="118" customWidth="1"/>
    <col min="8211" max="8211" width="17" style="118" bestFit="1" customWidth="1"/>
    <col min="8212" max="8212" width="12.5703125" style="118" bestFit="1" customWidth="1"/>
    <col min="8213" max="8213" width="11.42578125" style="118" bestFit="1" customWidth="1"/>
    <col min="8214" max="8448" width="8.85546875" style="118"/>
    <col min="8449" max="8449" width="5.85546875" style="118" customWidth="1"/>
    <col min="8450" max="8450" width="41.28515625" style="118" customWidth="1"/>
    <col min="8451" max="8451" width="13.85546875" style="118" customWidth="1"/>
    <col min="8452" max="8452" width="14.140625" style="118" bestFit="1" customWidth="1"/>
    <col min="8453" max="8453" width="15.7109375" style="118" customWidth="1"/>
    <col min="8454" max="8454" width="14.42578125" style="118" bestFit="1" customWidth="1"/>
    <col min="8455" max="8455" width="15.42578125" style="118" bestFit="1" customWidth="1"/>
    <col min="8456" max="8456" width="15.42578125" style="118" customWidth="1"/>
    <col min="8457" max="8457" width="14.140625" style="118" customWidth="1"/>
    <col min="8458" max="8458" width="13.5703125" style="118" customWidth="1"/>
    <col min="8459" max="8459" width="13" style="118" customWidth="1"/>
    <col min="8460" max="8460" width="14.140625" style="118" customWidth="1"/>
    <col min="8461" max="8462" width="13.42578125" style="118" bestFit="1" customWidth="1"/>
    <col min="8463" max="8463" width="13" style="118" bestFit="1" customWidth="1"/>
    <col min="8464" max="8464" width="17" style="118" bestFit="1" customWidth="1"/>
    <col min="8465" max="8465" width="0" style="118" hidden="1" customWidth="1"/>
    <col min="8466" max="8466" width="13.140625" style="118" customWidth="1"/>
    <col min="8467" max="8467" width="17" style="118" bestFit="1" customWidth="1"/>
    <col min="8468" max="8468" width="12.5703125" style="118" bestFit="1" customWidth="1"/>
    <col min="8469" max="8469" width="11.42578125" style="118" bestFit="1" customWidth="1"/>
    <col min="8470" max="8704" width="8.85546875" style="118"/>
    <col min="8705" max="8705" width="5.85546875" style="118" customWidth="1"/>
    <col min="8706" max="8706" width="41.28515625" style="118" customWidth="1"/>
    <col min="8707" max="8707" width="13.85546875" style="118" customWidth="1"/>
    <col min="8708" max="8708" width="14.140625" style="118" bestFit="1" customWidth="1"/>
    <col min="8709" max="8709" width="15.7109375" style="118" customWidth="1"/>
    <col min="8710" max="8710" width="14.42578125" style="118" bestFit="1" customWidth="1"/>
    <col min="8711" max="8711" width="15.42578125" style="118" bestFit="1" customWidth="1"/>
    <col min="8712" max="8712" width="15.42578125" style="118" customWidth="1"/>
    <col min="8713" max="8713" width="14.140625" style="118" customWidth="1"/>
    <col min="8714" max="8714" width="13.5703125" style="118" customWidth="1"/>
    <col min="8715" max="8715" width="13" style="118" customWidth="1"/>
    <col min="8716" max="8716" width="14.140625" style="118" customWidth="1"/>
    <col min="8717" max="8718" width="13.42578125" style="118" bestFit="1" customWidth="1"/>
    <col min="8719" max="8719" width="13" style="118" bestFit="1" customWidth="1"/>
    <col min="8720" max="8720" width="17" style="118" bestFit="1" customWidth="1"/>
    <col min="8721" max="8721" width="0" style="118" hidden="1" customWidth="1"/>
    <col min="8722" max="8722" width="13.140625" style="118" customWidth="1"/>
    <col min="8723" max="8723" width="17" style="118" bestFit="1" customWidth="1"/>
    <col min="8724" max="8724" width="12.5703125" style="118" bestFit="1" customWidth="1"/>
    <col min="8725" max="8725" width="11.42578125" style="118" bestFit="1" customWidth="1"/>
    <col min="8726" max="8960" width="8.85546875" style="118"/>
    <col min="8961" max="8961" width="5.85546875" style="118" customWidth="1"/>
    <col min="8962" max="8962" width="41.28515625" style="118" customWidth="1"/>
    <col min="8963" max="8963" width="13.85546875" style="118" customWidth="1"/>
    <col min="8964" max="8964" width="14.140625" style="118" bestFit="1" customWidth="1"/>
    <col min="8965" max="8965" width="15.7109375" style="118" customWidth="1"/>
    <col min="8966" max="8966" width="14.42578125" style="118" bestFit="1" customWidth="1"/>
    <col min="8967" max="8967" width="15.42578125" style="118" bestFit="1" customWidth="1"/>
    <col min="8968" max="8968" width="15.42578125" style="118" customWidth="1"/>
    <col min="8969" max="8969" width="14.140625" style="118" customWidth="1"/>
    <col min="8970" max="8970" width="13.5703125" style="118" customWidth="1"/>
    <col min="8971" max="8971" width="13" style="118" customWidth="1"/>
    <col min="8972" max="8972" width="14.140625" style="118" customWidth="1"/>
    <col min="8973" max="8974" width="13.42578125" style="118" bestFit="1" customWidth="1"/>
    <col min="8975" max="8975" width="13" style="118" bestFit="1" customWidth="1"/>
    <col min="8976" max="8976" width="17" style="118" bestFit="1" customWidth="1"/>
    <col min="8977" max="8977" width="0" style="118" hidden="1" customWidth="1"/>
    <col min="8978" max="8978" width="13.140625" style="118" customWidth="1"/>
    <col min="8979" max="8979" width="17" style="118" bestFit="1" customWidth="1"/>
    <col min="8980" max="8980" width="12.5703125" style="118" bestFit="1" customWidth="1"/>
    <col min="8981" max="8981" width="11.42578125" style="118" bestFit="1" customWidth="1"/>
    <col min="8982" max="9216" width="8.85546875" style="118"/>
    <col min="9217" max="9217" width="5.85546875" style="118" customWidth="1"/>
    <col min="9218" max="9218" width="41.28515625" style="118" customWidth="1"/>
    <col min="9219" max="9219" width="13.85546875" style="118" customWidth="1"/>
    <col min="9220" max="9220" width="14.140625" style="118" bestFit="1" customWidth="1"/>
    <col min="9221" max="9221" width="15.7109375" style="118" customWidth="1"/>
    <col min="9222" max="9222" width="14.42578125" style="118" bestFit="1" customWidth="1"/>
    <col min="9223" max="9223" width="15.42578125" style="118" bestFit="1" customWidth="1"/>
    <col min="9224" max="9224" width="15.42578125" style="118" customWidth="1"/>
    <col min="9225" max="9225" width="14.140625" style="118" customWidth="1"/>
    <col min="9226" max="9226" width="13.5703125" style="118" customWidth="1"/>
    <col min="9227" max="9227" width="13" style="118" customWidth="1"/>
    <col min="9228" max="9228" width="14.140625" style="118" customWidth="1"/>
    <col min="9229" max="9230" width="13.42578125" style="118" bestFit="1" customWidth="1"/>
    <col min="9231" max="9231" width="13" style="118" bestFit="1" customWidth="1"/>
    <col min="9232" max="9232" width="17" style="118" bestFit="1" customWidth="1"/>
    <col min="9233" max="9233" width="0" style="118" hidden="1" customWidth="1"/>
    <col min="9234" max="9234" width="13.140625" style="118" customWidth="1"/>
    <col min="9235" max="9235" width="17" style="118" bestFit="1" customWidth="1"/>
    <col min="9236" max="9236" width="12.5703125" style="118" bestFit="1" customWidth="1"/>
    <col min="9237" max="9237" width="11.42578125" style="118" bestFit="1" customWidth="1"/>
    <col min="9238" max="9472" width="8.85546875" style="118"/>
    <col min="9473" max="9473" width="5.85546875" style="118" customWidth="1"/>
    <col min="9474" max="9474" width="41.28515625" style="118" customWidth="1"/>
    <col min="9475" max="9475" width="13.85546875" style="118" customWidth="1"/>
    <col min="9476" max="9476" width="14.140625" style="118" bestFit="1" customWidth="1"/>
    <col min="9477" max="9477" width="15.7109375" style="118" customWidth="1"/>
    <col min="9478" max="9478" width="14.42578125" style="118" bestFit="1" customWidth="1"/>
    <col min="9479" max="9479" width="15.42578125" style="118" bestFit="1" customWidth="1"/>
    <col min="9480" max="9480" width="15.42578125" style="118" customWidth="1"/>
    <col min="9481" max="9481" width="14.140625" style="118" customWidth="1"/>
    <col min="9482" max="9482" width="13.5703125" style="118" customWidth="1"/>
    <col min="9483" max="9483" width="13" style="118" customWidth="1"/>
    <col min="9484" max="9484" width="14.140625" style="118" customWidth="1"/>
    <col min="9485" max="9486" width="13.42578125" style="118" bestFit="1" customWidth="1"/>
    <col min="9487" max="9487" width="13" style="118" bestFit="1" customWidth="1"/>
    <col min="9488" max="9488" width="17" style="118" bestFit="1" customWidth="1"/>
    <col min="9489" max="9489" width="0" style="118" hidden="1" customWidth="1"/>
    <col min="9490" max="9490" width="13.140625" style="118" customWidth="1"/>
    <col min="9491" max="9491" width="17" style="118" bestFit="1" customWidth="1"/>
    <col min="9492" max="9492" width="12.5703125" style="118" bestFit="1" customWidth="1"/>
    <col min="9493" max="9493" width="11.42578125" style="118" bestFit="1" customWidth="1"/>
    <col min="9494" max="9728" width="8.85546875" style="118"/>
    <col min="9729" max="9729" width="5.85546875" style="118" customWidth="1"/>
    <col min="9730" max="9730" width="41.28515625" style="118" customWidth="1"/>
    <col min="9731" max="9731" width="13.85546875" style="118" customWidth="1"/>
    <col min="9732" max="9732" width="14.140625" style="118" bestFit="1" customWidth="1"/>
    <col min="9733" max="9733" width="15.7109375" style="118" customWidth="1"/>
    <col min="9734" max="9734" width="14.42578125" style="118" bestFit="1" customWidth="1"/>
    <col min="9735" max="9735" width="15.42578125" style="118" bestFit="1" customWidth="1"/>
    <col min="9736" max="9736" width="15.42578125" style="118" customWidth="1"/>
    <col min="9737" max="9737" width="14.140625" style="118" customWidth="1"/>
    <col min="9738" max="9738" width="13.5703125" style="118" customWidth="1"/>
    <col min="9739" max="9739" width="13" style="118" customWidth="1"/>
    <col min="9740" max="9740" width="14.140625" style="118" customWidth="1"/>
    <col min="9741" max="9742" width="13.42578125" style="118" bestFit="1" customWidth="1"/>
    <col min="9743" max="9743" width="13" style="118" bestFit="1" customWidth="1"/>
    <col min="9744" max="9744" width="17" style="118" bestFit="1" customWidth="1"/>
    <col min="9745" max="9745" width="0" style="118" hidden="1" customWidth="1"/>
    <col min="9746" max="9746" width="13.140625" style="118" customWidth="1"/>
    <col min="9747" max="9747" width="17" style="118" bestFit="1" customWidth="1"/>
    <col min="9748" max="9748" width="12.5703125" style="118" bestFit="1" customWidth="1"/>
    <col min="9749" max="9749" width="11.42578125" style="118" bestFit="1" customWidth="1"/>
    <col min="9750" max="9984" width="8.85546875" style="118"/>
    <col min="9985" max="9985" width="5.85546875" style="118" customWidth="1"/>
    <col min="9986" max="9986" width="41.28515625" style="118" customWidth="1"/>
    <col min="9987" max="9987" width="13.85546875" style="118" customWidth="1"/>
    <col min="9988" max="9988" width="14.140625" style="118" bestFit="1" customWidth="1"/>
    <col min="9989" max="9989" width="15.7109375" style="118" customWidth="1"/>
    <col min="9990" max="9990" width="14.42578125" style="118" bestFit="1" customWidth="1"/>
    <col min="9991" max="9991" width="15.42578125" style="118" bestFit="1" customWidth="1"/>
    <col min="9992" max="9992" width="15.42578125" style="118" customWidth="1"/>
    <col min="9993" max="9993" width="14.140625" style="118" customWidth="1"/>
    <col min="9994" max="9994" width="13.5703125" style="118" customWidth="1"/>
    <col min="9995" max="9995" width="13" style="118" customWidth="1"/>
    <col min="9996" max="9996" width="14.140625" style="118" customWidth="1"/>
    <col min="9997" max="9998" width="13.42578125" style="118" bestFit="1" customWidth="1"/>
    <col min="9999" max="9999" width="13" style="118" bestFit="1" customWidth="1"/>
    <col min="10000" max="10000" width="17" style="118" bestFit="1" customWidth="1"/>
    <col min="10001" max="10001" width="0" style="118" hidden="1" customWidth="1"/>
    <col min="10002" max="10002" width="13.140625" style="118" customWidth="1"/>
    <col min="10003" max="10003" width="17" style="118" bestFit="1" customWidth="1"/>
    <col min="10004" max="10004" width="12.5703125" style="118" bestFit="1" customWidth="1"/>
    <col min="10005" max="10005" width="11.42578125" style="118" bestFit="1" customWidth="1"/>
    <col min="10006" max="10240" width="8.85546875" style="118"/>
    <col min="10241" max="10241" width="5.85546875" style="118" customWidth="1"/>
    <col min="10242" max="10242" width="41.28515625" style="118" customWidth="1"/>
    <col min="10243" max="10243" width="13.85546875" style="118" customWidth="1"/>
    <col min="10244" max="10244" width="14.140625" style="118" bestFit="1" customWidth="1"/>
    <col min="10245" max="10245" width="15.7109375" style="118" customWidth="1"/>
    <col min="10246" max="10246" width="14.42578125" style="118" bestFit="1" customWidth="1"/>
    <col min="10247" max="10247" width="15.42578125" style="118" bestFit="1" customWidth="1"/>
    <col min="10248" max="10248" width="15.42578125" style="118" customWidth="1"/>
    <col min="10249" max="10249" width="14.140625" style="118" customWidth="1"/>
    <col min="10250" max="10250" width="13.5703125" style="118" customWidth="1"/>
    <col min="10251" max="10251" width="13" style="118" customWidth="1"/>
    <col min="10252" max="10252" width="14.140625" style="118" customWidth="1"/>
    <col min="10253" max="10254" width="13.42578125" style="118" bestFit="1" customWidth="1"/>
    <col min="10255" max="10255" width="13" style="118" bestFit="1" customWidth="1"/>
    <col min="10256" max="10256" width="17" style="118" bestFit="1" customWidth="1"/>
    <col min="10257" max="10257" width="0" style="118" hidden="1" customWidth="1"/>
    <col min="10258" max="10258" width="13.140625" style="118" customWidth="1"/>
    <col min="10259" max="10259" width="17" style="118" bestFit="1" customWidth="1"/>
    <col min="10260" max="10260" width="12.5703125" style="118" bestFit="1" customWidth="1"/>
    <col min="10261" max="10261" width="11.42578125" style="118" bestFit="1" customWidth="1"/>
    <col min="10262" max="10496" width="8.85546875" style="118"/>
    <col min="10497" max="10497" width="5.85546875" style="118" customWidth="1"/>
    <col min="10498" max="10498" width="41.28515625" style="118" customWidth="1"/>
    <col min="10499" max="10499" width="13.85546875" style="118" customWidth="1"/>
    <col min="10500" max="10500" width="14.140625" style="118" bestFit="1" customWidth="1"/>
    <col min="10501" max="10501" width="15.7109375" style="118" customWidth="1"/>
    <col min="10502" max="10502" width="14.42578125" style="118" bestFit="1" customWidth="1"/>
    <col min="10503" max="10503" width="15.42578125" style="118" bestFit="1" customWidth="1"/>
    <col min="10504" max="10504" width="15.42578125" style="118" customWidth="1"/>
    <col min="10505" max="10505" width="14.140625" style="118" customWidth="1"/>
    <col min="10506" max="10506" width="13.5703125" style="118" customWidth="1"/>
    <col min="10507" max="10507" width="13" style="118" customWidth="1"/>
    <col min="10508" max="10508" width="14.140625" style="118" customWidth="1"/>
    <col min="10509" max="10510" width="13.42578125" style="118" bestFit="1" customWidth="1"/>
    <col min="10511" max="10511" width="13" style="118" bestFit="1" customWidth="1"/>
    <col min="10512" max="10512" width="17" style="118" bestFit="1" customWidth="1"/>
    <col min="10513" max="10513" width="0" style="118" hidden="1" customWidth="1"/>
    <col min="10514" max="10514" width="13.140625" style="118" customWidth="1"/>
    <col min="10515" max="10515" width="17" style="118" bestFit="1" customWidth="1"/>
    <col min="10516" max="10516" width="12.5703125" style="118" bestFit="1" customWidth="1"/>
    <col min="10517" max="10517" width="11.42578125" style="118" bestFit="1" customWidth="1"/>
    <col min="10518" max="10752" width="8.85546875" style="118"/>
    <col min="10753" max="10753" width="5.85546875" style="118" customWidth="1"/>
    <col min="10754" max="10754" width="41.28515625" style="118" customWidth="1"/>
    <col min="10755" max="10755" width="13.85546875" style="118" customWidth="1"/>
    <col min="10756" max="10756" width="14.140625" style="118" bestFit="1" customWidth="1"/>
    <col min="10757" max="10757" width="15.7109375" style="118" customWidth="1"/>
    <col min="10758" max="10758" width="14.42578125" style="118" bestFit="1" customWidth="1"/>
    <col min="10759" max="10759" width="15.42578125" style="118" bestFit="1" customWidth="1"/>
    <col min="10760" max="10760" width="15.42578125" style="118" customWidth="1"/>
    <col min="10761" max="10761" width="14.140625" style="118" customWidth="1"/>
    <col min="10762" max="10762" width="13.5703125" style="118" customWidth="1"/>
    <col min="10763" max="10763" width="13" style="118" customWidth="1"/>
    <col min="10764" max="10764" width="14.140625" style="118" customWidth="1"/>
    <col min="10765" max="10766" width="13.42578125" style="118" bestFit="1" customWidth="1"/>
    <col min="10767" max="10767" width="13" style="118" bestFit="1" customWidth="1"/>
    <col min="10768" max="10768" width="17" style="118" bestFit="1" customWidth="1"/>
    <col min="10769" max="10769" width="0" style="118" hidden="1" customWidth="1"/>
    <col min="10770" max="10770" width="13.140625" style="118" customWidth="1"/>
    <col min="10771" max="10771" width="17" style="118" bestFit="1" customWidth="1"/>
    <col min="10772" max="10772" width="12.5703125" style="118" bestFit="1" customWidth="1"/>
    <col min="10773" max="10773" width="11.42578125" style="118" bestFit="1" customWidth="1"/>
    <col min="10774" max="11008" width="8.85546875" style="118"/>
    <col min="11009" max="11009" width="5.85546875" style="118" customWidth="1"/>
    <col min="11010" max="11010" width="41.28515625" style="118" customWidth="1"/>
    <col min="11011" max="11011" width="13.85546875" style="118" customWidth="1"/>
    <col min="11012" max="11012" width="14.140625" style="118" bestFit="1" customWidth="1"/>
    <col min="11013" max="11013" width="15.7109375" style="118" customWidth="1"/>
    <col min="11014" max="11014" width="14.42578125" style="118" bestFit="1" customWidth="1"/>
    <col min="11015" max="11015" width="15.42578125" style="118" bestFit="1" customWidth="1"/>
    <col min="11016" max="11016" width="15.42578125" style="118" customWidth="1"/>
    <col min="11017" max="11017" width="14.140625" style="118" customWidth="1"/>
    <col min="11018" max="11018" width="13.5703125" style="118" customWidth="1"/>
    <col min="11019" max="11019" width="13" style="118" customWidth="1"/>
    <col min="11020" max="11020" width="14.140625" style="118" customWidth="1"/>
    <col min="11021" max="11022" width="13.42578125" style="118" bestFit="1" customWidth="1"/>
    <col min="11023" max="11023" width="13" style="118" bestFit="1" customWidth="1"/>
    <col min="11024" max="11024" width="17" style="118" bestFit="1" customWidth="1"/>
    <col min="11025" max="11025" width="0" style="118" hidden="1" customWidth="1"/>
    <col min="11026" max="11026" width="13.140625" style="118" customWidth="1"/>
    <col min="11027" max="11027" width="17" style="118" bestFit="1" customWidth="1"/>
    <col min="11028" max="11028" width="12.5703125" style="118" bestFit="1" customWidth="1"/>
    <col min="11029" max="11029" width="11.42578125" style="118" bestFit="1" customWidth="1"/>
    <col min="11030" max="11264" width="8.85546875" style="118"/>
    <col min="11265" max="11265" width="5.85546875" style="118" customWidth="1"/>
    <col min="11266" max="11266" width="41.28515625" style="118" customWidth="1"/>
    <col min="11267" max="11267" width="13.85546875" style="118" customWidth="1"/>
    <col min="11268" max="11268" width="14.140625" style="118" bestFit="1" customWidth="1"/>
    <col min="11269" max="11269" width="15.7109375" style="118" customWidth="1"/>
    <col min="11270" max="11270" width="14.42578125" style="118" bestFit="1" customWidth="1"/>
    <col min="11271" max="11271" width="15.42578125" style="118" bestFit="1" customWidth="1"/>
    <col min="11272" max="11272" width="15.42578125" style="118" customWidth="1"/>
    <col min="11273" max="11273" width="14.140625" style="118" customWidth="1"/>
    <col min="11274" max="11274" width="13.5703125" style="118" customWidth="1"/>
    <col min="11275" max="11275" width="13" style="118" customWidth="1"/>
    <col min="11276" max="11276" width="14.140625" style="118" customWidth="1"/>
    <col min="11277" max="11278" width="13.42578125" style="118" bestFit="1" customWidth="1"/>
    <col min="11279" max="11279" width="13" style="118" bestFit="1" customWidth="1"/>
    <col min="11280" max="11280" width="17" style="118" bestFit="1" customWidth="1"/>
    <col min="11281" max="11281" width="0" style="118" hidden="1" customWidth="1"/>
    <col min="11282" max="11282" width="13.140625" style="118" customWidth="1"/>
    <col min="11283" max="11283" width="17" style="118" bestFit="1" customWidth="1"/>
    <col min="11284" max="11284" width="12.5703125" style="118" bestFit="1" customWidth="1"/>
    <col min="11285" max="11285" width="11.42578125" style="118" bestFit="1" customWidth="1"/>
    <col min="11286" max="11520" width="8.85546875" style="118"/>
    <col min="11521" max="11521" width="5.85546875" style="118" customWidth="1"/>
    <col min="11522" max="11522" width="41.28515625" style="118" customWidth="1"/>
    <col min="11523" max="11523" width="13.85546875" style="118" customWidth="1"/>
    <col min="11524" max="11524" width="14.140625" style="118" bestFit="1" customWidth="1"/>
    <col min="11525" max="11525" width="15.7109375" style="118" customWidth="1"/>
    <col min="11526" max="11526" width="14.42578125" style="118" bestFit="1" customWidth="1"/>
    <col min="11527" max="11527" width="15.42578125" style="118" bestFit="1" customWidth="1"/>
    <col min="11528" max="11528" width="15.42578125" style="118" customWidth="1"/>
    <col min="11529" max="11529" width="14.140625" style="118" customWidth="1"/>
    <col min="11530" max="11530" width="13.5703125" style="118" customWidth="1"/>
    <col min="11531" max="11531" width="13" style="118" customWidth="1"/>
    <col min="11532" max="11532" width="14.140625" style="118" customWidth="1"/>
    <col min="11533" max="11534" width="13.42578125" style="118" bestFit="1" customWidth="1"/>
    <col min="11535" max="11535" width="13" style="118" bestFit="1" customWidth="1"/>
    <col min="11536" max="11536" width="17" style="118" bestFit="1" customWidth="1"/>
    <col min="11537" max="11537" width="0" style="118" hidden="1" customWidth="1"/>
    <col min="11538" max="11538" width="13.140625" style="118" customWidth="1"/>
    <col min="11539" max="11539" width="17" style="118" bestFit="1" customWidth="1"/>
    <col min="11540" max="11540" width="12.5703125" style="118" bestFit="1" customWidth="1"/>
    <col min="11541" max="11541" width="11.42578125" style="118" bestFit="1" customWidth="1"/>
    <col min="11542" max="11776" width="8.85546875" style="118"/>
    <col min="11777" max="11777" width="5.85546875" style="118" customWidth="1"/>
    <col min="11778" max="11778" width="41.28515625" style="118" customWidth="1"/>
    <col min="11779" max="11779" width="13.85546875" style="118" customWidth="1"/>
    <col min="11780" max="11780" width="14.140625" style="118" bestFit="1" customWidth="1"/>
    <col min="11781" max="11781" width="15.7109375" style="118" customWidth="1"/>
    <col min="11782" max="11782" width="14.42578125" style="118" bestFit="1" customWidth="1"/>
    <col min="11783" max="11783" width="15.42578125" style="118" bestFit="1" customWidth="1"/>
    <col min="11784" max="11784" width="15.42578125" style="118" customWidth="1"/>
    <col min="11785" max="11785" width="14.140625" style="118" customWidth="1"/>
    <col min="11786" max="11786" width="13.5703125" style="118" customWidth="1"/>
    <col min="11787" max="11787" width="13" style="118" customWidth="1"/>
    <col min="11788" max="11788" width="14.140625" style="118" customWidth="1"/>
    <col min="11789" max="11790" width="13.42578125" style="118" bestFit="1" customWidth="1"/>
    <col min="11791" max="11791" width="13" style="118" bestFit="1" customWidth="1"/>
    <col min="11792" max="11792" width="17" style="118" bestFit="1" customWidth="1"/>
    <col min="11793" max="11793" width="0" style="118" hidden="1" customWidth="1"/>
    <col min="11794" max="11794" width="13.140625" style="118" customWidth="1"/>
    <col min="11795" max="11795" width="17" style="118" bestFit="1" customWidth="1"/>
    <col min="11796" max="11796" width="12.5703125" style="118" bestFit="1" customWidth="1"/>
    <col min="11797" max="11797" width="11.42578125" style="118" bestFit="1" customWidth="1"/>
    <col min="11798" max="12032" width="8.85546875" style="118"/>
    <col min="12033" max="12033" width="5.85546875" style="118" customWidth="1"/>
    <col min="12034" max="12034" width="41.28515625" style="118" customWidth="1"/>
    <col min="12035" max="12035" width="13.85546875" style="118" customWidth="1"/>
    <col min="12036" max="12036" width="14.140625" style="118" bestFit="1" customWidth="1"/>
    <col min="12037" max="12037" width="15.7109375" style="118" customWidth="1"/>
    <col min="12038" max="12038" width="14.42578125" style="118" bestFit="1" customWidth="1"/>
    <col min="12039" max="12039" width="15.42578125" style="118" bestFit="1" customWidth="1"/>
    <col min="12040" max="12040" width="15.42578125" style="118" customWidth="1"/>
    <col min="12041" max="12041" width="14.140625" style="118" customWidth="1"/>
    <col min="12042" max="12042" width="13.5703125" style="118" customWidth="1"/>
    <col min="12043" max="12043" width="13" style="118" customWidth="1"/>
    <col min="12044" max="12044" width="14.140625" style="118" customWidth="1"/>
    <col min="12045" max="12046" width="13.42578125" style="118" bestFit="1" customWidth="1"/>
    <col min="12047" max="12047" width="13" style="118" bestFit="1" customWidth="1"/>
    <col min="12048" max="12048" width="17" style="118" bestFit="1" customWidth="1"/>
    <col min="12049" max="12049" width="0" style="118" hidden="1" customWidth="1"/>
    <col min="12050" max="12050" width="13.140625" style="118" customWidth="1"/>
    <col min="12051" max="12051" width="17" style="118" bestFit="1" customWidth="1"/>
    <col min="12052" max="12052" width="12.5703125" style="118" bestFit="1" customWidth="1"/>
    <col min="12053" max="12053" width="11.42578125" style="118" bestFit="1" customWidth="1"/>
    <col min="12054" max="12288" width="8.85546875" style="118"/>
    <col min="12289" max="12289" width="5.85546875" style="118" customWidth="1"/>
    <col min="12290" max="12290" width="41.28515625" style="118" customWidth="1"/>
    <col min="12291" max="12291" width="13.85546875" style="118" customWidth="1"/>
    <col min="12292" max="12292" width="14.140625" style="118" bestFit="1" customWidth="1"/>
    <col min="12293" max="12293" width="15.7109375" style="118" customWidth="1"/>
    <col min="12294" max="12294" width="14.42578125" style="118" bestFit="1" customWidth="1"/>
    <col min="12295" max="12295" width="15.42578125" style="118" bestFit="1" customWidth="1"/>
    <col min="12296" max="12296" width="15.42578125" style="118" customWidth="1"/>
    <col min="12297" max="12297" width="14.140625" style="118" customWidth="1"/>
    <col min="12298" max="12298" width="13.5703125" style="118" customWidth="1"/>
    <col min="12299" max="12299" width="13" style="118" customWidth="1"/>
    <col min="12300" max="12300" width="14.140625" style="118" customWidth="1"/>
    <col min="12301" max="12302" width="13.42578125" style="118" bestFit="1" customWidth="1"/>
    <col min="12303" max="12303" width="13" style="118" bestFit="1" customWidth="1"/>
    <col min="12304" max="12304" width="17" style="118" bestFit="1" customWidth="1"/>
    <col min="12305" max="12305" width="0" style="118" hidden="1" customWidth="1"/>
    <col min="12306" max="12306" width="13.140625" style="118" customWidth="1"/>
    <col min="12307" max="12307" width="17" style="118" bestFit="1" customWidth="1"/>
    <col min="12308" max="12308" width="12.5703125" style="118" bestFit="1" customWidth="1"/>
    <col min="12309" max="12309" width="11.42578125" style="118" bestFit="1" customWidth="1"/>
    <col min="12310" max="12544" width="8.85546875" style="118"/>
    <col min="12545" max="12545" width="5.85546875" style="118" customWidth="1"/>
    <col min="12546" max="12546" width="41.28515625" style="118" customWidth="1"/>
    <col min="12547" max="12547" width="13.85546875" style="118" customWidth="1"/>
    <col min="12548" max="12548" width="14.140625" style="118" bestFit="1" customWidth="1"/>
    <col min="12549" max="12549" width="15.7109375" style="118" customWidth="1"/>
    <col min="12550" max="12550" width="14.42578125" style="118" bestFit="1" customWidth="1"/>
    <col min="12551" max="12551" width="15.42578125" style="118" bestFit="1" customWidth="1"/>
    <col min="12552" max="12552" width="15.42578125" style="118" customWidth="1"/>
    <col min="12553" max="12553" width="14.140625" style="118" customWidth="1"/>
    <col min="12554" max="12554" width="13.5703125" style="118" customWidth="1"/>
    <col min="12555" max="12555" width="13" style="118" customWidth="1"/>
    <col min="12556" max="12556" width="14.140625" style="118" customWidth="1"/>
    <col min="12557" max="12558" width="13.42578125" style="118" bestFit="1" customWidth="1"/>
    <col min="12559" max="12559" width="13" style="118" bestFit="1" customWidth="1"/>
    <col min="12560" max="12560" width="17" style="118" bestFit="1" customWidth="1"/>
    <col min="12561" max="12561" width="0" style="118" hidden="1" customWidth="1"/>
    <col min="12562" max="12562" width="13.140625" style="118" customWidth="1"/>
    <col min="12563" max="12563" width="17" style="118" bestFit="1" customWidth="1"/>
    <col min="12564" max="12564" width="12.5703125" style="118" bestFit="1" customWidth="1"/>
    <col min="12565" max="12565" width="11.42578125" style="118" bestFit="1" customWidth="1"/>
    <col min="12566" max="12800" width="8.85546875" style="118"/>
    <col min="12801" max="12801" width="5.85546875" style="118" customWidth="1"/>
    <col min="12802" max="12802" width="41.28515625" style="118" customWidth="1"/>
    <col min="12803" max="12803" width="13.85546875" style="118" customWidth="1"/>
    <col min="12804" max="12804" width="14.140625" style="118" bestFit="1" customWidth="1"/>
    <col min="12805" max="12805" width="15.7109375" style="118" customWidth="1"/>
    <col min="12806" max="12806" width="14.42578125" style="118" bestFit="1" customWidth="1"/>
    <col min="12807" max="12807" width="15.42578125" style="118" bestFit="1" customWidth="1"/>
    <col min="12808" max="12808" width="15.42578125" style="118" customWidth="1"/>
    <col min="12809" max="12809" width="14.140625" style="118" customWidth="1"/>
    <col min="12810" max="12810" width="13.5703125" style="118" customWidth="1"/>
    <col min="12811" max="12811" width="13" style="118" customWidth="1"/>
    <col min="12812" max="12812" width="14.140625" style="118" customWidth="1"/>
    <col min="12813" max="12814" width="13.42578125" style="118" bestFit="1" customWidth="1"/>
    <col min="12815" max="12815" width="13" style="118" bestFit="1" customWidth="1"/>
    <col min="12816" max="12816" width="17" style="118" bestFit="1" customWidth="1"/>
    <col min="12817" max="12817" width="0" style="118" hidden="1" customWidth="1"/>
    <col min="12818" max="12818" width="13.140625" style="118" customWidth="1"/>
    <col min="12819" max="12819" width="17" style="118" bestFit="1" customWidth="1"/>
    <col min="12820" max="12820" width="12.5703125" style="118" bestFit="1" customWidth="1"/>
    <col min="12821" max="12821" width="11.42578125" style="118" bestFit="1" customWidth="1"/>
    <col min="12822" max="13056" width="8.85546875" style="118"/>
    <col min="13057" max="13057" width="5.85546875" style="118" customWidth="1"/>
    <col min="13058" max="13058" width="41.28515625" style="118" customWidth="1"/>
    <col min="13059" max="13059" width="13.85546875" style="118" customWidth="1"/>
    <col min="13060" max="13060" width="14.140625" style="118" bestFit="1" customWidth="1"/>
    <col min="13061" max="13061" width="15.7109375" style="118" customWidth="1"/>
    <col min="13062" max="13062" width="14.42578125" style="118" bestFit="1" customWidth="1"/>
    <col min="13063" max="13063" width="15.42578125" style="118" bestFit="1" customWidth="1"/>
    <col min="13064" max="13064" width="15.42578125" style="118" customWidth="1"/>
    <col min="13065" max="13065" width="14.140625" style="118" customWidth="1"/>
    <col min="13066" max="13066" width="13.5703125" style="118" customWidth="1"/>
    <col min="13067" max="13067" width="13" style="118" customWidth="1"/>
    <col min="13068" max="13068" width="14.140625" style="118" customWidth="1"/>
    <col min="13069" max="13070" width="13.42578125" style="118" bestFit="1" customWidth="1"/>
    <col min="13071" max="13071" width="13" style="118" bestFit="1" customWidth="1"/>
    <col min="13072" max="13072" width="17" style="118" bestFit="1" customWidth="1"/>
    <col min="13073" max="13073" width="0" style="118" hidden="1" customWidth="1"/>
    <col min="13074" max="13074" width="13.140625" style="118" customWidth="1"/>
    <col min="13075" max="13075" width="17" style="118" bestFit="1" customWidth="1"/>
    <col min="13076" max="13076" width="12.5703125" style="118" bestFit="1" customWidth="1"/>
    <col min="13077" max="13077" width="11.42578125" style="118" bestFit="1" customWidth="1"/>
    <col min="13078" max="13312" width="8.85546875" style="118"/>
    <col min="13313" max="13313" width="5.85546875" style="118" customWidth="1"/>
    <col min="13314" max="13314" width="41.28515625" style="118" customWidth="1"/>
    <col min="13315" max="13315" width="13.85546875" style="118" customWidth="1"/>
    <col min="13316" max="13316" width="14.140625" style="118" bestFit="1" customWidth="1"/>
    <col min="13317" max="13317" width="15.7109375" style="118" customWidth="1"/>
    <col min="13318" max="13318" width="14.42578125" style="118" bestFit="1" customWidth="1"/>
    <col min="13319" max="13319" width="15.42578125" style="118" bestFit="1" customWidth="1"/>
    <col min="13320" max="13320" width="15.42578125" style="118" customWidth="1"/>
    <col min="13321" max="13321" width="14.140625" style="118" customWidth="1"/>
    <col min="13322" max="13322" width="13.5703125" style="118" customWidth="1"/>
    <col min="13323" max="13323" width="13" style="118" customWidth="1"/>
    <col min="13324" max="13324" width="14.140625" style="118" customWidth="1"/>
    <col min="13325" max="13326" width="13.42578125" style="118" bestFit="1" customWidth="1"/>
    <col min="13327" max="13327" width="13" style="118" bestFit="1" customWidth="1"/>
    <col min="13328" max="13328" width="17" style="118" bestFit="1" customWidth="1"/>
    <col min="13329" max="13329" width="0" style="118" hidden="1" customWidth="1"/>
    <col min="13330" max="13330" width="13.140625" style="118" customWidth="1"/>
    <col min="13331" max="13331" width="17" style="118" bestFit="1" customWidth="1"/>
    <col min="13332" max="13332" width="12.5703125" style="118" bestFit="1" customWidth="1"/>
    <col min="13333" max="13333" width="11.42578125" style="118" bestFit="1" customWidth="1"/>
    <col min="13334" max="13568" width="8.85546875" style="118"/>
    <col min="13569" max="13569" width="5.85546875" style="118" customWidth="1"/>
    <col min="13570" max="13570" width="41.28515625" style="118" customWidth="1"/>
    <col min="13571" max="13571" width="13.85546875" style="118" customWidth="1"/>
    <col min="13572" max="13572" width="14.140625" style="118" bestFit="1" customWidth="1"/>
    <col min="13573" max="13573" width="15.7109375" style="118" customWidth="1"/>
    <col min="13574" max="13574" width="14.42578125" style="118" bestFit="1" customWidth="1"/>
    <col min="13575" max="13575" width="15.42578125" style="118" bestFit="1" customWidth="1"/>
    <col min="13576" max="13576" width="15.42578125" style="118" customWidth="1"/>
    <col min="13577" max="13577" width="14.140625" style="118" customWidth="1"/>
    <col min="13578" max="13578" width="13.5703125" style="118" customWidth="1"/>
    <col min="13579" max="13579" width="13" style="118" customWidth="1"/>
    <col min="13580" max="13580" width="14.140625" style="118" customWidth="1"/>
    <col min="13581" max="13582" width="13.42578125" style="118" bestFit="1" customWidth="1"/>
    <col min="13583" max="13583" width="13" style="118" bestFit="1" customWidth="1"/>
    <col min="13584" max="13584" width="17" style="118" bestFit="1" customWidth="1"/>
    <col min="13585" max="13585" width="0" style="118" hidden="1" customWidth="1"/>
    <col min="13586" max="13586" width="13.140625" style="118" customWidth="1"/>
    <col min="13587" max="13587" width="17" style="118" bestFit="1" customWidth="1"/>
    <col min="13588" max="13588" width="12.5703125" style="118" bestFit="1" customWidth="1"/>
    <col min="13589" max="13589" width="11.42578125" style="118" bestFit="1" customWidth="1"/>
    <col min="13590" max="13824" width="8.85546875" style="118"/>
    <col min="13825" max="13825" width="5.85546875" style="118" customWidth="1"/>
    <col min="13826" max="13826" width="41.28515625" style="118" customWidth="1"/>
    <col min="13827" max="13827" width="13.85546875" style="118" customWidth="1"/>
    <col min="13828" max="13828" width="14.140625" style="118" bestFit="1" customWidth="1"/>
    <col min="13829" max="13829" width="15.7109375" style="118" customWidth="1"/>
    <col min="13830" max="13830" width="14.42578125" style="118" bestFit="1" customWidth="1"/>
    <col min="13831" max="13831" width="15.42578125" style="118" bestFit="1" customWidth="1"/>
    <col min="13832" max="13832" width="15.42578125" style="118" customWidth="1"/>
    <col min="13833" max="13833" width="14.140625" style="118" customWidth="1"/>
    <col min="13834" max="13834" width="13.5703125" style="118" customWidth="1"/>
    <col min="13835" max="13835" width="13" style="118" customWidth="1"/>
    <col min="13836" max="13836" width="14.140625" style="118" customWidth="1"/>
    <col min="13837" max="13838" width="13.42578125" style="118" bestFit="1" customWidth="1"/>
    <col min="13839" max="13839" width="13" style="118" bestFit="1" customWidth="1"/>
    <col min="13840" max="13840" width="17" style="118" bestFit="1" customWidth="1"/>
    <col min="13841" max="13841" width="0" style="118" hidden="1" customWidth="1"/>
    <col min="13842" max="13842" width="13.140625" style="118" customWidth="1"/>
    <col min="13843" max="13843" width="17" style="118" bestFit="1" customWidth="1"/>
    <col min="13844" max="13844" width="12.5703125" style="118" bestFit="1" customWidth="1"/>
    <col min="13845" max="13845" width="11.42578125" style="118" bestFit="1" customWidth="1"/>
    <col min="13846" max="14080" width="8.85546875" style="118"/>
    <col min="14081" max="14081" width="5.85546875" style="118" customWidth="1"/>
    <col min="14082" max="14082" width="41.28515625" style="118" customWidth="1"/>
    <col min="14083" max="14083" width="13.85546875" style="118" customWidth="1"/>
    <col min="14084" max="14084" width="14.140625" style="118" bestFit="1" customWidth="1"/>
    <col min="14085" max="14085" width="15.7109375" style="118" customWidth="1"/>
    <col min="14086" max="14086" width="14.42578125" style="118" bestFit="1" customWidth="1"/>
    <col min="14087" max="14087" width="15.42578125" style="118" bestFit="1" customWidth="1"/>
    <col min="14088" max="14088" width="15.42578125" style="118" customWidth="1"/>
    <col min="14089" max="14089" width="14.140625" style="118" customWidth="1"/>
    <col min="14090" max="14090" width="13.5703125" style="118" customWidth="1"/>
    <col min="14091" max="14091" width="13" style="118" customWidth="1"/>
    <col min="14092" max="14092" width="14.140625" style="118" customWidth="1"/>
    <col min="14093" max="14094" width="13.42578125" style="118" bestFit="1" customWidth="1"/>
    <col min="14095" max="14095" width="13" style="118" bestFit="1" customWidth="1"/>
    <col min="14096" max="14096" width="17" style="118" bestFit="1" customWidth="1"/>
    <col min="14097" max="14097" width="0" style="118" hidden="1" customWidth="1"/>
    <col min="14098" max="14098" width="13.140625" style="118" customWidth="1"/>
    <col min="14099" max="14099" width="17" style="118" bestFit="1" customWidth="1"/>
    <col min="14100" max="14100" width="12.5703125" style="118" bestFit="1" customWidth="1"/>
    <col min="14101" max="14101" width="11.42578125" style="118" bestFit="1" customWidth="1"/>
    <col min="14102" max="14336" width="8.85546875" style="118"/>
    <col min="14337" max="14337" width="5.85546875" style="118" customWidth="1"/>
    <col min="14338" max="14338" width="41.28515625" style="118" customWidth="1"/>
    <col min="14339" max="14339" width="13.85546875" style="118" customWidth="1"/>
    <col min="14340" max="14340" width="14.140625" style="118" bestFit="1" customWidth="1"/>
    <col min="14341" max="14341" width="15.7109375" style="118" customWidth="1"/>
    <col min="14342" max="14342" width="14.42578125" style="118" bestFit="1" customWidth="1"/>
    <col min="14343" max="14343" width="15.42578125" style="118" bestFit="1" customWidth="1"/>
    <col min="14344" max="14344" width="15.42578125" style="118" customWidth="1"/>
    <col min="14345" max="14345" width="14.140625" style="118" customWidth="1"/>
    <col min="14346" max="14346" width="13.5703125" style="118" customWidth="1"/>
    <col min="14347" max="14347" width="13" style="118" customWidth="1"/>
    <col min="14348" max="14348" width="14.140625" style="118" customWidth="1"/>
    <col min="14349" max="14350" width="13.42578125" style="118" bestFit="1" customWidth="1"/>
    <col min="14351" max="14351" width="13" style="118" bestFit="1" customWidth="1"/>
    <col min="14352" max="14352" width="17" style="118" bestFit="1" customWidth="1"/>
    <col min="14353" max="14353" width="0" style="118" hidden="1" customWidth="1"/>
    <col min="14354" max="14354" width="13.140625" style="118" customWidth="1"/>
    <col min="14355" max="14355" width="17" style="118" bestFit="1" customWidth="1"/>
    <col min="14356" max="14356" width="12.5703125" style="118" bestFit="1" customWidth="1"/>
    <col min="14357" max="14357" width="11.42578125" style="118" bestFit="1" customWidth="1"/>
    <col min="14358" max="14592" width="8.85546875" style="118"/>
    <col min="14593" max="14593" width="5.85546875" style="118" customWidth="1"/>
    <col min="14594" max="14594" width="41.28515625" style="118" customWidth="1"/>
    <col min="14595" max="14595" width="13.85546875" style="118" customWidth="1"/>
    <col min="14596" max="14596" width="14.140625" style="118" bestFit="1" customWidth="1"/>
    <col min="14597" max="14597" width="15.7109375" style="118" customWidth="1"/>
    <col min="14598" max="14598" width="14.42578125" style="118" bestFit="1" customWidth="1"/>
    <col min="14599" max="14599" width="15.42578125" style="118" bestFit="1" customWidth="1"/>
    <col min="14600" max="14600" width="15.42578125" style="118" customWidth="1"/>
    <col min="14601" max="14601" width="14.140625" style="118" customWidth="1"/>
    <col min="14602" max="14602" width="13.5703125" style="118" customWidth="1"/>
    <col min="14603" max="14603" width="13" style="118" customWidth="1"/>
    <col min="14604" max="14604" width="14.140625" style="118" customWidth="1"/>
    <col min="14605" max="14606" width="13.42578125" style="118" bestFit="1" customWidth="1"/>
    <col min="14607" max="14607" width="13" style="118" bestFit="1" customWidth="1"/>
    <col min="14608" max="14608" width="17" style="118" bestFit="1" customWidth="1"/>
    <col min="14609" max="14609" width="0" style="118" hidden="1" customWidth="1"/>
    <col min="14610" max="14610" width="13.140625" style="118" customWidth="1"/>
    <col min="14611" max="14611" width="17" style="118" bestFit="1" customWidth="1"/>
    <col min="14612" max="14612" width="12.5703125" style="118" bestFit="1" customWidth="1"/>
    <col min="14613" max="14613" width="11.42578125" style="118" bestFit="1" customWidth="1"/>
    <col min="14614" max="14848" width="8.85546875" style="118"/>
    <col min="14849" max="14849" width="5.85546875" style="118" customWidth="1"/>
    <col min="14850" max="14850" width="41.28515625" style="118" customWidth="1"/>
    <col min="14851" max="14851" width="13.85546875" style="118" customWidth="1"/>
    <col min="14852" max="14852" width="14.140625" style="118" bestFit="1" customWidth="1"/>
    <col min="14853" max="14853" width="15.7109375" style="118" customWidth="1"/>
    <col min="14854" max="14854" width="14.42578125" style="118" bestFit="1" customWidth="1"/>
    <col min="14855" max="14855" width="15.42578125" style="118" bestFit="1" customWidth="1"/>
    <col min="14856" max="14856" width="15.42578125" style="118" customWidth="1"/>
    <col min="14857" max="14857" width="14.140625" style="118" customWidth="1"/>
    <col min="14858" max="14858" width="13.5703125" style="118" customWidth="1"/>
    <col min="14859" max="14859" width="13" style="118" customWidth="1"/>
    <col min="14860" max="14860" width="14.140625" style="118" customWidth="1"/>
    <col min="14861" max="14862" width="13.42578125" style="118" bestFit="1" customWidth="1"/>
    <col min="14863" max="14863" width="13" style="118" bestFit="1" customWidth="1"/>
    <col min="14864" max="14864" width="17" style="118" bestFit="1" customWidth="1"/>
    <col min="14865" max="14865" width="0" style="118" hidden="1" customWidth="1"/>
    <col min="14866" max="14866" width="13.140625" style="118" customWidth="1"/>
    <col min="14867" max="14867" width="17" style="118" bestFit="1" customWidth="1"/>
    <col min="14868" max="14868" width="12.5703125" style="118" bestFit="1" customWidth="1"/>
    <col min="14869" max="14869" width="11.42578125" style="118" bestFit="1" customWidth="1"/>
    <col min="14870" max="15104" width="8.85546875" style="118"/>
    <col min="15105" max="15105" width="5.85546875" style="118" customWidth="1"/>
    <col min="15106" max="15106" width="41.28515625" style="118" customWidth="1"/>
    <col min="15107" max="15107" width="13.85546875" style="118" customWidth="1"/>
    <col min="15108" max="15108" width="14.140625" style="118" bestFit="1" customWidth="1"/>
    <col min="15109" max="15109" width="15.7109375" style="118" customWidth="1"/>
    <col min="15110" max="15110" width="14.42578125" style="118" bestFit="1" customWidth="1"/>
    <col min="15111" max="15111" width="15.42578125" style="118" bestFit="1" customWidth="1"/>
    <col min="15112" max="15112" width="15.42578125" style="118" customWidth="1"/>
    <col min="15113" max="15113" width="14.140625" style="118" customWidth="1"/>
    <col min="15114" max="15114" width="13.5703125" style="118" customWidth="1"/>
    <col min="15115" max="15115" width="13" style="118" customWidth="1"/>
    <col min="15116" max="15116" width="14.140625" style="118" customWidth="1"/>
    <col min="15117" max="15118" width="13.42578125" style="118" bestFit="1" customWidth="1"/>
    <col min="15119" max="15119" width="13" style="118" bestFit="1" customWidth="1"/>
    <col min="15120" max="15120" width="17" style="118" bestFit="1" customWidth="1"/>
    <col min="15121" max="15121" width="0" style="118" hidden="1" customWidth="1"/>
    <col min="15122" max="15122" width="13.140625" style="118" customWidth="1"/>
    <col min="15123" max="15123" width="17" style="118" bestFit="1" customWidth="1"/>
    <col min="15124" max="15124" width="12.5703125" style="118" bestFit="1" customWidth="1"/>
    <col min="15125" max="15125" width="11.42578125" style="118" bestFit="1" customWidth="1"/>
    <col min="15126" max="15360" width="8.85546875" style="118"/>
    <col min="15361" max="15361" width="5.85546875" style="118" customWidth="1"/>
    <col min="15362" max="15362" width="41.28515625" style="118" customWidth="1"/>
    <col min="15363" max="15363" width="13.85546875" style="118" customWidth="1"/>
    <col min="15364" max="15364" width="14.140625" style="118" bestFit="1" customWidth="1"/>
    <col min="15365" max="15365" width="15.7109375" style="118" customWidth="1"/>
    <col min="15366" max="15366" width="14.42578125" style="118" bestFit="1" customWidth="1"/>
    <col min="15367" max="15367" width="15.42578125" style="118" bestFit="1" customWidth="1"/>
    <col min="15368" max="15368" width="15.42578125" style="118" customWidth="1"/>
    <col min="15369" max="15369" width="14.140625" style="118" customWidth="1"/>
    <col min="15370" max="15370" width="13.5703125" style="118" customWidth="1"/>
    <col min="15371" max="15371" width="13" style="118" customWidth="1"/>
    <col min="15372" max="15372" width="14.140625" style="118" customWidth="1"/>
    <col min="15373" max="15374" width="13.42578125" style="118" bestFit="1" customWidth="1"/>
    <col min="15375" max="15375" width="13" style="118" bestFit="1" customWidth="1"/>
    <col min="15376" max="15376" width="17" style="118" bestFit="1" customWidth="1"/>
    <col min="15377" max="15377" width="0" style="118" hidden="1" customWidth="1"/>
    <col min="15378" max="15378" width="13.140625" style="118" customWidth="1"/>
    <col min="15379" max="15379" width="17" style="118" bestFit="1" customWidth="1"/>
    <col min="15380" max="15380" width="12.5703125" style="118" bestFit="1" customWidth="1"/>
    <col min="15381" max="15381" width="11.42578125" style="118" bestFit="1" customWidth="1"/>
    <col min="15382" max="15616" width="8.85546875" style="118"/>
    <col min="15617" max="15617" width="5.85546875" style="118" customWidth="1"/>
    <col min="15618" max="15618" width="41.28515625" style="118" customWidth="1"/>
    <col min="15619" max="15619" width="13.85546875" style="118" customWidth="1"/>
    <col min="15620" max="15620" width="14.140625" style="118" bestFit="1" customWidth="1"/>
    <col min="15621" max="15621" width="15.7109375" style="118" customWidth="1"/>
    <col min="15622" max="15622" width="14.42578125" style="118" bestFit="1" customWidth="1"/>
    <col min="15623" max="15623" width="15.42578125" style="118" bestFit="1" customWidth="1"/>
    <col min="15624" max="15624" width="15.42578125" style="118" customWidth="1"/>
    <col min="15625" max="15625" width="14.140625" style="118" customWidth="1"/>
    <col min="15626" max="15626" width="13.5703125" style="118" customWidth="1"/>
    <col min="15627" max="15627" width="13" style="118" customWidth="1"/>
    <col min="15628" max="15628" width="14.140625" style="118" customWidth="1"/>
    <col min="15629" max="15630" width="13.42578125" style="118" bestFit="1" customWidth="1"/>
    <col min="15631" max="15631" width="13" style="118" bestFit="1" customWidth="1"/>
    <col min="15632" max="15632" width="17" style="118" bestFit="1" customWidth="1"/>
    <col min="15633" max="15633" width="0" style="118" hidden="1" customWidth="1"/>
    <col min="15634" max="15634" width="13.140625" style="118" customWidth="1"/>
    <col min="15635" max="15635" width="17" style="118" bestFit="1" customWidth="1"/>
    <col min="15636" max="15636" width="12.5703125" style="118" bestFit="1" customWidth="1"/>
    <col min="15637" max="15637" width="11.42578125" style="118" bestFit="1" customWidth="1"/>
    <col min="15638" max="15872" width="8.85546875" style="118"/>
    <col min="15873" max="15873" width="5.85546875" style="118" customWidth="1"/>
    <col min="15874" max="15874" width="41.28515625" style="118" customWidth="1"/>
    <col min="15875" max="15875" width="13.85546875" style="118" customWidth="1"/>
    <col min="15876" max="15876" width="14.140625" style="118" bestFit="1" customWidth="1"/>
    <col min="15877" max="15877" width="15.7109375" style="118" customWidth="1"/>
    <col min="15878" max="15878" width="14.42578125" style="118" bestFit="1" customWidth="1"/>
    <col min="15879" max="15879" width="15.42578125" style="118" bestFit="1" customWidth="1"/>
    <col min="15880" max="15880" width="15.42578125" style="118" customWidth="1"/>
    <col min="15881" max="15881" width="14.140625" style="118" customWidth="1"/>
    <col min="15882" max="15882" width="13.5703125" style="118" customWidth="1"/>
    <col min="15883" max="15883" width="13" style="118" customWidth="1"/>
    <col min="15884" max="15884" width="14.140625" style="118" customWidth="1"/>
    <col min="15885" max="15886" width="13.42578125" style="118" bestFit="1" customWidth="1"/>
    <col min="15887" max="15887" width="13" style="118" bestFit="1" customWidth="1"/>
    <col min="15888" max="15888" width="17" style="118" bestFit="1" customWidth="1"/>
    <col min="15889" max="15889" width="0" style="118" hidden="1" customWidth="1"/>
    <col min="15890" max="15890" width="13.140625" style="118" customWidth="1"/>
    <col min="15891" max="15891" width="17" style="118" bestFit="1" customWidth="1"/>
    <col min="15892" max="15892" width="12.5703125" style="118" bestFit="1" customWidth="1"/>
    <col min="15893" max="15893" width="11.42578125" style="118" bestFit="1" customWidth="1"/>
    <col min="15894" max="16128" width="8.85546875" style="118"/>
    <col min="16129" max="16129" width="5.85546875" style="118" customWidth="1"/>
    <col min="16130" max="16130" width="41.28515625" style="118" customWidth="1"/>
    <col min="16131" max="16131" width="13.85546875" style="118" customWidth="1"/>
    <col min="16132" max="16132" width="14.140625" style="118" bestFit="1" customWidth="1"/>
    <col min="16133" max="16133" width="15.7109375" style="118" customWidth="1"/>
    <col min="16134" max="16134" width="14.42578125" style="118" bestFit="1" customWidth="1"/>
    <col min="16135" max="16135" width="15.42578125" style="118" bestFit="1" customWidth="1"/>
    <col min="16136" max="16136" width="15.42578125" style="118" customWidth="1"/>
    <col min="16137" max="16137" width="14.140625" style="118" customWidth="1"/>
    <col min="16138" max="16138" width="13.5703125" style="118" customWidth="1"/>
    <col min="16139" max="16139" width="13" style="118" customWidth="1"/>
    <col min="16140" max="16140" width="14.140625" style="118" customWidth="1"/>
    <col min="16141" max="16142" width="13.42578125" style="118" bestFit="1" customWidth="1"/>
    <col min="16143" max="16143" width="13" style="118" bestFit="1" customWidth="1"/>
    <col min="16144" max="16144" width="17" style="118" bestFit="1" customWidth="1"/>
    <col min="16145" max="16145" width="0" style="118" hidden="1" customWidth="1"/>
    <col min="16146" max="16146" width="13.140625" style="118" customWidth="1"/>
    <col min="16147" max="16147" width="17" style="118" bestFit="1" customWidth="1"/>
    <col min="16148" max="16148" width="12.5703125" style="118" bestFit="1" customWidth="1"/>
    <col min="16149" max="16149" width="11.42578125" style="118" bestFit="1" customWidth="1"/>
    <col min="16150" max="16384" width="8.85546875" style="118"/>
  </cols>
  <sheetData>
    <row r="1" spans="1:21" ht="18.75" x14ac:dyDescent="0.3">
      <c r="A1" s="142">
        <v>6</v>
      </c>
      <c r="B1" s="143" t="s">
        <v>416</v>
      </c>
      <c r="C1" s="144"/>
      <c r="D1" s="144"/>
      <c r="E1" s="144"/>
      <c r="F1" s="144"/>
      <c r="G1" s="144"/>
      <c r="H1" s="144"/>
      <c r="I1" s="145"/>
      <c r="J1" s="145"/>
      <c r="K1" s="145"/>
      <c r="L1" s="144"/>
      <c r="M1" s="146"/>
      <c r="N1" s="146"/>
      <c r="O1" s="146"/>
      <c r="P1" s="146"/>
      <c r="Q1" s="146"/>
      <c r="R1" s="146"/>
      <c r="S1" s="146"/>
    </row>
    <row r="2" spans="1:21" ht="9.75" customHeight="1" x14ac:dyDescent="0.3">
      <c r="A2" s="144"/>
      <c r="B2" s="144"/>
      <c r="C2" s="144"/>
      <c r="D2" s="144"/>
      <c r="E2" s="147"/>
      <c r="F2" s="147"/>
      <c r="G2" s="146"/>
      <c r="H2" s="146"/>
      <c r="I2" s="146"/>
      <c r="J2" s="146"/>
      <c r="K2" s="146"/>
      <c r="L2" s="144"/>
      <c r="M2" s="146"/>
      <c r="N2" s="146"/>
      <c r="O2" s="146"/>
      <c r="P2" s="146"/>
      <c r="Q2" s="146"/>
      <c r="R2" s="146"/>
      <c r="S2" s="146"/>
    </row>
    <row r="3" spans="1:21" ht="18" x14ac:dyDescent="0.25">
      <c r="A3" s="148">
        <f>A1+0.1</f>
        <v>6.1</v>
      </c>
      <c r="B3" s="149" t="s">
        <v>417</v>
      </c>
      <c r="C3" s="144"/>
      <c r="D3" s="144"/>
      <c r="E3" s="150"/>
      <c r="F3" s="150"/>
      <c r="G3" s="150"/>
      <c r="H3" s="150"/>
      <c r="I3" s="144"/>
      <c r="J3" s="144"/>
      <c r="K3" s="144"/>
      <c r="L3" s="144"/>
      <c r="M3" s="146"/>
      <c r="N3" s="146"/>
      <c r="O3" s="146"/>
      <c r="P3" s="146"/>
      <c r="Q3" s="146"/>
      <c r="R3" s="146"/>
      <c r="S3" s="146"/>
    </row>
    <row r="4" spans="1:21" x14ac:dyDescent="0.2">
      <c r="A4" s="151"/>
      <c r="B4" s="152"/>
      <c r="C4" s="140"/>
      <c r="D4" s="140"/>
      <c r="E4" s="153"/>
      <c r="F4" s="153"/>
      <c r="G4" s="153"/>
      <c r="H4" s="153"/>
      <c r="I4" s="140"/>
      <c r="J4" s="140"/>
      <c r="K4" s="140"/>
      <c r="L4" s="140"/>
    </row>
    <row r="5" spans="1:21" ht="14.25" x14ac:dyDescent="0.2">
      <c r="A5" s="151"/>
      <c r="B5" s="122" t="s">
        <v>418</v>
      </c>
      <c r="C5" s="140"/>
      <c r="D5" s="140"/>
      <c r="E5" s="153"/>
      <c r="F5" s="153"/>
      <c r="G5" s="153"/>
      <c r="H5" s="153"/>
      <c r="I5" s="140"/>
      <c r="J5" s="140"/>
      <c r="K5" s="140"/>
      <c r="L5" s="140"/>
    </row>
    <row r="6" spans="1:21" ht="13.5" thickBot="1" x14ac:dyDescent="0.25">
      <c r="A6" s="151"/>
      <c r="B6" s="140"/>
      <c r="C6" s="140"/>
      <c r="D6" s="140"/>
      <c r="E6" s="153"/>
      <c r="F6" s="153"/>
      <c r="G6" s="153"/>
      <c r="H6" s="153"/>
      <c r="I6" s="140"/>
      <c r="J6" s="140"/>
      <c r="K6" s="140"/>
      <c r="L6" s="140"/>
    </row>
    <row r="7" spans="1:21" ht="56.45" customHeight="1" thickBot="1" x14ac:dyDescent="0.25">
      <c r="A7" s="140"/>
      <c r="B7" s="154"/>
      <c r="C7" s="155" t="s">
        <v>419</v>
      </c>
      <c r="D7" s="155" t="s">
        <v>420</v>
      </c>
      <c r="E7" s="155" t="s">
        <v>421</v>
      </c>
      <c r="F7" s="155" t="s">
        <v>422</v>
      </c>
      <c r="G7" s="155" t="s">
        <v>423</v>
      </c>
      <c r="H7" s="155" t="s">
        <v>424</v>
      </c>
      <c r="I7" s="155" t="s">
        <v>425</v>
      </c>
      <c r="J7" s="155" t="s">
        <v>426</v>
      </c>
      <c r="K7" s="155" t="s">
        <v>427</v>
      </c>
      <c r="L7" s="155" t="s">
        <v>428</v>
      </c>
      <c r="M7" s="155" t="s">
        <v>429</v>
      </c>
      <c r="N7" s="155" t="s">
        <v>430</v>
      </c>
      <c r="O7" s="155" t="s">
        <v>431</v>
      </c>
      <c r="P7" s="155" t="s">
        <v>432</v>
      </c>
      <c r="Q7" s="155" t="s">
        <v>433</v>
      </c>
      <c r="R7" s="155" t="s">
        <v>434</v>
      </c>
      <c r="S7" s="156" t="s">
        <v>3</v>
      </c>
    </row>
    <row r="8" spans="1:21" x14ac:dyDescent="0.2">
      <c r="A8" s="140"/>
      <c r="B8" s="140"/>
      <c r="C8" s="209" t="s">
        <v>435</v>
      </c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</row>
    <row r="9" spans="1:21" s="139" customFormat="1" ht="15" hidden="1" customHeight="1" x14ac:dyDescent="0.25">
      <c r="A9" s="122"/>
      <c r="B9" s="157" t="s">
        <v>436</v>
      </c>
      <c r="C9" s="122"/>
      <c r="D9" s="122"/>
      <c r="E9" s="122"/>
      <c r="F9" s="122"/>
      <c r="G9" s="122"/>
      <c r="H9" s="122"/>
      <c r="I9" s="158"/>
      <c r="J9" s="158"/>
      <c r="K9" s="122"/>
      <c r="L9" s="158"/>
    </row>
    <row r="10" spans="1:21" s="139" customFormat="1" ht="15" hidden="1" customHeight="1" x14ac:dyDescent="0.2">
      <c r="A10" s="122"/>
      <c r="B10" s="122"/>
      <c r="C10" s="122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</row>
    <row r="11" spans="1:21" s="139" customFormat="1" ht="15" hidden="1" customHeight="1" x14ac:dyDescent="0.2">
      <c r="A11" s="122"/>
      <c r="B11" s="128" t="s">
        <v>414</v>
      </c>
      <c r="C11" s="159">
        <v>466666</v>
      </c>
      <c r="D11" s="159">
        <v>30936638</v>
      </c>
      <c r="E11" s="159">
        <v>1574020</v>
      </c>
      <c r="F11" s="159">
        <v>1544550</v>
      </c>
      <c r="G11" s="159">
        <v>1386995</v>
      </c>
      <c r="H11" s="159"/>
      <c r="I11" s="159">
        <v>194222</v>
      </c>
      <c r="J11" s="159">
        <v>1725000</v>
      </c>
      <c r="K11" s="159">
        <v>439400</v>
      </c>
      <c r="L11" s="159">
        <v>629181</v>
      </c>
      <c r="M11" s="159">
        <v>54180</v>
      </c>
      <c r="N11" s="159">
        <v>2100</v>
      </c>
      <c r="O11" s="159">
        <v>50500</v>
      </c>
      <c r="P11" s="159">
        <v>19420360</v>
      </c>
      <c r="Q11" s="159">
        <v>0</v>
      </c>
      <c r="R11" s="159">
        <v>443146</v>
      </c>
      <c r="S11" s="159">
        <f>SUM(C11:R11)</f>
        <v>58866958</v>
      </c>
    </row>
    <row r="12" spans="1:21" s="139" customFormat="1" ht="15" hidden="1" customHeight="1" thickBot="1" x14ac:dyDescent="0.25">
      <c r="A12" s="122"/>
      <c r="B12" s="128"/>
      <c r="C12" s="159"/>
      <c r="D12" s="160"/>
      <c r="E12" s="160"/>
      <c r="F12" s="159"/>
      <c r="G12" s="159"/>
      <c r="H12" s="159"/>
      <c r="I12" s="159"/>
      <c r="J12" s="161"/>
      <c r="K12" s="161"/>
      <c r="L12" s="159"/>
      <c r="M12" s="161"/>
      <c r="N12" s="159"/>
      <c r="O12" s="159"/>
      <c r="P12" s="159"/>
      <c r="Q12" s="159"/>
      <c r="R12" s="159"/>
      <c r="S12" s="159"/>
    </row>
    <row r="13" spans="1:21" s="139" customFormat="1" ht="15" hidden="1" customHeight="1" thickBot="1" x14ac:dyDescent="0.25">
      <c r="A13" s="122"/>
      <c r="B13" s="128" t="s">
        <v>410</v>
      </c>
      <c r="C13" s="159">
        <v>0</v>
      </c>
      <c r="D13" s="159">
        <v>24877644</v>
      </c>
      <c r="E13" s="159">
        <v>598857</v>
      </c>
      <c r="F13" s="159">
        <v>1294656</v>
      </c>
      <c r="G13" s="159">
        <v>448667</v>
      </c>
      <c r="H13" s="159"/>
      <c r="I13" s="159">
        <v>91234</v>
      </c>
      <c r="J13" s="159">
        <v>1509977</v>
      </c>
      <c r="K13" s="159">
        <v>290461</v>
      </c>
      <c r="L13" s="159">
        <v>332160</v>
      </c>
      <c r="M13" s="159">
        <v>30846</v>
      </c>
      <c r="N13" s="159">
        <v>1250</v>
      </c>
      <c r="O13" s="159">
        <v>27635</v>
      </c>
      <c r="P13" s="159">
        <v>13731418</v>
      </c>
      <c r="Q13" s="159">
        <v>0</v>
      </c>
      <c r="R13" s="159">
        <v>387908</v>
      </c>
      <c r="S13" s="159">
        <f>SUM(C13:R13)</f>
        <v>43622713</v>
      </c>
    </row>
    <row r="14" spans="1:21" s="139" customFormat="1" ht="15" hidden="1" customHeight="1" thickBot="1" x14ac:dyDescent="0.25">
      <c r="A14" s="122"/>
      <c r="B14" s="128" t="s">
        <v>437</v>
      </c>
      <c r="C14" s="134">
        <f t="shared" ref="C14:S14" si="0">C11-C13</f>
        <v>466666</v>
      </c>
      <c r="D14" s="134">
        <f t="shared" si="0"/>
        <v>6058994</v>
      </c>
      <c r="E14" s="134">
        <f t="shared" si="0"/>
        <v>975163</v>
      </c>
      <c r="F14" s="134">
        <f t="shared" si="0"/>
        <v>249894</v>
      </c>
      <c r="G14" s="134">
        <f t="shared" si="0"/>
        <v>938328</v>
      </c>
      <c r="H14" s="134"/>
      <c r="I14" s="134">
        <f t="shared" si="0"/>
        <v>102988</v>
      </c>
      <c r="J14" s="134">
        <f t="shared" si="0"/>
        <v>215023</v>
      </c>
      <c r="K14" s="134">
        <f t="shared" si="0"/>
        <v>148939</v>
      </c>
      <c r="L14" s="134">
        <f t="shared" si="0"/>
        <v>297021</v>
      </c>
      <c r="M14" s="134">
        <f t="shared" si="0"/>
        <v>23334</v>
      </c>
      <c r="N14" s="134">
        <f t="shared" si="0"/>
        <v>850</v>
      </c>
      <c r="O14" s="134">
        <f t="shared" si="0"/>
        <v>22865</v>
      </c>
      <c r="P14" s="134">
        <f t="shared" si="0"/>
        <v>5688942</v>
      </c>
      <c r="Q14" s="134">
        <f t="shared" si="0"/>
        <v>0</v>
      </c>
      <c r="R14" s="134">
        <f t="shared" si="0"/>
        <v>55238</v>
      </c>
      <c r="S14" s="134">
        <f t="shared" si="0"/>
        <v>15244245</v>
      </c>
    </row>
    <row r="15" spans="1:21" s="139" customFormat="1" ht="15" hidden="1" customHeight="1" thickTop="1" x14ac:dyDescent="0.2">
      <c r="A15" s="122"/>
      <c r="B15" s="128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</row>
    <row r="16" spans="1:21" s="139" customFormat="1" ht="15" hidden="1" customHeight="1" x14ac:dyDescent="0.2">
      <c r="A16" s="122"/>
      <c r="B16" s="128" t="s">
        <v>438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59"/>
      <c r="T16" s="133"/>
      <c r="U16" s="133"/>
    </row>
    <row r="17" spans="1:23" s="139" customFormat="1" ht="15" customHeight="1" x14ac:dyDescent="0.2">
      <c r="A17" s="122"/>
      <c r="B17" s="128"/>
      <c r="C17" s="122"/>
      <c r="D17" s="122"/>
      <c r="E17" s="122"/>
      <c r="F17" s="122"/>
      <c r="G17" s="122"/>
      <c r="H17" s="122"/>
      <c r="I17" s="158"/>
      <c r="J17" s="158"/>
      <c r="K17" s="122"/>
      <c r="L17" s="158"/>
      <c r="U17" s="162"/>
    </row>
    <row r="18" spans="1:23" s="139" customFormat="1" ht="15" customHeight="1" x14ac:dyDescent="0.2">
      <c r="A18" s="122"/>
      <c r="B18" s="121" t="s">
        <v>439</v>
      </c>
      <c r="C18" s="122"/>
      <c r="D18" s="122"/>
      <c r="E18" s="122"/>
      <c r="F18" s="122"/>
      <c r="G18" s="122"/>
      <c r="H18" s="122"/>
      <c r="I18" s="158"/>
      <c r="J18" s="158"/>
      <c r="K18" s="122"/>
      <c r="L18" s="158"/>
    </row>
    <row r="19" spans="1:23" s="139" customFormat="1" ht="15" hidden="1" customHeight="1" x14ac:dyDescent="0.2">
      <c r="A19" s="122"/>
      <c r="B19" s="121"/>
      <c r="C19" s="122"/>
      <c r="D19" s="122"/>
      <c r="E19" s="122"/>
      <c r="F19" s="122"/>
      <c r="G19" s="122"/>
      <c r="H19" s="122"/>
      <c r="I19" s="158"/>
      <c r="J19" s="158"/>
      <c r="K19" s="122"/>
      <c r="L19" s="158"/>
    </row>
    <row r="20" spans="1:23" s="139" customFormat="1" ht="15" customHeight="1" x14ac:dyDescent="0.2">
      <c r="A20" s="122"/>
      <c r="B20" s="128" t="s">
        <v>440</v>
      </c>
      <c r="C20" s="129">
        <v>466666</v>
      </c>
      <c r="D20" s="129">
        <v>6058994</v>
      </c>
      <c r="E20" s="129">
        <v>975163</v>
      </c>
      <c r="F20" s="129">
        <v>249894</v>
      </c>
      <c r="G20" s="129">
        <v>938328</v>
      </c>
      <c r="H20" s="129"/>
      <c r="I20" s="129">
        <v>102988</v>
      </c>
      <c r="J20" s="129">
        <v>215023</v>
      </c>
      <c r="K20" s="129">
        <v>148939</v>
      </c>
      <c r="L20" s="129">
        <v>297021</v>
      </c>
      <c r="M20" s="129">
        <v>23334</v>
      </c>
      <c r="N20" s="129">
        <v>850</v>
      </c>
      <c r="O20" s="129">
        <v>22865</v>
      </c>
      <c r="P20" s="129">
        <v>5688942</v>
      </c>
      <c r="Q20" s="129">
        <v>0</v>
      </c>
      <c r="R20" s="129">
        <v>55238</v>
      </c>
      <c r="S20" s="129">
        <f>SUM(C20:R20)</f>
        <v>15244245</v>
      </c>
    </row>
    <row r="21" spans="1:23" s="139" customFormat="1" ht="15" customHeight="1" x14ac:dyDescent="0.2">
      <c r="A21" s="122"/>
      <c r="B21" s="132" t="s">
        <v>408</v>
      </c>
      <c r="C21" s="163">
        <v>0</v>
      </c>
      <c r="D21" s="163">
        <v>0</v>
      </c>
      <c r="E21" s="163">
        <v>313500</v>
      </c>
      <c r="F21" s="163">
        <v>0</v>
      </c>
      <c r="G21" s="163">
        <v>0</v>
      </c>
      <c r="H21" s="163"/>
      <c r="I21" s="163">
        <v>0</v>
      </c>
      <c r="J21" s="163">
        <v>0</v>
      </c>
      <c r="K21" s="163">
        <v>0</v>
      </c>
      <c r="L21" s="163">
        <v>0</v>
      </c>
      <c r="M21" s="163">
        <v>0</v>
      </c>
      <c r="N21" s="163">
        <v>0</v>
      </c>
      <c r="O21" s="163">
        <v>0</v>
      </c>
      <c r="P21" s="163">
        <v>0</v>
      </c>
      <c r="Q21" s="163">
        <v>0</v>
      </c>
      <c r="R21" s="163">
        <v>0</v>
      </c>
      <c r="S21" s="129">
        <f>SUM(C21:R21)</f>
        <v>313500</v>
      </c>
    </row>
    <row r="22" spans="1:23" s="139" customFormat="1" ht="15" customHeight="1" x14ac:dyDescent="0.2">
      <c r="A22" s="122"/>
      <c r="B22" s="210" t="s">
        <v>409</v>
      </c>
      <c r="C22" s="164">
        <v>0</v>
      </c>
      <c r="D22" s="160">
        <v>605900</v>
      </c>
      <c r="E22" s="160">
        <v>100129</v>
      </c>
      <c r="F22" s="159">
        <v>37484</v>
      </c>
      <c r="G22" s="159">
        <v>140749</v>
      </c>
      <c r="H22" s="159"/>
      <c r="I22" s="161">
        <v>30896</v>
      </c>
      <c r="J22" s="161">
        <v>21502</v>
      </c>
      <c r="K22" s="159">
        <v>22341</v>
      </c>
      <c r="L22" s="161">
        <v>44553</v>
      </c>
      <c r="M22" s="159">
        <v>3500</v>
      </c>
      <c r="N22" s="159">
        <v>127</v>
      </c>
      <c r="O22" s="159">
        <v>3430</v>
      </c>
      <c r="P22" s="159">
        <v>1137788</v>
      </c>
      <c r="Q22" s="159"/>
      <c r="R22" s="159">
        <v>5524</v>
      </c>
      <c r="S22" s="129">
        <f>SUM(C22:R22)</f>
        <v>2153923</v>
      </c>
    </row>
    <row r="23" spans="1:23" s="139" customFormat="1" ht="15" customHeight="1" x14ac:dyDescent="0.2">
      <c r="A23" s="122"/>
      <c r="B23" s="210"/>
      <c r="C23" s="159"/>
      <c r="D23" s="160"/>
      <c r="E23" s="160"/>
      <c r="F23" s="159"/>
      <c r="G23" s="159"/>
      <c r="H23" s="159"/>
      <c r="I23" s="161"/>
      <c r="J23" s="161"/>
      <c r="K23" s="159"/>
      <c r="L23" s="161"/>
      <c r="M23" s="159"/>
      <c r="N23" s="159"/>
      <c r="O23" s="159"/>
      <c r="P23" s="159"/>
      <c r="Q23" s="159"/>
      <c r="R23" s="159"/>
      <c r="S23" s="129"/>
      <c r="T23" s="133"/>
    </row>
    <row r="24" spans="1:23" s="139" customFormat="1" ht="15" customHeight="1" thickBot="1" x14ac:dyDescent="0.25">
      <c r="A24" s="122"/>
      <c r="B24" s="128" t="s">
        <v>441</v>
      </c>
      <c r="C24" s="134">
        <f t="shared" ref="C24:S24" si="1">C20+C21-C22</f>
        <v>466666</v>
      </c>
      <c r="D24" s="134">
        <f t="shared" si="1"/>
        <v>5453094</v>
      </c>
      <c r="E24" s="134">
        <f t="shared" si="1"/>
        <v>1188534</v>
      </c>
      <c r="F24" s="134">
        <f t="shared" si="1"/>
        <v>212410</v>
      </c>
      <c r="G24" s="134">
        <f t="shared" si="1"/>
        <v>797579</v>
      </c>
      <c r="H24" s="134"/>
      <c r="I24" s="134">
        <f>I20+I21-I22</f>
        <v>72092</v>
      </c>
      <c r="J24" s="134">
        <f t="shared" si="1"/>
        <v>193521</v>
      </c>
      <c r="K24" s="134">
        <f t="shared" si="1"/>
        <v>126598</v>
      </c>
      <c r="L24" s="134">
        <f t="shared" si="1"/>
        <v>252468</v>
      </c>
      <c r="M24" s="134">
        <f t="shared" si="1"/>
        <v>19834</v>
      </c>
      <c r="N24" s="134">
        <f t="shared" si="1"/>
        <v>723</v>
      </c>
      <c r="O24" s="134">
        <f t="shared" si="1"/>
        <v>19435</v>
      </c>
      <c r="P24" s="134">
        <f t="shared" si="1"/>
        <v>4551154</v>
      </c>
      <c r="Q24" s="134">
        <f t="shared" si="1"/>
        <v>0</v>
      </c>
      <c r="R24" s="134">
        <f t="shared" si="1"/>
        <v>49714</v>
      </c>
      <c r="S24" s="134">
        <f t="shared" si="1"/>
        <v>13403822</v>
      </c>
    </row>
    <row r="25" spans="1:23" s="139" customFormat="1" ht="15" customHeight="1" thickTop="1" x14ac:dyDescent="0.2">
      <c r="A25" s="122"/>
      <c r="B25" s="128"/>
      <c r="C25" s="122"/>
      <c r="D25" s="122"/>
      <c r="E25" s="122"/>
      <c r="F25" s="122"/>
      <c r="G25" s="122"/>
      <c r="H25" s="122"/>
      <c r="I25" s="158"/>
      <c r="J25" s="158"/>
      <c r="K25" s="122"/>
      <c r="L25" s="158"/>
      <c r="S25" s="165"/>
    </row>
    <row r="26" spans="1:23" s="139" customFormat="1" ht="15" customHeight="1" x14ac:dyDescent="0.2">
      <c r="A26" s="122"/>
      <c r="B26" s="121" t="s">
        <v>442</v>
      </c>
      <c r="C26" s="122"/>
      <c r="D26" s="122"/>
      <c r="E26" s="123"/>
      <c r="F26" s="124"/>
      <c r="G26" s="124"/>
      <c r="H26" s="124"/>
      <c r="I26" s="125"/>
      <c r="J26" s="126"/>
      <c r="K26" s="124"/>
      <c r="L26" s="126"/>
      <c r="M26" s="127"/>
      <c r="N26" s="123"/>
      <c r="O26" s="127"/>
      <c r="P26" s="123"/>
      <c r="Q26" s="127"/>
      <c r="R26" s="127"/>
      <c r="S26" s="123"/>
      <c r="T26" s="127"/>
      <c r="U26" s="127"/>
      <c r="V26" s="127"/>
      <c r="W26" s="127"/>
    </row>
    <row r="27" spans="1:23" s="139" customFormat="1" ht="15" customHeight="1" x14ac:dyDescent="0.2">
      <c r="A27" s="122"/>
      <c r="B27" s="128" t="s">
        <v>414</v>
      </c>
      <c r="C27" s="129">
        <v>466666</v>
      </c>
      <c r="D27" s="129">
        <v>30936638</v>
      </c>
      <c r="E27" s="129">
        <v>1887520</v>
      </c>
      <c r="F27" s="129">
        <v>1544550</v>
      </c>
      <c r="G27" s="129">
        <v>1386995</v>
      </c>
      <c r="H27" s="129"/>
      <c r="I27" s="129">
        <v>194222</v>
      </c>
      <c r="J27" s="129">
        <v>1725000</v>
      </c>
      <c r="K27" s="129">
        <v>439400</v>
      </c>
      <c r="L27" s="129">
        <v>629181</v>
      </c>
      <c r="M27" s="129">
        <v>54180</v>
      </c>
      <c r="N27" s="129">
        <v>2100</v>
      </c>
      <c r="O27" s="129">
        <v>50500</v>
      </c>
      <c r="P27" s="129">
        <v>19420360</v>
      </c>
      <c r="Q27" s="129">
        <v>0</v>
      </c>
      <c r="R27" s="129">
        <v>443146</v>
      </c>
      <c r="S27" s="131">
        <f>SUM(C27:R27)</f>
        <v>59180458</v>
      </c>
      <c r="T27" s="127"/>
      <c r="U27" s="127"/>
      <c r="V27" s="127"/>
      <c r="W27" s="127"/>
    </row>
    <row r="28" spans="1:23" s="139" customFormat="1" ht="15" customHeight="1" x14ac:dyDescent="0.2">
      <c r="A28" s="122"/>
      <c r="B28" s="128" t="s">
        <v>410</v>
      </c>
      <c r="C28" s="129">
        <f t="shared" ref="C28:R28" si="2">C13+C22</f>
        <v>0</v>
      </c>
      <c r="D28" s="129">
        <f t="shared" si="2"/>
        <v>25483544</v>
      </c>
      <c r="E28" s="129">
        <f t="shared" si="2"/>
        <v>698986</v>
      </c>
      <c r="F28" s="129">
        <f t="shared" si="2"/>
        <v>1332140</v>
      </c>
      <c r="G28" s="129">
        <f t="shared" si="2"/>
        <v>589416</v>
      </c>
      <c r="H28" s="129"/>
      <c r="I28" s="129">
        <f t="shared" si="2"/>
        <v>122130</v>
      </c>
      <c r="J28" s="129">
        <f t="shared" si="2"/>
        <v>1531479</v>
      </c>
      <c r="K28" s="129">
        <f t="shared" si="2"/>
        <v>312802</v>
      </c>
      <c r="L28" s="129">
        <f t="shared" si="2"/>
        <v>376713</v>
      </c>
      <c r="M28" s="129">
        <f t="shared" si="2"/>
        <v>34346</v>
      </c>
      <c r="N28" s="129">
        <f t="shared" si="2"/>
        <v>1377</v>
      </c>
      <c r="O28" s="129">
        <f t="shared" si="2"/>
        <v>31065</v>
      </c>
      <c r="P28" s="129">
        <f t="shared" si="2"/>
        <v>14869206</v>
      </c>
      <c r="Q28" s="129">
        <f t="shared" si="2"/>
        <v>0</v>
      </c>
      <c r="R28" s="129">
        <f t="shared" si="2"/>
        <v>393432</v>
      </c>
      <c r="S28" s="133">
        <f>SUM(C28:R28)</f>
        <v>45776636</v>
      </c>
    </row>
    <row r="29" spans="1:23" s="139" customFormat="1" ht="15" customHeight="1" thickBot="1" x14ac:dyDescent="0.25">
      <c r="A29" s="122"/>
      <c r="B29" s="128" t="s">
        <v>411</v>
      </c>
      <c r="C29" s="134">
        <f t="shared" ref="C29:S29" si="3">C27-C28</f>
        <v>466666</v>
      </c>
      <c r="D29" s="134">
        <f t="shared" si="3"/>
        <v>5453094</v>
      </c>
      <c r="E29" s="134">
        <f t="shared" si="3"/>
        <v>1188534</v>
      </c>
      <c r="F29" s="134">
        <f t="shared" si="3"/>
        <v>212410</v>
      </c>
      <c r="G29" s="134">
        <f t="shared" si="3"/>
        <v>797579</v>
      </c>
      <c r="H29" s="134"/>
      <c r="I29" s="134">
        <f t="shared" si="3"/>
        <v>72092</v>
      </c>
      <c r="J29" s="134">
        <f t="shared" si="3"/>
        <v>193521</v>
      </c>
      <c r="K29" s="134">
        <f t="shared" si="3"/>
        <v>126598</v>
      </c>
      <c r="L29" s="134">
        <f t="shared" si="3"/>
        <v>252468</v>
      </c>
      <c r="M29" s="134">
        <f t="shared" si="3"/>
        <v>19834</v>
      </c>
      <c r="N29" s="134">
        <f t="shared" si="3"/>
        <v>723</v>
      </c>
      <c r="O29" s="134">
        <f t="shared" si="3"/>
        <v>19435</v>
      </c>
      <c r="P29" s="134">
        <f t="shared" si="3"/>
        <v>4551154</v>
      </c>
      <c r="Q29" s="134">
        <f t="shared" si="3"/>
        <v>0</v>
      </c>
      <c r="R29" s="134">
        <f t="shared" si="3"/>
        <v>49714</v>
      </c>
      <c r="S29" s="134">
        <f t="shared" si="3"/>
        <v>13403822</v>
      </c>
    </row>
    <row r="30" spans="1:23" s="139" customFormat="1" ht="15" thickTop="1" x14ac:dyDescent="0.2">
      <c r="A30" s="122"/>
      <c r="B30" s="128"/>
      <c r="C30" s="122"/>
      <c r="D30" s="122"/>
      <c r="E30" s="122"/>
      <c r="F30" s="122"/>
      <c r="G30" s="122"/>
      <c r="H30" s="122"/>
      <c r="I30" s="158"/>
      <c r="J30" s="158"/>
      <c r="K30" s="122"/>
      <c r="L30" s="158"/>
    </row>
    <row r="31" spans="1:23" s="139" customFormat="1" ht="15" customHeight="1" x14ac:dyDescent="0.2">
      <c r="A31" s="122"/>
      <c r="B31" s="121" t="s">
        <v>443</v>
      </c>
      <c r="C31" s="122"/>
      <c r="D31" s="122"/>
      <c r="E31" s="122"/>
      <c r="F31" s="122"/>
      <c r="G31" s="122"/>
      <c r="H31" s="122"/>
      <c r="I31" s="158"/>
      <c r="J31" s="158"/>
      <c r="K31" s="122"/>
      <c r="L31" s="158"/>
    </row>
    <row r="32" spans="1:23" s="139" customFormat="1" ht="15" hidden="1" customHeight="1" x14ac:dyDescent="0.2">
      <c r="A32" s="122"/>
      <c r="B32" s="121"/>
      <c r="C32" s="122"/>
      <c r="D32" s="122"/>
      <c r="E32" s="122"/>
      <c r="F32" s="122"/>
      <c r="G32" s="122"/>
      <c r="H32" s="122"/>
      <c r="I32" s="158"/>
      <c r="J32" s="158"/>
      <c r="K32" s="122"/>
      <c r="L32" s="158"/>
    </row>
    <row r="33" spans="1:23" s="139" customFormat="1" ht="15" customHeight="1" x14ac:dyDescent="0.2">
      <c r="A33" s="122"/>
      <c r="B33" s="128" t="s">
        <v>444</v>
      </c>
      <c r="C33" s="129">
        <f>C24</f>
        <v>466666</v>
      </c>
      <c r="D33" s="129">
        <f t="shared" ref="D33:R33" si="4">D24</f>
        <v>5453094</v>
      </c>
      <c r="E33" s="129">
        <f t="shared" si="4"/>
        <v>1188534</v>
      </c>
      <c r="F33" s="129">
        <f t="shared" si="4"/>
        <v>212410</v>
      </c>
      <c r="G33" s="129">
        <f t="shared" si="4"/>
        <v>797579</v>
      </c>
      <c r="H33" s="129"/>
      <c r="I33" s="129">
        <f>I24</f>
        <v>72092</v>
      </c>
      <c r="J33" s="129">
        <f t="shared" si="4"/>
        <v>193521</v>
      </c>
      <c r="K33" s="129">
        <f t="shared" si="4"/>
        <v>126598</v>
      </c>
      <c r="L33" s="129">
        <f t="shared" si="4"/>
        <v>252468</v>
      </c>
      <c r="M33" s="129">
        <f t="shared" si="4"/>
        <v>19834</v>
      </c>
      <c r="N33" s="129">
        <f t="shared" si="4"/>
        <v>723</v>
      </c>
      <c r="O33" s="129">
        <f t="shared" si="4"/>
        <v>19435</v>
      </c>
      <c r="P33" s="129">
        <f t="shared" si="4"/>
        <v>4551154</v>
      </c>
      <c r="Q33" s="129">
        <f t="shared" si="4"/>
        <v>0</v>
      </c>
      <c r="R33" s="129">
        <f t="shared" si="4"/>
        <v>49714</v>
      </c>
      <c r="S33" s="129">
        <f>SUM(C33:R33)</f>
        <v>13403822</v>
      </c>
    </row>
    <row r="34" spans="1:23" s="139" customFormat="1" ht="15" customHeight="1" x14ac:dyDescent="0.2">
      <c r="A34" s="122"/>
      <c r="B34" s="132" t="s">
        <v>408</v>
      </c>
      <c r="C34" s="163">
        <v>0</v>
      </c>
      <c r="D34" s="163">
        <v>0</v>
      </c>
      <c r="E34" s="163"/>
      <c r="F34" s="163">
        <v>0</v>
      </c>
      <c r="G34" s="163">
        <v>0</v>
      </c>
      <c r="H34" s="163"/>
      <c r="I34" s="163">
        <v>56880</v>
      </c>
      <c r="J34" s="163">
        <v>0</v>
      </c>
      <c r="K34" s="163">
        <v>0</v>
      </c>
      <c r="L34" s="163">
        <v>0</v>
      </c>
      <c r="M34" s="163">
        <v>0</v>
      </c>
      <c r="N34" s="163">
        <v>10800</v>
      </c>
      <c r="O34" s="163">
        <v>0</v>
      </c>
      <c r="P34" s="163">
        <v>0</v>
      </c>
      <c r="Q34" s="163">
        <v>0</v>
      </c>
      <c r="R34" s="163">
        <v>0</v>
      </c>
      <c r="S34" s="163">
        <f>SUM(C34:R34)</f>
        <v>67680</v>
      </c>
    </row>
    <row r="35" spans="1:23" s="139" customFormat="1" ht="15" customHeight="1" x14ac:dyDescent="0.2">
      <c r="A35" s="122"/>
      <c r="B35" s="210" t="s">
        <v>409</v>
      </c>
      <c r="C35" s="164">
        <v>0</v>
      </c>
      <c r="D35" s="160">
        <f>'[1]FA Summary'!J7</f>
        <v>446608</v>
      </c>
      <c r="E35" s="160">
        <f>'[1]FA Summary'!J8</f>
        <v>97341</v>
      </c>
      <c r="F35" s="159">
        <f>'[1]FA Summary'!J9</f>
        <v>27082</v>
      </c>
      <c r="G35" s="159">
        <f>'[1]FA Summary'!J10</f>
        <v>114677</v>
      </c>
      <c r="H35" s="159"/>
      <c r="I35" s="161">
        <f>'[1]FA Summary'!J11</f>
        <v>100244</v>
      </c>
      <c r="J35" s="161">
        <f>'[1]FA Summary'!J12</f>
        <v>46303</v>
      </c>
      <c r="K35" s="159">
        <f>'[1]FA Summary'!J13</f>
        <v>21182</v>
      </c>
      <c r="L35" s="161">
        <f>'[1]FA Summary'!J14</f>
        <v>22022</v>
      </c>
      <c r="M35" s="159">
        <f>'[1]FA Summary'!J15</f>
        <v>40572</v>
      </c>
      <c r="N35" s="159">
        <f>'[1]FA Summary'!J16</f>
        <v>2529</v>
      </c>
      <c r="O35" s="159">
        <f>'[1]FA Summary'!J17</f>
        <v>1712</v>
      </c>
      <c r="P35" s="159">
        <f>'[1]FA Summary'!J18</f>
        <v>2478</v>
      </c>
      <c r="Q35" s="159"/>
      <c r="R35" s="159">
        <f>'[1]FA Summary'!J20</f>
        <v>0</v>
      </c>
      <c r="S35" s="129">
        <f>SUM(C35:R35)</f>
        <v>922750</v>
      </c>
    </row>
    <row r="36" spans="1:23" s="139" customFormat="1" ht="15" customHeight="1" x14ac:dyDescent="0.2">
      <c r="A36" s="122"/>
      <c r="B36" s="210"/>
      <c r="C36" s="159"/>
      <c r="D36" s="160"/>
      <c r="E36" s="160"/>
      <c r="F36" s="159"/>
      <c r="G36" s="159"/>
      <c r="H36" s="159"/>
      <c r="I36" s="161"/>
      <c r="J36" s="161"/>
      <c r="K36" s="159"/>
      <c r="L36" s="161"/>
      <c r="M36" s="159"/>
      <c r="N36" s="159"/>
      <c r="O36" s="159"/>
      <c r="P36" s="159"/>
      <c r="Q36" s="159"/>
      <c r="R36" s="159"/>
      <c r="S36" s="129"/>
      <c r="T36" s="133"/>
    </row>
    <row r="37" spans="1:23" s="139" customFormat="1" ht="15" customHeight="1" thickBot="1" x14ac:dyDescent="0.25">
      <c r="A37" s="122"/>
      <c r="B37" s="128" t="s">
        <v>445</v>
      </c>
      <c r="C37" s="134">
        <f>C33+C34-C35</f>
        <v>466666</v>
      </c>
      <c r="D37" s="134">
        <f>D33+D34-D35</f>
        <v>5006486</v>
      </c>
      <c r="E37" s="134">
        <f t="shared" ref="E37:R37" si="5">E33+E34-E35</f>
        <v>1091193</v>
      </c>
      <c r="F37" s="134">
        <f t="shared" si="5"/>
        <v>185328</v>
      </c>
      <c r="G37" s="134">
        <f t="shared" si="5"/>
        <v>682902</v>
      </c>
      <c r="H37" s="134"/>
      <c r="I37" s="134">
        <f>I33+I34-I35</f>
        <v>28728</v>
      </c>
      <c r="J37" s="134">
        <f t="shared" si="5"/>
        <v>147218</v>
      </c>
      <c r="K37" s="134">
        <f t="shared" si="5"/>
        <v>105416</v>
      </c>
      <c r="L37" s="134">
        <f t="shared" si="5"/>
        <v>230446</v>
      </c>
      <c r="M37" s="134">
        <f t="shared" si="5"/>
        <v>-20738</v>
      </c>
      <c r="N37" s="134">
        <f t="shared" si="5"/>
        <v>8994</v>
      </c>
      <c r="O37" s="134">
        <f t="shared" si="5"/>
        <v>17723</v>
      </c>
      <c r="P37" s="134">
        <f t="shared" si="5"/>
        <v>4548676</v>
      </c>
      <c r="Q37" s="134">
        <f t="shared" si="5"/>
        <v>0</v>
      </c>
      <c r="R37" s="134">
        <f t="shared" si="5"/>
        <v>49714</v>
      </c>
      <c r="S37" s="134">
        <f>S33+S34-S35</f>
        <v>12548752</v>
      </c>
    </row>
    <row r="38" spans="1:23" s="139" customFormat="1" ht="15" customHeight="1" thickTop="1" x14ac:dyDescent="0.2">
      <c r="A38" s="122"/>
      <c r="B38" s="128"/>
      <c r="C38" s="122"/>
      <c r="D38" s="122"/>
      <c r="E38" s="122"/>
      <c r="F38" s="122"/>
      <c r="G38" s="122"/>
      <c r="H38" s="122"/>
      <c r="I38" s="158"/>
      <c r="J38" s="158"/>
      <c r="K38" s="122"/>
      <c r="L38" s="158"/>
      <c r="S38" s="165"/>
    </row>
    <row r="39" spans="1:23" s="139" customFormat="1" ht="15" customHeight="1" x14ac:dyDescent="0.2">
      <c r="A39" s="122"/>
      <c r="B39" s="121" t="s">
        <v>446</v>
      </c>
      <c r="C39" s="122"/>
      <c r="D39" s="122"/>
      <c r="E39" s="123"/>
      <c r="F39" s="124"/>
      <c r="G39" s="124"/>
      <c r="H39" s="124"/>
      <c r="I39" s="125"/>
      <c r="J39" s="126"/>
      <c r="K39" s="124"/>
      <c r="L39" s="126"/>
      <c r="M39" s="127"/>
      <c r="N39" s="123"/>
      <c r="O39" s="127"/>
      <c r="P39" s="123"/>
      <c r="Q39" s="127"/>
      <c r="R39" s="127"/>
      <c r="S39" s="123"/>
      <c r="T39" s="127"/>
      <c r="U39" s="127"/>
      <c r="V39" s="127"/>
      <c r="W39" s="127"/>
    </row>
    <row r="40" spans="1:23" s="139" customFormat="1" ht="15" hidden="1" customHeight="1" x14ac:dyDescent="0.2">
      <c r="A40" s="122"/>
      <c r="B40" s="121"/>
      <c r="C40" s="122"/>
      <c r="D40" s="122"/>
      <c r="E40" s="124"/>
      <c r="F40" s="124"/>
      <c r="G40" s="124"/>
      <c r="H40" s="124"/>
      <c r="I40" s="125"/>
      <c r="J40" s="125"/>
      <c r="K40" s="124"/>
      <c r="L40" s="125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</row>
    <row r="41" spans="1:23" s="139" customFormat="1" ht="15" customHeight="1" x14ac:dyDescent="0.2">
      <c r="A41" s="122"/>
      <c r="B41" s="128" t="s">
        <v>414</v>
      </c>
      <c r="C41" s="129">
        <f>C27+C34</f>
        <v>466666</v>
      </c>
      <c r="D41" s="129">
        <f>D27+D34</f>
        <v>30936638</v>
      </c>
      <c r="E41" s="129">
        <f t="shared" ref="E41:R42" si="6">E27+E34</f>
        <v>1887520</v>
      </c>
      <c r="F41" s="129">
        <f t="shared" si="6"/>
        <v>1544550</v>
      </c>
      <c r="G41" s="129">
        <f t="shared" si="6"/>
        <v>1386995</v>
      </c>
      <c r="H41" s="129"/>
      <c r="I41" s="129">
        <f>I27+I34</f>
        <v>251102</v>
      </c>
      <c r="J41" s="129">
        <f t="shared" si="6"/>
        <v>1725000</v>
      </c>
      <c r="K41" s="129">
        <f t="shared" si="6"/>
        <v>439400</v>
      </c>
      <c r="L41" s="129">
        <f t="shared" si="6"/>
        <v>629181</v>
      </c>
      <c r="M41" s="129">
        <f t="shared" si="6"/>
        <v>54180</v>
      </c>
      <c r="N41" s="129">
        <f t="shared" si="6"/>
        <v>12900</v>
      </c>
      <c r="O41" s="129">
        <f t="shared" si="6"/>
        <v>50500</v>
      </c>
      <c r="P41" s="129">
        <f t="shared" si="6"/>
        <v>19420360</v>
      </c>
      <c r="Q41" s="129">
        <f t="shared" si="6"/>
        <v>0</v>
      </c>
      <c r="R41" s="129">
        <f t="shared" si="6"/>
        <v>443146</v>
      </c>
      <c r="S41" s="131">
        <f>SUM(C41:R41)</f>
        <v>59248138</v>
      </c>
      <c r="T41" s="127"/>
      <c r="U41" s="127"/>
      <c r="V41" s="127"/>
      <c r="W41" s="127"/>
    </row>
    <row r="42" spans="1:23" s="139" customFormat="1" ht="15" customHeight="1" x14ac:dyDescent="0.2">
      <c r="A42" s="122"/>
      <c r="B42" s="128" t="s">
        <v>410</v>
      </c>
      <c r="C42" s="129">
        <f>C28+C35</f>
        <v>0</v>
      </c>
      <c r="D42" s="129">
        <f>D28+D35</f>
        <v>25930152</v>
      </c>
      <c r="E42" s="129">
        <f t="shared" si="6"/>
        <v>796327</v>
      </c>
      <c r="F42" s="129">
        <f t="shared" si="6"/>
        <v>1359222</v>
      </c>
      <c r="G42" s="129">
        <f t="shared" si="6"/>
        <v>704093</v>
      </c>
      <c r="H42" s="129"/>
      <c r="I42" s="129">
        <f>I28+I35</f>
        <v>222374</v>
      </c>
      <c r="J42" s="129">
        <f t="shared" si="6"/>
        <v>1577782</v>
      </c>
      <c r="K42" s="129">
        <f t="shared" si="6"/>
        <v>333984</v>
      </c>
      <c r="L42" s="129">
        <f t="shared" si="6"/>
        <v>398735</v>
      </c>
      <c r="M42" s="129">
        <f t="shared" si="6"/>
        <v>74918</v>
      </c>
      <c r="N42" s="129">
        <f t="shared" si="6"/>
        <v>3906</v>
      </c>
      <c r="O42" s="129">
        <f t="shared" si="6"/>
        <v>32777</v>
      </c>
      <c r="P42" s="129">
        <f t="shared" si="6"/>
        <v>14871684</v>
      </c>
      <c r="Q42" s="129">
        <f t="shared" si="6"/>
        <v>0</v>
      </c>
      <c r="R42" s="129">
        <f t="shared" si="6"/>
        <v>393432</v>
      </c>
      <c r="S42" s="133">
        <f>SUM(C42:R42)</f>
        <v>46699386</v>
      </c>
    </row>
    <row r="43" spans="1:23" s="139" customFormat="1" ht="15" customHeight="1" thickBot="1" x14ac:dyDescent="0.25">
      <c r="A43" s="122"/>
      <c r="B43" s="128" t="s">
        <v>411</v>
      </c>
      <c r="C43" s="134">
        <f t="shared" ref="C43:S43" si="7">C41-C42</f>
        <v>466666</v>
      </c>
      <c r="D43" s="134">
        <f>D41-D42</f>
        <v>5006486</v>
      </c>
      <c r="E43" s="134">
        <f t="shared" si="7"/>
        <v>1091193</v>
      </c>
      <c r="F43" s="134">
        <f t="shared" si="7"/>
        <v>185328</v>
      </c>
      <c r="G43" s="134">
        <f t="shared" si="7"/>
        <v>682902</v>
      </c>
      <c r="H43" s="134"/>
      <c r="I43" s="134">
        <f t="shared" si="7"/>
        <v>28728</v>
      </c>
      <c r="J43" s="134">
        <f t="shared" si="7"/>
        <v>147218</v>
      </c>
      <c r="K43" s="134">
        <f t="shared" si="7"/>
        <v>105416</v>
      </c>
      <c r="L43" s="134">
        <f t="shared" si="7"/>
        <v>230446</v>
      </c>
      <c r="M43" s="134">
        <f t="shared" si="7"/>
        <v>-20738</v>
      </c>
      <c r="N43" s="134">
        <f t="shared" si="7"/>
        <v>8994</v>
      </c>
      <c r="O43" s="134">
        <f t="shared" si="7"/>
        <v>17723</v>
      </c>
      <c r="P43" s="134">
        <f t="shared" si="7"/>
        <v>4548676</v>
      </c>
      <c r="Q43" s="134">
        <f t="shared" si="7"/>
        <v>0</v>
      </c>
      <c r="R43" s="134">
        <f t="shared" si="7"/>
        <v>49714</v>
      </c>
      <c r="S43" s="134">
        <f t="shared" si="7"/>
        <v>12548752</v>
      </c>
    </row>
    <row r="44" spans="1:23" s="139" customFormat="1" ht="15" customHeight="1" thickTop="1" thickBot="1" x14ac:dyDescent="0.25">
      <c r="A44" s="122"/>
      <c r="B44" s="128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6"/>
    </row>
    <row r="45" spans="1:23" s="139" customFormat="1" ht="15" customHeight="1" thickTop="1" thickBot="1" x14ac:dyDescent="0.25">
      <c r="A45" s="122"/>
      <c r="B45" s="128" t="s">
        <v>415</v>
      </c>
      <c r="C45" s="137">
        <v>0</v>
      </c>
      <c r="D45" s="138">
        <v>0.1</v>
      </c>
      <c r="E45" s="138">
        <v>0.1</v>
      </c>
      <c r="F45" s="138">
        <v>0.15</v>
      </c>
      <c r="G45" s="138">
        <v>0.15</v>
      </c>
      <c r="H45" s="138"/>
      <c r="I45" s="138">
        <v>0.3</v>
      </c>
      <c r="J45" s="138">
        <v>0.1</v>
      </c>
      <c r="K45" s="138">
        <v>0.15</v>
      </c>
      <c r="L45" s="138">
        <v>0.15</v>
      </c>
      <c r="M45" s="138">
        <v>0.15</v>
      </c>
      <c r="N45" s="138">
        <v>0.15</v>
      </c>
      <c r="O45" s="138">
        <v>0.15</v>
      </c>
      <c r="P45" s="138">
        <v>0.2</v>
      </c>
      <c r="Q45" s="138">
        <v>0.15</v>
      </c>
      <c r="R45" s="138">
        <v>0.1</v>
      </c>
    </row>
    <row r="46" spans="1:23" ht="13.5" thickTop="1" x14ac:dyDescent="0.2">
      <c r="A46" s="140"/>
      <c r="B46" s="140"/>
      <c r="C46" s="140"/>
      <c r="D46" s="140"/>
      <c r="E46" s="140"/>
      <c r="F46" s="140"/>
      <c r="G46" s="140"/>
      <c r="H46" s="140"/>
      <c r="I46" s="141"/>
      <c r="J46" s="141"/>
      <c r="K46" s="140"/>
      <c r="L46" s="141"/>
    </row>
    <row r="47" spans="1:23" hidden="1" x14ac:dyDescent="0.2">
      <c r="A47" s="140"/>
      <c r="B47" s="140"/>
      <c r="C47" s="140"/>
      <c r="D47" s="140"/>
      <c r="E47" s="140"/>
      <c r="F47" s="140"/>
      <c r="G47" s="140"/>
      <c r="H47" s="140"/>
      <c r="I47" s="141"/>
      <c r="J47" s="141"/>
      <c r="K47" s="140"/>
      <c r="L47" s="141"/>
    </row>
    <row r="48" spans="1:23" hidden="1" x14ac:dyDescent="0.2">
      <c r="A48" s="140"/>
      <c r="B48" s="140"/>
      <c r="C48" s="140"/>
      <c r="D48" s="140"/>
      <c r="E48" s="140"/>
      <c r="F48" s="140"/>
      <c r="G48" s="140"/>
      <c r="H48" s="140"/>
      <c r="I48" s="141"/>
      <c r="J48" s="141"/>
      <c r="K48" s="140"/>
      <c r="L48" s="141"/>
    </row>
    <row r="49" spans="2:14" hidden="1" x14ac:dyDescent="0.2">
      <c r="B49" s="140" t="s">
        <v>419</v>
      </c>
      <c r="C49" s="153">
        <v>466666</v>
      </c>
      <c r="D49" s="153"/>
      <c r="E49" s="153">
        <f t="shared" ref="E49:E63" si="8">SUM(C49:D49)</f>
        <v>466666</v>
      </c>
      <c r="F49" s="166">
        <v>0</v>
      </c>
      <c r="G49" s="166">
        <v>0</v>
      </c>
      <c r="H49" s="166"/>
      <c r="I49" s="166">
        <v>0</v>
      </c>
      <c r="J49" s="166"/>
      <c r="K49" s="153">
        <v>466666</v>
      </c>
      <c r="L49" s="140"/>
    </row>
    <row r="50" spans="2:14" hidden="1" x14ac:dyDescent="0.2">
      <c r="B50" s="140" t="s">
        <v>420</v>
      </c>
      <c r="C50" s="153">
        <v>30936638</v>
      </c>
      <c r="D50" s="153"/>
      <c r="E50" s="153">
        <f t="shared" si="8"/>
        <v>30936638</v>
      </c>
      <c r="F50" s="153">
        <v>23493271</v>
      </c>
      <c r="G50" s="153">
        <v>643207</v>
      </c>
      <c r="H50" s="153"/>
      <c r="I50" s="153" t="e">
        <f>+F50+#REF!+G50</f>
        <v>#REF!</v>
      </c>
      <c r="J50" s="153"/>
      <c r="K50" s="153" t="e">
        <f t="shared" ref="K50:K63" si="9">E50-I50</f>
        <v>#REF!</v>
      </c>
      <c r="L50" s="141">
        <v>10</v>
      </c>
    </row>
    <row r="51" spans="2:14" hidden="1" x14ac:dyDescent="0.2">
      <c r="B51" s="140" t="s">
        <v>447</v>
      </c>
      <c r="C51" s="153">
        <v>1557020</v>
      </c>
      <c r="D51" s="153">
        <v>17000</v>
      </c>
      <c r="E51" s="153">
        <f t="shared" si="8"/>
        <v>1574020</v>
      </c>
      <c r="F51" s="153">
        <v>376049.70724669745</v>
      </c>
      <c r="G51" s="153">
        <v>103521</v>
      </c>
      <c r="H51" s="153"/>
      <c r="I51" s="153" t="e">
        <f>+F51+#REF!+G51</f>
        <v>#REF!</v>
      </c>
      <c r="J51" s="153"/>
      <c r="K51" s="153" t="e">
        <f t="shared" si="9"/>
        <v>#REF!</v>
      </c>
      <c r="L51" s="141">
        <v>10</v>
      </c>
    </row>
    <row r="52" spans="2:14" hidden="1" x14ac:dyDescent="0.2">
      <c r="B52" s="140" t="s">
        <v>422</v>
      </c>
      <c r="C52" s="153">
        <v>1544550</v>
      </c>
      <c r="D52" s="153"/>
      <c r="E52" s="153">
        <f t="shared" si="8"/>
        <v>1544550</v>
      </c>
      <c r="F52" s="153">
        <v>1181624</v>
      </c>
      <c r="G52" s="153">
        <v>43724</v>
      </c>
      <c r="H52" s="153"/>
      <c r="I52" s="153" t="e">
        <f>+F52+#REF!+G52</f>
        <v>#REF!</v>
      </c>
      <c r="J52" s="153"/>
      <c r="K52" s="153" t="e">
        <f t="shared" si="9"/>
        <v>#REF!</v>
      </c>
      <c r="L52" s="141">
        <v>15</v>
      </c>
    </row>
    <row r="53" spans="2:14" hidden="1" x14ac:dyDescent="0.2">
      <c r="B53" s="140" t="s">
        <v>423</v>
      </c>
      <c r="C53" s="153">
        <v>1749329</v>
      </c>
      <c r="D53" s="153"/>
      <c r="E53" s="153">
        <f t="shared" si="8"/>
        <v>1749329</v>
      </c>
      <c r="F53" s="153">
        <v>1053960</v>
      </c>
      <c r="G53" s="153">
        <v>87573</v>
      </c>
      <c r="H53" s="153"/>
      <c r="I53" s="153" t="e">
        <f>+F53+#REF!+G53</f>
        <v>#REF!</v>
      </c>
      <c r="J53" s="153"/>
      <c r="K53" s="153" t="e">
        <f t="shared" si="9"/>
        <v>#REF!</v>
      </c>
      <c r="L53" s="141">
        <v>15</v>
      </c>
      <c r="M53" s="167"/>
    </row>
    <row r="54" spans="2:14" hidden="1" x14ac:dyDescent="0.2">
      <c r="B54" s="140" t="s">
        <v>425</v>
      </c>
      <c r="C54" s="153">
        <v>454622</v>
      </c>
      <c r="D54" s="153"/>
      <c r="E54" s="153">
        <f t="shared" si="8"/>
        <v>454622</v>
      </c>
      <c r="F54" s="153">
        <v>249215</v>
      </c>
      <c r="G54" s="153">
        <v>27323</v>
      </c>
      <c r="H54" s="153"/>
      <c r="I54" s="153" t="e">
        <f>+F54+#REF!+G54</f>
        <v>#REF!</v>
      </c>
      <c r="J54" s="153"/>
      <c r="K54" s="153" t="e">
        <f t="shared" si="9"/>
        <v>#REF!</v>
      </c>
      <c r="L54" s="141">
        <v>15</v>
      </c>
    </row>
    <row r="55" spans="2:14" hidden="1" x14ac:dyDescent="0.2">
      <c r="B55" s="140" t="s">
        <v>448</v>
      </c>
      <c r="C55" s="153">
        <v>1711717</v>
      </c>
      <c r="D55" s="153"/>
      <c r="E55" s="153">
        <f t="shared" si="8"/>
        <v>1711717</v>
      </c>
      <c r="F55" s="153">
        <v>1454785</v>
      </c>
      <c r="G55" s="153">
        <v>30954</v>
      </c>
      <c r="H55" s="153"/>
      <c r="I55" s="153" t="e">
        <f>+F55+#REF!+G55</f>
        <v>#REF!</v>
      </c>
      <c r="J55" s="153"/>
      <c r="K55" s="153" t="e">
        <f t="shared" si="9"/>
        <v>#REF!</v>
      </c>
      <c r="L55" s="141">
        <v>15</v>
      </c>
    </row>
    <row r="56" spans="2:14" hidden="1" x14ac:dyDescent="0.2">
      <c r="B56" s="140" t="s">
        <v>427</v>
      </c>
      <c r="C56" s="153">
        <v>706100</v>
      </c>
      <c r="D56" s="153">
        <v>67500</v>
      </c>
      <c r="E56" s="153">
        <f t="shared" si="8"/>
        <v>773600</v>
      </c>
      <c r="F56" s="153">
        <v>535483</v>
      </c>
      <c r="G56" s="153">
        <v>30655</v>
      </c>
      <c r="H56" s="153"/>
      <c r="I56" s="153" t="e">
        <f>+F56+#REF!+G56</f>
        <v>#REF!</v>
      </c>
      <c r="J56" s="153"/>
      <c r="K56" s="153" t="e">
        <f t="shared" si="9"/>
        <v>#REF!</v>
      </c>
      <c r="L56" s="141">
        <v>15</v>
      </c>
    </row>
    <row r="57" spans="2:14" hidden="1" x14ac:dyDescent="0.2">
      <c r="B57" s="140" t="s">
        <v>428</v>
      </c>
      <c r="C57" s="153">
        <v>1001096</v>
      </c>
      <c r="D57" s="153"/>
      <c r="E57" s="153">
        <f t="shared" si="8"/>
        <v>1001096</v>
      </c>
      <c r="F57" s="153">
        <v>486316</v>
      </c>
      <c r="G57" s="119">
        <v>62497</v>
      </c>
      <c r="H57" s="119"/>
      <c r="I57" s="153" t="e">
        <f>+F57+#REF!+G57</f>
        <v>#REF!</v>
      </c>
      <c r="J57" s="153"/>
      <c r="K57" s="153" t="e">
        <f t="shared" si="9"/>
        <v>#REF!</v>
      </c>
      <c r="L57" s="141">
        <v>15</v>
      </c>
    </row>
    <row r="58" spans="2:14" hidden="1" x14ac:dyDescent="0.2">
      <c r="B58" s="140" t="s">
        <v>429</v>
      </c>
      <c r="C58" s="153">
        <v>502458</v>
      </c>
      <c r="D58" s="153"/>
      <c r="E58" s="153">
        <f t="shared" si="8"/>
        <v>502458</v>
      </c>
      <c r="F58" s="153">
        <v>352562</v>
      </c>
      <c r="G58" s="119">
        <v>18059</v>
      </c>
      <c r="H58" s="119"/>
      <c r="I58" s="153" t="e">
        <f>+F58+#REF!+G58</f>
        <v>#REF!</v>
      </c>
      <c r="J58" s="153"/>
      <c r="K58" s="153" t="e">
        <f t="shared" si="9"/>
        <v>#REF!</v>
      </c>
      <c r="L58" s="141">
        <v>15</v>
      </c>
    </row>
    <row r="59" spans="2:14" hidden="1" x14ac:dyDescent="0.2">
      <c r="B59" s="140" t="s">
        <v>430</v>
      </c>
      <c r="C59" s="153">
        <v>760014</v>
      </c>
      <c r="D59" s="153"/>
      <c r="E59" s="153">
        <f t="shared" si="8"/>
        <v>760014</v>
      </c>
      <c r="F59" s="153">
        <v>657855.07490257861</v>
      </c>
      <c r="G59" s="119">
        <v>12308</v>
      </c>
      <c r="H59" s="119"/>
      <c r="I59" s="153" t="e">
        <f>+F59+#REF!+G59</f>
        <v>#REF!</v>
      </c>
      <c r="J59" s="153"/>
      <c r="K59" s="153" t="e">
        <f t="shared" si="9"/>
        <v>#REF!</v>
      </c>
      <c r="L59" s="141">
        <v>15</v>
      </c>
    </row>
    <row r="60" spans="2:14" hidden="1" x14ac:dyDescent="0.2">
      <c r="B60" s="140" t="s">
        <v>431</v>
      </c>
      <c r="C60" s="153">
        <v>2184693</v>
      </c>
      <c r="D60" s="153"/>
      <c r="E60" s="153">
        <f t="shared" si="8"/>
        <v>2184693</v>
      </c>
      <c r="F60" s="153">
        <v>1686642</v>
      </c>
      <c r="G60" s="153">
        <v>60003</v>
      </c>
      <c r="H60" s="153"/>
      <c r="I60" s="153" t="e">
        <f>+F60+#REF!+G60</f>
        <v>#REF!</v>
      </c>
      <c r="J60" s="153"/>
      <c r="K60" s="153" t="e">
        <f t="shared" si="9"/>
        <v>#REF!</v>
      </c>
      <c r="L60" s="141">
        <v>15</v>
      </c>
      <c r="M60" s="120"/>
    </row>
    <row r="61" spans="2:14" ht="15" hidden="1" x14ac:dyDescent="0.25">
      <c r="B61" s="140" t="s">
        <v>432</v>
      </c>
      <c r="C61" s="153">
        <v>19274170</v>
      </c>
      <c r="D61" s="153">
        <v>80100</v>
      </c>
      <c r="E61" s="153">
        <f t="shared" si="8"/>
        <v>19354270</v>
      </c>
      <c r="F61" s="153">
        <v>11184189.037056616</v>
      </c>
      <c r="G61" s="153">
        <v>985054</v>
      </c>
      <c r="H61" s="153"/>
      <c r="I61" s="153" t="e">
        <f>+F61+#REF!+G61</f>
        <v>#REF!</v>
      </c>
      <c r="J61" s="153"/>
      <c r="K61" s="153" t="e">
        <f t="shared" si="9"/>
        <v>#REF!</v>
      </c>
      <c r="L61" s="141">
        <v>15</v>
      </c>
      <c r="M61" s="168" t="e">
        <f>+#REF!-#REF!</f>
        <v>#REF!</v>
      </c>
      <c r="N61" s="168"/>
    </row>
    <row r="62" spans="2:14" ht="15" hidden="1" x14ac:dyDescent="0.25">
      <c r="B62" s="140" t="s">
        <v>433</v>
      </c>
      <c r="C62" s="153">
        <v>464990</v>
      </c>
      <c r="D62" s="153"/>
      <c r="E62" s="153">
        <f t="shared" si="8"/>
        <v>464990</v>
      </c>
      <c r="F62" s="153">
        <v>413345</v>
      </c>
      <c r="G62" s="153">
        <v>6222</v>
      </c>
      <c r="H62" s="153"/>
      <c r="I62" s="153" t="e">
        <f>+F62+#REF!+G62</f>
        <v>#REF!</v>
      </c>
      <c r="J62" s="153"/>
      <c r="K62" s="153" t="e">
        <f t="shared" si="9"/>
        <v>#REF!</v>
      </c>
      <c r="L62" s="141">
        <v>15</v>
      </c>
      <c r="M62" s="168"/>
      <c r="N62" s="168" t="e">
        <f>+#REF!*-1</f>
        <v>#REF!</v>
      </c>
    </row>
    <row r="63" spans="2:14" ht="15" hidden="1" x14ac:dyDescent="0.25">
      <c r="B63" s="140" t="s">
        <v>434</v>
      </c>
      <c r="C63" s="153">
        <v>443146</v>
      </c>
      <c r="D63" s="153"/>
      <c r="E63" s="153">
        <f t="shared" si="8"/>
        <v>443146</v>
      </c>
      <c r="F63" s="153">
        <v>369945</v>
      </c>
      <c r="G63" s="153">
        <v>8819</v>
      </c>
      <c r="H63" s="153"/>
      <c r="I63" s="153" t="e">
        <f>+F63+#REF!+G63</f>
        <v>#REF!</v>
      </c>
      <c r="J63" s="153"/>
      <c r="K63" s="153" t="e">
        <f t="shared" si="9"/>
        <v>#REF!</v>
      </c>
      <c r="L63" s="141">
        <v>15</v>
      </c>
      <c r="M63" s="168"/>
      <c r="N63" s="168" t="e">
        <f>+N62+#REF!</f>
        <v>#REF!</v>
      </c>
    </row>
    <row r="64" spans="2:14" ht="13.5" hidden="1" thickBot="1" x14ac:dyDescent="0.25">
      <c r="B64" s="140" t="s">
        <v>449</v>
      </c>
      <c r="C64" s="169">
        <f>SUM(C49:C63)</f>
        <v>63757209</v>
      </c>
      <c r="D64" s="169">
        <f>SUM(D50:D63)</f>
        <v>164600</v>
      </c>
      <c r="E64" s="169">
        <f>SUM(E49:E63)</f>
        <v>63921809</v>
      </c>
      <c r="F64" s="169">
        <f>SUM(F49:F63)</f>
        <v>43495241.819205895</v>
      </c>
      <c r="G64" s="169">
        <f>SUM(G49:G63)</f>
        <v>2119919</v>
      </c>
      <c r="H64" s="169"/>
      <c r="I64" s="169" t="e">
        <f>SUM(I49:I63)</f>
        <v>#REF!</v>
      </c>
      <c r="J64" s="153"/>
      <c r="K64" s="169" t="e">
        <f>SUM(K49:K63)</f>
        <v>#REF!</v>
      </c>
      <c r="L64" s="153"/>
    </row>
    <row r="65" spans="2:21" hidden="1" x14ac:dyDescent="0.2">
      <c r="B65" s="140"/>
      <c r="C65" s="153"/>
      <c r="D65" s="153"/>
      <c r="E65" s="153"/>
      <c r="F65" s="153"/>
      <c r="G65" s="153"/>
      <c r="H65" s="153"/>
      <c r="I65" s="153"/>
      <c r="J65" s="153"/>
      <c r="K65" s="153"/>
      <c r="L65" s="140"/>
    </row>
    <row r="66" spans="2:21" ht="13.5" hidden="1" customHeight="1" x14ac:dyDescent="0.2">
      <c r="B66" s="170" t="s">
        <v>450</v>
      </c>
      <c r="C66" s="169">
        <v>63482605</v>
      </c>
      <c r="D66" s="169">
        <v>274604</v>
      </c>
      <c r="E66" s="169">
        <v>63757209</v>
      </c>
      <c r="F66" s="169">
        <v>40774853</v>
      </c>
      <c r="G66" s="169">
        <v>2720388.8192058913</v>
      </c>
      <c r="H66" s="169"/>
      <c r="I66" s="169">
        <v>43495241.819205895</v>
      </c>
      <c r="J66" s="153"/>
      <c r="K66" s="169">
        <v>20261967.180794105</v>
      </c>
      <c r="L66" s="140"/>
    </row>
    <row r="67" spans="2:21" hidden="1" x14ac:dyDescent="0.2">
      <c r="B67" s="140"/>
      <c r="C67" s="153"/>
      <c r="D67" s="153"/>
      <c r="E67" s="153"/>
      <c r="F67" s="153"/>
      <c r="G67" s="153"/>
      <c r="H67" s="153"/>
      <c r="I67" s="153"/>
      <c r="J67" s="153"/>
      <c r="K67" s="153"/>
      <c r="L67" s="140"/>
    </row>
    <row r="68" spans="2:21" hidden="1" x14ac:dyDescent="0.2"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71" t="s">
        <v>451</v>
      </c>
    </row>
    <row r="69" spans="2:21" ht="15" hidden="1" x14ac:dyDescent="0.25">
      <c r="C69" s="168"/>
      <c r="G69" s="120">
        <v>2400657.1263036174</v>
      </c>
      <c r="H69" s="120"/>
      <c r="K69" s="118">
        <v>18025907</v>
      </c>
    </row>
    <row r="70" spans="2:21" hidden="1" x14ac:dyDescent="0.2">
      <c r="G70" s="120">
        <f>G64-G69</f>
        <v>-280738.12630361738</v>
      </c>
      <c r="H70" s="120"/>
    </row>
    <row r="71" spans="2:21" hidden="1" x14ac:dyDescent="0.2">
      <c r="K71" s="120"/>
    </row>
    <row r="72" spans="2:21" x14ac:dyDescent="0.2">
      <c r="C72" s="119"/>
      <c r="K72" s="120"/>
    </row>
    <row r="73" spans="2:21" ht="15" x14ac:dyDescent="0.2">
      <c r="B73" s="121" t="s">
        <v>406</v>
      </c>
      <c r="C73" s="122"/>
      <c r="D73" s="122"/>
      <c r="E73" s="123"/>
      <c r="F73" s="124"/>
      <c r="G73" s="124"/>
      <c r="H73" s="124"/>
      <c r="I73" s="125"/>
      <c r="J73" s="126"/>
      <c r="K73" s="124"/>
      <c r="L73" s="126"/>
      <c r="M73" s="127"/>
      <c r="N73" s="123"/>
      <c r="O73" s="127"/>
      <c r="P73" s="123"/>
      <c r="Q73" s="127"/>
      <c r="R73" s="127"/>
      <c r="S73" s="123"/>
      <c r="T73" s="127"/>
      <c r="U73" s="127"/>
    </row>
    <row r="74" spans="2:21" ht="15" x14ac:dyDescent="0.2">
      <c r="B74" s="121"/>
      <c r="C74" s="122"/>
      <c r="D74" s="122"/>
      <c r="E74" s="124"/>
      <c r="F74" s="124"/>
      <c r="G74" s="124"/>
      <c r="H74" s="124"/>
      <c r="I74" s="125"/>
      <c r="J74" s="125"/>
      <c r="K74" s="124"/>
      <c r="L74" s="125"/>
      <c r="M74" s="127"/>
      <c r="N74" s="127"/>
      <c r="O74" s="127"/>
      <c r="P74" s="127"/>
      <c r="Q74" s="127"/>
      <c r="R74" s="127"/>
      <c r="S74" s="127"/>
      <c r="T74" s="127"/>
      <c r="U74" s="127"/>
    </row>
    <row r="75" spans="2:21" ht="14.25" x14ac:dyDescent="0.2">
      <c r="B75" s="128" t="s">
        <v>407</v>
      </c>
      <c r="C75" s="129">
        <v>466666</v>
      </c>
      <c r="D75" s="129">
        <v>4962316</v>
      </c>
      <c r="E75" s="129">
        <v>1081566</v>
      </c>
      <c r="F75" s="129">
        <v>180549</v>
      </c>
      <c r="G75" s="129">
        <v>677942</v>
      </c>
      <c r="H75" s="129">
        <v>0</v>
      </c>
      <c r="I75" s="129">
        <v>94546</v>
      </c>
      <c r="J75" s="129">
        <v>174169</v>
      </c>
      <c r="K75" s="129">
        <v>107610</v>
      </c>
      <c r="L75" s="129">
        <v>214597</v>
      </c>
      <c r="M75" s="129">
        <v>16859</v>
      </c>
      <c r="N75" s="130">
        <v>11415</v>
      </c>
      <c r="O75" s="129">
        <v>16519</v>
      </c>
      <c r="P75" s="129">
        <v>3640924</v>
      </c>
      <c r="Q75" s="129">
        <f t="shared" ref="Q75" si="10">Q61+Q68</f>
        <v>0</v>
      </c>
      <c r="R75" s="129">
        <v>44743</v>
      </c>
      <c r="S75" s="131">
        <f>SUM(C75:R75)</f>
        <v>11690421</v>
      </c>
      <c r="T75" s="127"/>
      <c r="U75" s="127"/>
    </row>
    <row r="76" spans="2:21" ht="14.25" x14ac:dyDescent="0.2">
      <c r="B76" s="132" t="s">
        <v>408</v>
      </c>
      <c r="C76" s="129"/>
      <c r="D76" s="129"/>
      <c r="E76" s="129"/>
      <c r="F76" s="129"/>
      <c r="G76" s="129">
        <f>126984+30000</f>
        <v>156984</v>
      </c>
      <c r="H76" s="129">
        <f>594000+1012680+398200</f>
        <v>2004880</v>
      </c>
      <c r="I76" s="129">
        <v>102510</v>
      </c>
      <c r="J76" s="129">
        <v>64550</v>
      </c>
      <c r="K76" s="129">
        <v>235204</v>
      </c>
      <c r="L76" s="129">
        <f>79798+16000</f>
        <v>95798</v>
      </c>
      <c r="M76" s="129"/>
      <c r="N76" s="129"/>
      <c r="O76" s="129"/>
      <c r="P76" s="129">
        <f>1940000+73200</f>
        <v>2013200</v>
      </c>
      <c r="Q76" s="129"/>
      <c r="R76" s="129">
        <v>0</v>
      </c>
      <c r="S76" s="131">
        <f t="shared" ref="S76:S77" si="11">SUM(C76:R76)</f>
        <v>4673126</v>
      </c>
      <c r="T76" s="127"/>
      <c r="U76" s="127"/>
    </row>
    <row r="77" spans="2:21" ht="14.25" x14ac:dyDescent="0.2">
      <c r="B77" s="210" t="s">
        <v>409</v>
      </c>
      <c r="C77" s="129"/>
      <c r="D77" s="129">
        <v>446608</v>
      </c>
      <c r="E77" s="129">
        <v>97341</v>
      </c>
      <c r="F77" s="129">
        <v>27082</v>
      </c>
      <c r="G77" s="129">
        <f>11111+1875+101691</f>
        <v>114677</v>
      </c>
      <c r="H77" s="129">
        <f>100244</f>
        <v>100244</v>
      </c>
      <c r="I77" s="129">
        <f>17939+28364</f>
        <v>46303</v>
      </c>
      <c r="J77" s="129">
        <f>17417+3765</f>
        <v>21182</v>
      </c>
      <c r="K77" s="129">
        <f>5880+16142</f>
        <v>22022</v>
      </c>
      <c r="L77" s="129">
        <f>8382+32190</f>
        <v>40572</v>
      </c>
      <c r="M77" s="129">
        <v>2529</v>
      </c>
      <c r="N77" s="129">
        <f>1712</f>
        <v>1712</v>
      </c>
      <c r="O77" s="129">
        <v>2478</v>
      </c>
      <c r="P77" s="129">
        <f>161667+3660+728185</f>
        <v>893512</v>
      </c>
      <c r="Q77" s="129"/>
      <c r="R77" s="129">
        <v>4474</v>
      </c>
      <c r="S77" s="131">
        <f t="shared" si="11"/>
        <v>1820736</v>
      </c>
      <c r="T77" s="127"/>
      <c r="U77" s="127"/>
    </row>
    <row r="78" spans="2:21" ht="14.25" x14ac:dyDescent="0.2">
      <c r="B78" s="210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31"/>
      <c r="T78" s="127"/>
      <c r="U78" s="127"/>
    </row>
    <row r="79" spans="2:21" ht="14.25" x14ac:dyDescent="0.2">
      <c r="B79" s="128" t="s">
        <v>410</v>
      </c>
      <c r="C79" s="129">
        <v>0</v>
      </c>
      <c r="D79" s="129">
        <f>D62+D69</f>
        <v>0</v>
      </c>
      <c r="E79" s="129">
        <v>0</v>
      </c>
      <c r="F79" s="129">
        <v>0</v>
      </c>
      <c r="G79" s="129">
        <v>0</v>
      </c>
      <c r="H79" s="129"/>
      <c r="I79" s="129">
        <v>0</v>
      </c>
      <c r="J79" s="129">
        <f>J62+J69</f>
        <v>0</v>
      </c>
      <c r="K79" s="129">
        <v>0</v>
      </c>
      <c r="L79" s="129">
        <v>0</v>
      </c>
      <c r="M79" s="129">
        <v>0</v>
      </c>
      <c r="N79" s="129">
        <v>0</v>
      </c>
      <c r="O79" s="129">
        <f>O62+O69</f>
        <v>0</v>
      </c>
      <c r="P79" s="129">
        <f>P62+P69</f>
        <v>0</v>
      </c>
      <c r="Q79" s="129">
        <f>Q62+Q69</f>
        <v>0</v>
      </c>
      <c r="R79" s="129">
        <f>R62+R69</f>
        <v>0</v>
      </c>
      <c r="S79" s="133">
        <f>SUM(C79:R79)</f>
        <v>0</v>
      </c>
      <c r="T79" s="139"/>
      <c r="U79" s="139"/>
    </row>
    <row r="80" spans="2:21" ht="15" thickBot="1" x14ac:dyDescent="0.25">
      <c r="B80" s="128" t="s">
        <v>411</v>
      </c>
      <c r="C80" s="134">
        <f>C75+C76-C77</f>
        <v>466666</v>
      </c>
      <c r="D80" s="134">
        <f t="shared" ref="D80:R80" si="12">D75+D76-D77</f>
        <v>4515708</v>
      </c>
      <c r="E80" s="134">
        <f t="shared" si="12"/>
        <v>984225</v>
      </c>
      <c r="F80" s="134">
        <f t="shared" si="12"/>
        <v>153467</v>
      </c>
      <c r="G80" s="134">
        <f t="shared" si="12"/>
        <v>720249</v>
      </c>
      <c r="H80" s="134">
        <f t="shared" si="12"/>
        <v>1904636</v>
      </c>
      <c r="I80" s="134">
        <f t="shared" si="12"/>
        <v>150753</v>
      </c>
      <c r="J80" s="134">
        <f t="shared" si="12"/>
        <v>217537</v>
      </c>
      <c r="K80" s="134">
        <f t="shared" si="12"/>
        <v>320792</v>
      </c>
      <c r="L80" s="134">
        <f t="shared" si="12"/>
        <v>269823</v>
      </c>
      <c r="M80" s="134">
        <f t="shared" si="12"/>
        <v>14330</v>
      </c>
      <c r="N80" s="134">
        <f t="shared" si="12"/>
        <v>9703</v>
      </c>
      <c r="O80" s="134">
        <f t="shared" si="12"/>
        <v>14041</v>
      </c>
      <c r="P80" s="134">
        <f t="shared" si="12"/>
        <v>4760612</v>
      </c>
      <c r="Q80" s="134">
        <f t="shared" si="12"/>
        <v>0</v>
      </c>
      <c r="R80" s="134">
        <f t="shared" si="12"/>
        <v>40269</v>
      </c>
      <c r="S80" s="134">
        <f>S75+S76-S77</f>
        <v>14542811</v>
      </c>
      <c r="T80" s="139"/>
      <c r="U80" s="139"/>
    </row>
    <row r="81" spans="2:21" ht="15.75" thickTop="1" thickBot="1" x14ac:dyDescent="0.25">
      <c r="B81" s="128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6"/>
      <c r="T81" s="139"/>
      <c r="U81" s="139"/>
    </row>
    <row r="82" spans="2:21" ht="15.75" thickTop="1" thickBot="1" x14ac:dyDescent="0.25">
      <c r="B82" s="128" t="s">
        <v>412</v>
      </c>
      <c r="C82" s="137">
        <v>0</v>
      </c>
      <c r="D82" s="138">
        <v>0.1</v>
      </c>
      <c r="E82" s="138">
        <v>0.1</v>
      </c>
      <c r="F82" s="138">
        <v>0.15</v>
      </c>
      <c r="G82" s="138">
        <v>0.15</v>
      </c>
      <c r="H82" s="138"/>
      <c r="I82" s="138">
        <v>0.3</v>
      </c>
      <c r="J82" s="138">
        <v>0.1</v>
      </c>
      <c r="K82" s="138">
        <v>0.15</v>
      </c>
      <c r="L82" s="138">
        <v>0.15</v>
      </c>
      <c r="M82" s="138">
        <v>0.15</v>
      </c>
      <c r="N82" s="138">
        <v>0.15</v>
      </c>
      <c r="O82" s="138">
        <v>0.15</v>
      </c>
      <c r="P82" s="138">
        <v>0.2</v>
      </c>
      <c r="Q82" s="138">
        <v>0.15</v>
      </c>
      <c r="R82" s="138">
        <v>0.1</v>
      </c>
      <c r="S82" s="139"/>
      <c r="T82" s="139"/>
      <c r="U82" s="139"/>
    </row>
    <row r="83" spans="2:21" ht="13.5" thickTop="1" x14ac:dyDescent="0.2">
      <c r="B83" s="140"/>
      <c r="C83" s="140"/>
      <c r="D83" s="140"/>
      <c r="E83" s="140"/>
      <c r="F83" s="140"/>
      <c r="G83" s="140"/>
      <c r="H83" s="140"/>
      <c r="I83" s="141"/>
      <c r="J83" s="141"/>
      <c r="K83" s="140"/>
      <c r="L83" s="141"/>
    </row>
    <row r="84" spans="2:21" ht="15" x14ac:dyDescent="0.2">
      <c r="B84" s="121" t="s">
        <v>413</v>
      </c>
      <c r="C84" s="122"/>
      <c r="D84" s="122"/>
      <c r="E84" s="123"/>
      <c r="F84" s="124"/>
      <c r="G84" s="124"/>
      <c r="H84" s="124"/>
      <c r="I84" s="125"/>
      <c r="J84" s="126"/>
      <c r="K84" s="124"/>
      <c r="L84" s="126"/>
      <c r="M84" s="127"/>
      <c r="N84" s="123"/>
      <c r="O84" s="127"/>
      <c r="P84" s="123"/>
      <c r="Q84" s="127"/>
      <c r="R84" s="127"/>
      <c r="S84" s="123"/>
      <c r="T84" s="127"/>
    </row>
    <row r="85" spans="2:21" ht="15" x14ac:dyDescent="0.2">
      <c r="B85" s="121"/>
      <c r="C85" s="122"/>
      <c r="D85" s="122"/>
      <c r="E85" s="124"/>
      <c r="F85" s="124"/>
      <c r="G85" s="124"/>
      <c r="H85" s="124"/>
      <c r="I85" s="125"/>
      <c r="J85" s="125"/>
      <c r="K85" s="124"/>
      <c r="L85" s="125"/>
      <c r="M85" s="127"/>
      <c r="N85" s="127"/>
      <c r="O85" s="127"/>
      <c r="P85" s="127"/>
      <c r="Q85" s="127"/>
      <c r="R85" s="127"/>
      <c r="S85" s="127"/>
      <c r="T85" s="127"/>
    </row>
    <row r="86" spans="2:21" ht="14.25" x14ac:dyDescent="0.2">
      <c r="B86" s="128" t="s">
        <v>414</v>
      </c>
      <c r="C86" s="129">
        <f>C41+C76</f>
        <v>466666</v>
      </c>
      <c r="D86" s="129">
        <f>D41+D76</f>
        <v>30936638</v>
      </c>
      <c r="E86" s="129">
        <f t="shared" ref="E86:R87" si="13">E41+E76</f>
        <v>1887520</v>
      </c>
      <c r="F86" s="129">
        <f t="shared" si="13"/>
        <v>1544550</v>
      </c>
      <c r="G86" s="129">
        <f t="shared" si="13"/>
        <v>1543979</v>
      </c>
      <c r="H86" s="129">
        <f t="shared" si="13"/>
        <v>2004880</v>
      </c>
      <c r="I86" s="129">
        <f t="shared" si="13"/>
        <v>353612</v>
      </c>
      <c r="J86" s="129">
        <f t="shared" si="13"/>
        <v>1789550</v>
      </c>
      <c r="K86" s="129">
        <f t="shared" si="13"/>
        <v>674604</v>
      </c>
      <c r="L86" s="129">
        <f t="shared" si="13"/>
        <v>724979</v>
      </c>
      <c r="M86" s="129">
        <f t="shared" si="13"/>
        <v>54180</v>
      </c>
      <c r="N86" s="129">
        <f t="shared" si="13"/>
        <v>12900</v>
      </c>
      <c r="O86" s="129">
        <f t="shared" si="13"/>
        <v>50500</v>
      </c>
      <c r="P86" s="129">
        <f t="shared" si="13"/>
        <v>21433560</v>
      </c>
      <c r="Q86" s="129">
        <f t="shared" si="13"/>
        <v>0</v>
      </c>
      <c r="R86" s="129">
        <f t="shared" si="13"/>
        <v>443146</v>
      </c>
      <c r="S86" s="131">
        <f>SUM(C86:R86)</f>
        <v>63921264</v>
      </c>
      <c r="T86" s="127"/>
    </row>
    <row r="87" spans="2:21" ht="14.25" x14ac:dyDescent="0.2">
      <c r="B87" s="128" t="s">
        <v>410</v>
      </c>
      <c r="C87" s="129"/>
      <c r="D87" s="129">
        <f>D42+D77</f>
        <v>26376760</v>
      </c>
      <c r="E87" s="129">
        <f>E42+E77</f>
        <v>893668</v>
      </c>
      <c r="F87" s="129">
        <f>F42+F77</f>
        <v>1386304</v>
      </c>
      <c r="G87" s="129">
        <f t="shared" si="13"/>
        <v>818770</v>
      </c>
      <c r="H87" s="129">
        <f t="shared" si="13"/>
        <v>100244</v>
      </c>
      <c r="I87" s="129">
        <f t="shared" si="13"/>
        <v>268677</v>
      </c>
      <c r="J87" s="129">
        <f t="shared" si="13"/>
        <v>1598964</v>
      </c>
      <c r="K87" s="129">
        <f t="shared" si="13"/>
        <v>356006</v>
      </c>
      <c r="L87" s="129">
        <f t="shared" si="13"/>
        <v>439307</v>
      </c>
      <c r="M87" s="129">
        <f t="shared" si="13"/>
        <v>77447</v>
      </c>
      <c r="N87" s="129">
        <f t="shared" si="13"/>
        <v>5618</v>
      </c>
      <c r="O87" s="129">
        <f t="shared" si="13"/>
        <v>35255</v>
      </c>
      <c r="P87" s="129">
        <f t="shared" si="13"/>
        <v>15765196</v>
      </c>
      <c r="Q87" s="129">
        <f t="shared" si="13"/>
        <v>0</v>
      </c>
      <c r="R87" s="129">
        <f t="shared" si="13"/>
        <v>397906</v>
      </c>
      <c r="S87" s="133">
        <f>SUM(C87:R87)</f>
        <v>48520122</v>
      </c>
      <c r="T87" s="139"/>
    </row>
    <row r="88" spans="2:21" ht="15" thickBot="1" x14ac:dyDescent="0.25">
      <c r="B88" s="128" t="s">
        <v>411</v>
      </c>
      <c r="C88" s="134">
        <f t="shared" ref="C88" si="14">C86-C87</f>
        <v>466666</v>
      </c>
      <c r="D88" s="134">
        <f>D86-D87</f>
        <v>4559878</v>
      </c>
      <c r="E88" s="134">
        <f t="shared" ref="E88:R88" si="15">E86-E87</f>
        <v>993852</v>
      </c>
      <c r="F88" s="134">
        <f t="shared" si="15"/>
        <v>158246</v>
      </c>
      <c r="G88" s="134">
        <f t="shared" si="15"/>
        <v>725209</v>
      </c>
      <c r="H88" s="134">
        <f t="shared" si="15"/>
        <v>1904636</v>
      </c>
      <c r="I88" s="134">
        <f t="shared" si="15"/>
        <v>84935</v>
      </c>
      <c r="J88" s="134">
        <f t="shared" si="15"/>
        <v>190586</v>
      </c>
      <c r="K88" s="134">
        <f t="shared" si="15"/>
        <v>318598</v>
      </c>
      <c r="L88" s="134">
        <f t="shared" si="15"/>
        <v>285672</v>
      </c>
      <c r="M88" s="134">
        <f t="shared" si="15"/>
        <v>-23267</v>
      </c>
      <c r="N88" s="134">
        <f t="shared" si="15"/>
        <v>7282</v>
      </c>
      <c r="O88" s="134">
        <f t="shared" si="15"/>
        <v>15245</v>
      </c>
      <c r="P88" s="134">
        <f t="shared" si="15"/>
        <v>5668364</v>
      </c>
      <c r="Q88" s="134">
        <f t="shared" si="15"/>
        <v>0</v>
      </c>
      <c r="R88" s="134">
        <f t="shared" si="15"/>
        <v>45240</v>
      </c>
      <c r="S88" s="134">
        <f>S86-S87</f>
        <v>15401142</v>
      </c>
      <c r="T88" s="139"/>
    </row>
    <row r="89" spans="2:21" ht="15.75" thickTop="1" thickBot="1" x14ac:dyDescent="0.25">
      <c r="B89" s="128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6"/>
      <c r="T89" s="139"/>
    </row>
    <row r="90" spans="2:21" ht="15.75" thickTop="1" thickBot="1" x14ac:dyDescent="0.25">
      <c r="B90" s="128" t="s">
        <v>415</v>
      </c>
      <c r="C90" s="137">
        <v>0</v>
      </c>
      <c r="D90" s="138">
        <v>0.1</v>
      </c>
      <c r="E90" s="138">
        <v>0.1</v>
      </c>
      <c r="F90" s="138">
        <v>0.15</v>
      </c>
      <c r="G90" s="138">
        <v>0.15</v>
      </c>
      <c r="H90" s="138"/>
      <c r="I90" s="138">
        <v>0.3</v>
      </c>
      <c r="J90" s="138">
        <v>0.1</v>
      </c>
      <c r="K90" s="138">
        <v>0.15</v>
      </c>
      <c r="L90" s="138">
        <v>0.15</v>
      </c>
      <c r="M90" s="138">
        <v>0.15</v>
      </c>
      <c r="N90" s="138">
        <v>0.15</v>
      </c>
      <c r="O90" s="138">
        <v>0.15</v>
      </c>
      <c r="P90" s="138">
        <v>0.2</v>
      </c>
      <c r="Q90" s="138">
        <v>0.15</v>
      </c>
      <c r="R90" s="138">
        <v>0.1</v>
      </c>
      <c r="S90" s="139"/>
      <c r="T90" s="139"/>
    </row>
    <row r="91" spans="2:21" ht="13.5" thickTop="1" x14ac:dyDescent="0.2">
      <c r="B91" s="140"/>
      <c r="C91" s="140"/>
      <c r="D91" s="140"/>
      <c r="E91" s="140"/>
      <c r="F91" s="140"/>
      <c r="G91" s="140"/>
      <c r="H91" s="140"/>
      <c r="I91" s="141"/>
      <c r="J91" s="141"/>
      <c r="K91" s="140"/>
      <c r="L91" s="141"/>
    </row>
    <row r="92" spans="2:21" x14ac:dyDescent="0.2">
      <c r="B92" s="140"/>
      <c r="C92" s="140"/>
      <c r="D92" s="140"/>
      <c r="E92" s="140"/>
      <c r="F92" s="140"/>
      <c r="G92" s="140"/>
      <c r="H92" s="140"/>
      <c r="I92" s="141"/>
      <c r="J92" s="141"/>
      <c r="K92" s="140"/>
      <c r="L92" s="141"/>
    </row>
    <row r="93" spans="2:21" x14ac:dyDescent="0.2">
      <c r="B93" s="140"/>
      <c r="C93" s="140"/>
      <c r="D93" s="140"/>
      <c r="E93" s="140"/>
      <c r="F93" s="140"/>
      <c r="G93" s="140"/>
      <c r="H93" s="140"/>
      <c r="I93" s="141"/>
      <c r="J93" s="141"/>
      <c r="K93" s="140"/>
      <c r="L93" s="141"/>
    </row>
    <row r="94" spans="2:21" x14ac:dyDescent="0.2">
      <c r="B94" s="140"/>
      <c r="C94" s="140"/>
      <c r="D94" s="140"/>
      <c r="E94" s="140"/>
      <c r="F94" s="140"/>
      <c r="G94" s="140"/>
      <c r="H94" s="140"/>
      <c r="I94" s="141"/>
      <c r="J94" s="141"/>
      <c r="K94" s="140"/>
      <c r="L94" s="141"/>
    </row>
    <row r="95" spans="2:21" x14ac:dyDescent="0.2">
      <c r="B95" s="140"/>
      <c r="C95" s="140"/>
      <c r="D95" s="140"/>
      <c r="E95" s="140"/>
      <c r="F95" s="140"/>
      <c r="G95" s="140"/>
      <c r="H95" s="140"/>
      <c r="I95" s="141"/>
      <c r="J95" s="141"/>
      <c r="K95" s="140"/>
      <c r="L95" s="141"/>
    </row>
    <row r="96" spans="2:21" x14ac:dyDescent="0.2">
      <c r="B96" s="140"/>
      <c r="C96" s="140"/>
      <c r="D96" s="140"/>
      <c r="E96" s="140"/>
      <c r="F96" s="140"/>
      <c r="G96" s="140"/>
      <c r="H96" s="140"/>
      <c r="I96" s="141"/>
      <c r="J96" s="141"/>
      <c r="K96" s="140"/>
      <c r="L96" s="141"/>
    </row>
    <row r="97" spans="2:14" x14ac:dyDescent="0.2">
      <c r="B97" s="140"/>
      <c r="C97" s="140"/>
      <c r="D97" s="140"/>
      <c r="E97" s="140"/>
      <c r="F97" s="140"/>
      <c r="G97" s="140"/>
      <c r="H97" s="140"/>
      <c r="I97" s="141"/>
      <c r="J97" s="141"/>
      <c r="K97" s="140"/>
      <c r="L97" s="141"/>
    </row>
    <row r="98" spans="2:14" x14ac:dyDescent="0.2">
      <c r="B98" s="140" t="s">
        <v>419</v>
      </c>
      <c r="C98" s="153">
        <v>466666</v>
      </c>
      <c r="D98" s="153"/>
      <c r="E98" s="153">
        <f t="shared" ref="E98:E112" si="16">SUM(C98:D98)</f>
        <v>466666</v>
      </c>
      <c r="F98" s="166">
        <v>0</v>
      </c>
      <c r="G98" s="166">
        <v>0</v>
      </c>
      <c r="H98" s="166"/>
      <c r="I98" s="166">
        <v>0</v>
      </c>
      <c r="J98" s="166"/>
      <c r="K98" s="153">
        <v>466666</v>
      </c>
      <c r="L98" s="140"/>
    </row>
    <row r="99" spans="2:14" x14ac:dyDescent="0.2">
      <c r="B99" s="140" t="s">
        <v>420</v>
      </c>
      <c r="C99" s="153">
        <v>30936638</v>
      </c>
      <c r="D99" s="153"/>
      <c r="E99" s="153">
        <f t="shared" si="16"/>
        <v>30936638</v>
      </c>
      <c r="F99" s="153">
        <v>23493271</v>
      </c>
      <c r="G99" s="153">
        <v>643207</v>
      </c>
      <c r="H99" s="153"/>
      <c r="I99" s="153" t="e">
        <f>+F99+#REF!+G99</f>
        <v>#REF!</v>
      </c>
      <c r="J99" s="153"/>
      <c r="K99" s="153" t="e">
        <f t="shared" ref="K99:K112" si="17">E99-I99</f>
        <v>#REF!</v>
      </c>
      <c r="L99" s="141">
        <v>10</v>
      </c>
    </row>
    <row r="100" spans="2:14" x14ac:dyDescent="0.2">
      <c r="B100" s="140" t="s">
        <v>447</v>
      </c>
      <c r="C100" s="153">
        <v>1557020</v>
      </c>
      <c r="D100" s="153">
        <v>17000</v>
      </c>
      <c r="E100" s="153">
        <f t="shared" si="16"/>
        <v>1574020</v>
      </c>
      <c r="F100" s="153">
        <v>376049.70724669745</v>
      </c>
      <c r="G100" s="153">
        <v>103521</v>
      </c>
      <c r="H100" s="153"/>
      <c r="I100" s="153" t="e">
        <f>+F100+#REF!+G100</f>
        <v>#REF!</v>
      </c>
      <c r="J100" s="153"/>
      <c r="K100" s="153" t="e">
        <f t="shared" si="17"/>
        <v>#REF!</v>
      </c>
      <c r="L100" s="141">
        <v>10</v>
      </c>
    </row>
    <row r="101" spans="2:14" x14ac:dyDescent="0.2">
      <c r="B101" s="140" t="s">
        <v>422</v>
      </c>
      <c r="C101" s="153">
        <v>1544550</v>
      </c>
      <c r="D101" s="153"/>
      <c r="E101" s="153">
        <f t="shared" si="16"/>
        <v>1544550</v>
      </c>
      <c r="F101" s="153">
        <v>1181624</v>
      </c>
      <c r="G101" s="153">
        <v>43724</v>
      </c>
      <c r="H101" s="153"/>
      <c r="I101" s="153" t="e">
        <f>+F101+#REF!+G101</f>
        <v>#REF!</v>
      </c>
      <c r="J101" s="153"/>
      <c r="K101" s="153" t="e">
        <f t="shared" si="17"/>
        <v>#REF!</v>
      </c>
      <c r="L101" s="141">
        <v>15</v>
      </c>
    </row>
    <row r="102" spans="2:14" x14ac:dyDescent="0.2">
      <c r="B102" s="140" t="s">
        <v>423</v>
      </c>
      <c r="C102" s="153">
        <v>1749329</v>
      </c>
      <c r="D102" s="153"/>
      <c r="E102" s="153">
        <f t="shared" si="16"/>
        <v>1749329</v>
      </c>
      <c r="F102" s="153">
        <v>1053960</v>
      </c>
      <c r="G102" s="153">
        <v>87573</v>
      </c>
      <c r="H102" s="153"/>
      <c r="I102" s="153" t="e">
        <f>+F102+#REF!+G102</f>
        <v>#REF!</v>
      </c>
      <c r="J102" s="153"/>
      <c r="K102" s="153" t="e">
        <f t="shared" si="17"/>
        <v>#REF!</v>
      </c>
      <c r="L102" s="141">
        <v>15</v>
      </c>
      <c r="M102" s="167"/>
    </row>
    <row r="103" spans="2:14" x14ac:dyDescent="0.2">
      <c r="B103" s="140" t="s">
        <v>425</v>
      </c>
      <c r="C103" s="153">
        <v>454622</v>
      </c>
      <c r="D103" s="153"/>
      <c r="E103" s="153">
        <f t="shared" si="16"/>
        <v>454622</v>
      </c>
      <c r="F103" s="153">
        <v>249215</v>
      </c>
      <c r="G103" s="153">
        <v>27323</v>
      </c>
      <c r="H103" s="153"/>
      <c r="I103" s="153" t="e">
        <f>+F103+#REF!+G103</f>
        <v>#REF!</v>
      </c>
      <c r="J103" s="153"/>
      <c r="K103" s="153" t="e">
        <f t="shared" si="17"/>
        <v>#REF!</v>
      </c>
      <c r="L103" s="141">
        <v>15</v>
      </c>
    </row>
    <row r="104" spans="2:14" x14ac:dyDescent="0.2">
      <c r="B104" s="140" t="s">
        <v>448</v>
      </c>
      <c r="C104" s="153">
        <v>1711717</v>
      </c>
      <c r="D104" s="153"/>
      <c r="E104" s="153">
        <f t="shared" si="16"/>
        <v>1711717</v>
      </c>
      <c r="F104" s="153">
        <v>1454785</v>
      </c>
      <c r="G104" s="153">
        <v>30954</v>
      </c>
      <c r="H104" s="153"/>
      <c r="I104" s="153" t="e">
        <f>+F104+#REF!+G104</f>
        <v>#REF!</v>
      </c>
      <c r="J104" s="153"/>
      <c r="K104" s="153" t="e">
        <f t="shared" si="17"/>
        <v>#REF!</v>
      </c>
      <c r="L104" s="141">
        <v>15</v>
      </c>
    </row>
    <row r="105" spans="2:14" x14ac:dyDescent="0.2">
      <c r="B105" s="140" t="s">
        <v>427</v>
      </c>
      <c r="C105" s="153">
        <v>706100</v>
      </c>
      <c r="D105" s="153">
        <v>67500</v>
      </c>
      <c r="E105" s="153">
        <f t="shared" si="16"/>
        <v>773600</v>
      </c>
      <c r="F105" s="153">
        <v>535483</v>
      </c>
      <c r="G105" s="153">
        <v>30655</v>
      </c>
      <c r="H105" s="153"/>
      <c r="I105" s="153" t="e">
        <f>+F105+#REF!+G105</f>
        <v>#REF!</v>
      </c>
      <c r="J105" s="153"/>
      <c r="K105" s="153" t="e">
        <f t="shared" si="17"/>
        <v>#REF!</v>
      </c>
      <c r="L105" s="141">
        <v>15</v>
      </c>
    </row>
    <row r="106" spans="2:14" x14ac:dyDescent="0.2">
      <c r="B106" s="140" t="s">
        <v>428</v>
      </c>
      <c r="C106" s="153">
        <v>1001096</v>
      </c>
      <c r="D106" s="153"/>
      <c r="E106" s="153">
        <f t="shared" si="16"/>
        <v>1001096</v>
      </c>
      <c r="F106" s="153">
        <v>486316</v>
      </c>
      <c r="G106" s="119">
        <v>62497</v>
      </c>
      <c r="H106" s="119"/>
      <c r="I106" s="153" t="e">
        <f>+F106+#REF!+G106</f>
        <v>#REF!</v>
      </c>
      <c r="J106" s="153"/>
      <c r="K106" s="153" t="e">
        <f t="shared" si="17"/>
        <v>#REF!</v>
      </c>
      <c r="L106" s="141">
        <v>15</v>
      </c>
    </row>
    <row r="107" spans="2:14" x14ac:dyDescent="0.2">
      <c r="B107" s="140" t="s">
        <v>429</v>
      </c>
      <c r="C107" s="153">
        <v>502458</v>
      </c>
      <c r="D107" s="153"/>
      <c r="E107" s="153">
        <f t="shared" si="16"/>
        <v>502458</v>
      </c>
      <c r="F107" s="153">
        <v>352562</v>
      </c>
      <c r="G107" s="119">
        <v>18059</v>
      </c>
      <c r="H107" s="119"/>
      <c r="I107" s="153" t="e">
        <f>+F107+#REF!+G107</f>
        <v>#REF!</v>
      </c>
      <c r="J107" s="153"/>
      <c r="K107" s="153" t="e">
        <f t="shared" si="17"/>
        <v>#REF!</v>
      </c>
      <c r="L107" s="141">
        <v>15</v>
      </c>
    </row>
    <row r="108" spans="2:14" x14ac:dyDescent="0.2">
      <c r="B108" s="140" t="s">
        <v>430</v>
      </c>
      <c r="C108" s="153">
        <v>760014</v>
      </c>
      <c r="D108" s="153"/>
      <c r="E108" s="153">
        <f t="shared" si="16"/>
        <v>760014</v>
      </c>
      <c r="F108" s="153">
        <v>657855.07490257861</v>
      </c>
      <c r="G108" s="119">
        <v>12308</v>
      </c>
      <c r="H108" s="119"/>
      <c r="I108" s="153" t="e">
        <f>+F108+#REF!+G108</f>
        <v>#REF!</v>
      </c>
      <c r="J108" s="153"/>
      <c r="K108" s="153" t="e">
        <f t="shared" si="17"/>
        <v>#REF!</v>
      </c>
      <c r="L108" s="141">
        <v>15</v>
      </c>
    </row>
    <row r="109" spans="2:14" x14ac:dyDescent="0.2">
      <c r="B109" s="140" t="s">
        <v>431</v>
      </c>
      <c r="C109" s="153">
        <v>2184693</v>
      </c>
      <c r="D109" s="153"/>
      <c r="E109" s="153">
        <f t="shared" si="16"/>
        <v>2184693</v>
      </c>
      <c r="F109" s="153">
        <v>1686642</v>
      </c>
      <c r="G109" s="153">
        <v>60003</v>
      </c>
      <c r="H109" s="153"/>
      <c r="I109" s="153" t="e">
        <f>+F109+#REF!+G109</f>
        <v>#REF!</v>
      </c>
      <c r="J109" s="153"/>
      <c r="K109" s="153" t="e">
        <f t="shared" si="17"/>
        <v>#REF!</v>
      </c>
      <c r="L109" s="141">
        <v>15</v>
      </c>
      <c r="M109" s="120"/>
    </row>
    <row r="110" spans="2:14" ht="15" x14ac:dyDescent="0.25">
      <c r="B110" s="140" t="s">
        <v>432</v>
      </c>
      <c r="C110" s="153">
        <v>19274170</v>
      </c>
      <c r="D110" s="153">
        <v>80100</v>
      </c>
      <c r="E110" s="153">
        <f t="shared" si="16"/>
        <v>19354270</v>
      </c>
      <c r="F110" s="153">
        <v>11184189.037056616</v>
      </c>
      <c r="G110" s="153">
        <v>985054</v>
      </c>
      <c r="H110" s="153"/>
      <c r="I110" s="153" t="e">
        <f>+F110+#REF!+G110</f>
        <v>#REF!</v>
      </c>
      <c r="J110" s="153"/>
      <c r="K110" s="153" t="e">
        <f t="shared" si="17"/>
        <v>#REF!</v>
      </c>
      <c r="L110" s="141">
        <v>15</v>
      </c>
      <c r="M110" s="168" t="e">
        <f>+#REF!-#REF!</f>
        <v>#REF!</v>
      </c>
      <c r="N110" s="168"/>
    </row>
    <row r="111" spans="2:14" ht="15" x14ac:dyDescent="0.25">
      <c r="B111" s="140" t="s">
        <v>433</v>
      </c>
      <c r="C111" s="153">
        <v>464990</v>
      </c>
      <c r="D111" s="153"/>
      <c r="E111" s="153">
        <f t="shared" si="16"/>
        <v>464990</v>
      </c>
      <c r="F111" s="153">
        <v>413345</v>
      </c>
      <c r="G111" s="153">
        <v>6222</v>
      </c>
      <c r="H111" s="153"/>
      <c r="I111" s="153" t="e">
        <f>+F111+#REF!+G111</f>
        <v>#REF!</v>
      </c>
      <c r="J111" s="153"/>
      <c r="K111" s="153" t="e">
        <f t="shared" si="17"/>
        <v>#REF!</v>
      </c>
      <c r="L111" s="141">
        <v>15</v>
      </c>
      <c r="M111" s="168"/>
      <c r="N111" s="168" t="e">
        <f>+#REF!*-1</f>
        <v>#REF!</v>
      </c>
    </row>
    <row r="112" spans="2:14" ht="15" x14ac:dyDescent="0.25">
      <c r="B112" s="140" t="s">
        <v>434</v>
      </c>
      <c r="C112" s="153">
        <v>443146</v>
      </c>
      <c r="D112" s="153"/>
      <c r="E112" s="153">
        <f t="shared" si="16"/>
        <v>443146</v>
      </c>
      <c r="F112" s="153">
        <v>369945</v>
      </c>
      <c r="G112" s="153">
        <v>8819</v>
      </c>
      <c r="H112" s="153"/>
      <c r="I112" s="153" t="e">
        <f>+F112+#REF!+G112</f>
        <v>#REF!</v>
      </c>
      <c r="J112" s="153"/>
      <c r="K112" s="153" t="e">
        <f t="shared" si="17"/>
        <v>#REF!</v>
      </c>
      <c r="L112" s="141">
        <v>15</v>
      </c>
      <c r="M112" s="168"/>
      <c r="N112" s="168" t="e">
        <f>+N111+#REF!</f>
        <v>#REF!</v>
      </c>
    </row>
    <row r="113" spans="2:12" ht="13.5" thickBot="1" x14ac:dyDescent="0.25">
      <c r="B113" s="140" t="s">
        <v>449</v>
      </c>
      <c r="C113" s="169">
        <f>SUM(C98:C112)</f>
        <v>63757209</v>
      </c>
      <c r="D113" s="169">
        <f>SUM(D99:D112)</f>
        <v>164600</v>
      </c>
      <c r="E113" s="169">
        <f>SUM(E98:E112)</f>
        <v>63921809</v>
      </c>
      <c r="F113" s="169">
        <f>SUM(F98:F112)</f>
        <v>43495241.819205895</v>
      </c>
      <c r="G113" s="169">
        <f>SUM(G98:G112)</f>
        <v>2119919</v>
      </c>
      <c r="H113" s="169"/>
      <c r="I113" s="169" t="e">
        <f>SUM(I98:I112)</f>
        <v>#REF!</v>
      </c>
      <c r="J113" s="153"/>
      <c r="K113" s="169" t="e">
        <f>SUM(K98:K112)</f>
        <v>#REF!</v>
      </c>
      <c r="L113" s="153"/>
    </row>
    <row r="114" spans="2:12" ht="13.5" thickTop="1" x14ac:dyDescent="0.2">
      <c r="B114" s="140"/>
      <c r="C114" s="153"/>
      <c r="D114" s="153"/>
      <c r="E114" s="153"/>
      <c r="F114" s="153"/>
      <c r="G114" s="153"/>
      <c r="H114" s="153"/>
      <c r="I114" s="153"/>
      <c r="J114" s="153"/>
      <c r="K114" s="153"/>
      <c r="L114" s="140"/>
    </row>
    <row r="115" spans="2:12" ht="15.75" thickBot="1" x14ac:dyDescent="0.25">
      <c r="B115" s="170" t="s">
        <v>450</v>
      </c>
      <c r="C115" s="169">
        <v>63482605</v>
      </c>
      <c r="D115" s="169">
        <v>274604</v>
      </c>
      <c r="E115" s="169">
        <v>63757209</v>
      </c>
      <c r="F115" s="169">
        <v>40774853</v>
      </c>
      <c r="G115" s="169">
        <v>2720388.8192058913</v>
      </c>
      <c r="H115" s="169"/>
      <c r="I115" s="169">
        <v>43495241.819205895</v>
      </c>
      <c r="J115" s="153"/>
      <c r="K115" s="169">
        <v>20261967.180794105</v>
      </c>
      <c r="L115" s="140"/>
    </row>
    <row r="116" spans="2:12" ht="13.5" thickTop="1" x14ac:dyDescent="0.2">
      <c r="B116" s="140"/>
      <c r="C116" s="153"/>
      <c r="D116" s="153"/>
      <c r="E116" s="153"/>
      <c r="F116" s="153"/>
      <c r="G116" s="153"/>
      <c r="H116" s="153"/>
      <c r="I116" s="153"/>
      <c r="J116" s="153"/>
      <c r="K116" s="153"/>
      <c r="L116" s="140"/>
    </row>
    <row r="117" spans="2:12" x14ac:dyDescent="0.2"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71" t="s">
        <v>451</v>
      </c>
    </row>
    <row r="118" spans="2:12" ht="15" x14ac:dyDescent="0.25">
      <c r="C118" s="168"/>
      <c r="G118" s="120">
        <v>2400657.1263036174</v>
      </c>
      <c r="H118" s="120"/>
      <c r="K118" s="118">
        <v>18025907</v>
      </c>
    </row>
    <row r="119" spans="2:12" x14ac:dyDescent="0.2">
      <c r="G119" s="120">
        <f>G113-G118</f>
        <v>-280738.12630361738</v>
      </c>
      <c r="H119" s="120"/>
    </row>
    <row r="120" spans="2:12" x14ac:dyDescent="0.2">
      <c r="K120" s="120"/>
    </row>
    <row r="121" spans="2:12" x14ac:dyDescent="0.2">
      <c r="C121" s="119"/>
      <c r="K121" s="120"/>
    </row>
  </sheetData>
  <mergeCells count="4">
    <mergeCell ref="C8:S8"/>
    <mergeCell ref="B22:B23"/>
    <mergeCell ref="B35:B36"/>
    <mergeCell ref="B77:B7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5"/>
  <sheetViews>
    <sheetView tabSelected="1" topLeftCell="C52" workbookViewId="0">
      <selection activeCell="G68" sqref="G68"/>
    </sheetView>
  </sheetViews>
  <sheetFormatPr defaultRowHeight="15" x14ac:dyDescent="0.25"/>
  <cols>
    <col min="2" max="2" width="28.42578125" customWidth="1"/>
    <col min="4" max="4" width="16.85546875" customWidth="1"/>
    <col min="6" max="6" width="4.7109375" customWidth="1"/>
    <col min="7" max="7" width="61" customWidth="1"/>
    <col min="8" max="8" width="15.7109375" customWidth="1"/>
    <col min="9" max="9" width="11.42578125" customWidth="1"/>
    <col min="11" max="11" width="15.85546875" customWidth="1"/>
  </cols>
  <sheetData>
    <row r="2" spans="2:8" x14ac:dyDescent="0.25">
      <c r="B2" s="30" t="s">
        <v>277</v>
      </c>
      <c r="C2" s="46"/>
      <c r="D2" s="46"/>
    </row>
    <row r="3" spans="2:8" x14ac:dyDescent="0.25">
      <c r="B3" s="47" t="s">
        <v>278</v>
      </c>
      <c r="C3" s="46"/>
      <c r="D3" s="46"/>
    </row>
    <row r="4" spans="2:8" ht="18.75" x14ac:dyDescent="0.3">
      <c r="B4" s="30" t="s">
        <v>279</v>
      </c>
      <c r="C4" s="46"/>
      <c r="D4" s="46"/>
      <c r="F4" s="1">
        <v>6</v>
      </c>
      <c r="G4" s="54" t="s">
        <v>284</v>
      </c>
    </row>
    <row r="5" spans="2:8" x14ac:dyDescent="0.25">
      <c r="B5" s="30" t="s">
        <v>280</v>
      </c>
      <c r="C5" s="46"/>
      <c r="D5" s="46"/>
      <c r="G5" s="8" t="s">
        <v>95</v>
      </c>
      <c r="H5" s="55">
        <v>1887520</v>
      </c>
    </row>
    <row r="6" spans="2:8" x14ac:dyDescent="0.25">
      <c r="B6" s="32"/>
      <c r="C6" s="46"/>
      <c r="D6" s="46"/>
      <c r="G6" s="8" t="s">
        <v>96</v>
      </c>
      <c r="H6" s="55">
        <v>466666</v>
      </c>
    </row>
    <row r="7" spans="2:8" x14ac:dyDescent="0.25">
      <c r="B7" s="32"/>
      <c r="C7" s="32"/>
      <c r="D7" s="117">
        <v>2024</v>
      </c>
      <c r="G7" s="8" t="s">
        <v>97</v>
      </c>
      <c r="H7" s="55">
        <v>30936638</v>
      </c>
    </row>
    <row r="8" spans="2:8" x14ac:dyDescent="0.25">
      <c r="B8" s="32"/>
      <c r="C8" s="48"/>
      <c r="D8" s="48"/>
      <c r="G8" s="8" t="s">
        <v>98</v>
      </c>
      <c r="H8" s="55">
        <v>251102</v>
      </c>
    </row>
    <row r="9" spans="2:8" x14ac:dyDescent="0.25">
      <c r="B9" s="32"/>
      <c r="C9" s="48"/>
      <c r="D9" s="48"/>
      <c r="G9" s="8" t="s">
        <v>99</v>
      </c>
      <c r="H9" s="55">
        <v>21433560</v>
      </c>
    </row>
    <row r="10" spans="2:8" x14ac:dyDescent="0.25">
      <c r="B10" s="32"/>
      <c r="C10" s="48" t="s">
        <v>281</v>
      </c>
      <c r="D10" s="48"/>
      <c r="G10" s="8" t="s">
        <v>100</v>
      </c>
      <c r="H10" s="55">
        <v>50500</v>
      </c>
    </row>
    <row r="11" spans="2:8" x14ac:dyDescent="0.25">
      <c r="B11" s="32"/>
      <c r="C11" s="46"/>
      <c r="D11" s="46"/>
      <c r="G11" s="8" t="s">
        <v>101</v>
      </c>
      <c r="H11" s="55">
        <v>8895276</v>
      </c>
    </row>
    <row r="12" spans="2:8" x14ac:dyDescent="0.25">
      <c r="B12" s="30" t="s">
        <v>282</v>
      </c>
      <c r="C12" s="46"/>
      <c r="D12" s="46"/>
      <c r="H12" s="172">
        <f>SUM(H5:H11)</f>
        <v>63921262</v>
      </c>
    </row>
    <row r="13" spans="2:8" x14ac:dyDescent="0.25">
      <c r="B13" s="30"/>
      <c r="C13" s="46"/>
      <c r="D13" s="46"/>
      <c r="G13" s="57" t="s">
        <v>302</v>
      </c>
    </row>
    <row r="14" spans="2:8" x14ac:dyDescent="0.25">
      <c r="B14" s="30" t="s">
        <v>283</v>
      </c>
      <c r="C14" s="46"/>
      <c r="D14" s="46"/>
      <c r="G14" s="8" t="s">
        <v>103</v>
      </c>
      <c r="H14" s="58">
        <v>-26420930</v>
      </c>
    </row>
    <row r="15" spans="2:8" x14ac:dyDescent="0.25">
      <c r="B15" s="32" t="s">
        <v>284</v>
      </c>
      <c r="C15" s="46">
        <v>6</v>
      </c>
      <c r="D15" s="61">
        <v>14542809</v>
      </c>
      <c r="G15" s="8" t="s">
        <v>104</v>
      </c>
      <c r="H15" s="58">
        <v>-903295</v>
      </c>
    </row>
    <row r="16" spans="2:8" x14ac:dyDescent="0.25">
      <c r="B16" s="32" t="s">
        <v>285</v>
      </c>
      <c r="C16" s="46">
        <v>7</v>
      </c>
      <c r="D16" s="62">
        <v>36102843</v>
      </c>
      <c r="G16" s="8" t="s">
        <v>105</v>
      </c>
      <c r="H16" s="58">
        <v>-122130</v>
      </c>
    </row>
    <row r="17" spans="2:10" ht="15.75" thickBot="1" x14ac:dyDescent="0.3">
      <c r="B17" s="32" t="s">
        <v>286</v>
      </c>
      <c r="C17" s="46">
        <v>8</v>
      </c>
      <c r="D17" s="63">
        <v>175000</v>
      </c>
      <c r="G17" s="8" t="s">
        <v>106</v>
      </c>
      <c r="H17" s="58">
        <v>-16672948</v>
      </c>
    </row>
    <row r="18" spans="2:10" x14ac:dyDescent="0.25">
      <c r="B18" s="32"/>
      <c r="C18" s="46"/>
      <c r="D18" s="61">
        <f>SUM(D15:D17)</f>
        <v>50820652</v>
      </c>
      <c r="G18" s="8" t="s">
        <v>107</v>
      </c>
      <c r="H18" s="58">
        <v>-36459</v>
      </c>
    </row>
    <row r="19" spans="2:10" ht="15.75" thickBot="1" x14ac:dyDescent="0.3">
      <c r="B19" s="30" t="s">
        <v>287</v>
      </c>
      <c r="C19" s="46"/>
      <c r="D19" s="49"/>
      <c r="G19" s="8" t="s">
        <v>108</v>
      </c>
      <c r="H19" s="58">
        <v>-5222691</v>
      </c>
    </row>
    <row r="20" spans="2:10" x14ac:dyDescent="0.25">
      <c r="B20" s="32" t="s">
        <v>288</v>
      </c>
      <c r="C20" s="46">
        <v>9</v>
      </c>
      <c r="D20" s="72">
        <v>85143</v>
      </c>
      <c r="H20" s="56">
        <f>SUM(H14:H19)</f>
        <v>-49378453</v>
      </c>
    </row>
    <row r="21" spans="2:10" ht="15.75" thickBot="1" x14ac:dyDescent="0.3">
      <c r="B21" s="32" t="s">
        <v>289</v>
      </c>
      <c r="C21" s="46">
        <v>10</v>
      </c>
      <c r="D21" s="73">
        <v>1471761</v>
      </c>
      <c r="G21" s="8" t="s">
        <v>303</v>
      </c>
      <c r="H21" s="173">
        <f>H20+H12</f>
        <v>14542809</v>
      </c>
    </row>
    <row r="22" spans="2:10" ht="15.75" thickTop="1" x14ac:dyDescent="0.25">
      <c r="B22" s="32" t="s">
        <v>290</v>
      </c>
      <c r="C22" s="46"/>
      <c r="D22" s="73">
        <v>1272500</v>
      </c>
    </row>
    <row r="23" spans="2:10" x14ac:dyDescent="0.25">
      <c r="B23" s="32" t="s">
        <v>291</v>
      </c>
      <c r="C23" s="46">
        <v>11</v>
      </c>
      <c r="D23" s="74">
        <v>1839812</v>
      </c>
      <c r="G23" s="54" t="s">
        <v>288</v>
      </c>
    </row>
    <row r="24" spans="2:10" ht="15.75" thickBot="1" x14ac:dyDescent="0.3">
      <c r="B24" s="32" t="s">
        <v>292</v>
      </c>
      <c r="C24" s="46">
        <v>12</v>
      </c>
      <c r="D24" s="75">
        <v>46947951</v>
      </c>
      <c r="G24" s="32" t="s">
        <v>304</v>
      </c>
      <c r="H24" s="56">
        <v>0</v>
      </c>
    </row>
    <row r="25" spans="2:10" ht="15.75" x14ac:dyDescent="0.25">
      <c r="B25" s="32"/>
      <c r="C25" s="46"/>
      <c r="D25" s="71">
        <f>SUM(D20:D24)</f>
        <v>51617167</v>
      </c>
      <c r="G25" s="32" t="s">
        <v>305</v>
      </c>
      <c r="H25" s="56"/>
    </row>
    <row r="26" spans="2:10" x14ac:dyDescent="0.25">
      <c r="B26" s="32"/>
      <c r="C26" s="46"/>
      <c r="D26" s="69"/>
      <c r="G26" s="64" t="s">
        <v>306</v>
      </c>
      <c r="H26" s="65">
        <v>85143</v>
      </c>
    </row>
    <row r="27" spans="2:10" ht="16.5" thickBot="1" x14ac:dyDescent="0.3">
      <c r="B27" s="52" t="s">
        <v>293</v>
      </c>
      <c r="C27" s="53"/>
      <c r="D27" s="76">
        <f>D25+D18</f>
        <v>102437819</v>
      </c>
      <c r="G27" s="32" t="s">
        <v>307</v>
      </c>
      <c r="H27" s="56"/>
    </row>
    <row r="28" spans="2:10" ht="16.5" thickTop="1" thickBot="1" x14ac:dyDescent="0.3">
      <c r="B28" s="30"/>
      <c r="C28" s="46"/>
      <c r="D28" s="51"/>
      <c r="H28" s="66">
        <f>SUM(H24:H27)</f>
        <v>85143</v>
      </c>
    </row>
    <row r="29" spans="2:10" ht="15.75" thickTop="1" x14ac:dyDescent="0.25">
      <c r="B29" s="30"/>
      <c r="C29" s="46"/>
      <c r="D29" s="51"/>
      <c r="G29" s="90" t="s">
        <v>294</v>
      </c>
    </row>
    <row r="30" spans="2:10" ht="15.75" x14ac:dyDescent="0.25">
      <c r="B30" s="80"/>
      <c r="C30" s="81"/>
      <c r="D30" s="82"/>
      <c r="E30" s="79"/>
      <c r="F30" s="182">
        <v>10</v>
      </c>
      <c r="G30" s="54" t="s">
        <v>289</v>
      </c>
      <c r="I30" s="68"/>
      <c r="J30" s="68"/>
    </row>
    <row r="31" spans="2:10" x14ac:dyDescent="0.25">
      <c r="B31" s="83"/>
      <c r="C31" s="81"/>
      <c r="D31" s="60"/>
      <c r="E31" s="79"/>
      <c r="G31" s="68" t="s">
        <v>460</v>
      </c>
      <c r="H31" s="65">
        <f>637157+732901</f>
        <v>1370058</v>
      </c>
      <c r="I31" s="68"/>
      <c r="J31" s="68"/>
    </row>
    <row r="32" spans="2:10" x14ac:dyDescent="0.25">
      <c r="B32" s="80" t="s">
        <v>295</v>
      </c>
      <c r="C32" s="81"/>
      <c r="D32" s="60"/>
      <c r="E32" s="79"/>
      <c r="G32" s="68" t="s">
        <v>308</v>
      </c>
      <c r="H32" s="174">
        <v>101703</v>
      </c>
    </row>
    <row r="33" spans="2:9" x14ac:dyDescent="0.25">
      <c r="B33" s="83"/>
      <c r="C33" s="81"/>
      <c r="D33" s="60"/>
      <c r="E33" s="79"/>
      <c r="G33" s="67"/>
      <c r="H33" s="67"/>
    </row>
    <row r="34" spans="2:9" ht="15.75" thickBot="1" x14ac:dyDescent="0.3">
      <c r="B34" s="83" t="s">
        <v>296</v>
      </c>
      <c r="C34" s="81">
        <v>13</v>
      </c>
      <c r="D34" s="82">
        <f>2762097</f>
        <v>2762097</v>
      </c>
      <c r="E34" s="79"/>
      <c r="H34" s="59">
        <f>SUM(H31:H33)</f>
        <v>1471761</v>
      </c>
    </row>
    <row r="35" spans="2:9" ht="15.75" thickTop="1" x14ac:dyDescent="0.25">
      <c r="B35" s="83"/>
      <c r="C35" s="81"/>
      <c r="D35" s="78"/>
      <c r="E35" s="79"/>
      <c r="G35" s="68"/>
      <c r="H35" s="68"/>
    </row>
    <row r="36" spans="2:9" ht="15.75" thickBot="1" x14ac:dyDescent="0.3">
      <c r="B36" s="80" t="s">
        <v>297</v>
      </c>
      <c r="C36" s="81"/>
      <c r="D36" s="70">
        <f>SUM(D30:D35)</f>
        <v>2762097</v>
      </c>
      <c r="E36" s="79"/>
    </row>
    <row r="37" spans="2:9" ht="15.75" thickTop="1" x14ac:dyDescent="0.25">
      <c r="B37" s="83"/>
      <c r="C37" s="81"/>
      <c r="D37" s="60"/>
      <c r="E37" s="79"/>
    </row>
    <row r="38" spans="2:9" ht="15.75" x14ac:dyDescent="0.25">
      <c r="B38" s="80" t="s">
        <v>298</v>
      </c>
      <c r="C38" s="81"/>
      <c r="D38" s="81"/>
      <c r="E38" s="79"/>
      <c r="F38" s="182">
        <v>11</v>
      </c>
      <c r="G38" s="54" t="s">
        <v>309</v>
      </c>
    </row>
    <row r="39" spans="2:9" ht="15.75" thickBot="1" x14ac:dyDescent="0.3">
      <c r="B39" s="83"/>
      <c r="C39" s="81"/>
      <c r="D39" s="81"/>
      <c r="E39" s="79"/>
      <c r="G39" s="8" t="s">
        <v>120</v>
      </c>
      <c r="H39" s="199">
        <f>31266-31266</f>
        <v>0</v>
      </c>
    </row>
    <row r="40" spans="2:9" x14ac:dyDescent="0.25">
      <c r="B40" s="83" t="s">
        <v>299</v>
      </c>
      <c r="C40" s="81">
        <v>14</v>
      </c>
      <c r="D40" s="94">
        <v>37708510</v>
      </c>
      <c r="E40" s="79"/>
      <c r="G40" s="8" t="s">
        <v>175</v>
      </c>
      <c r="H40" s="65">
        <f>105388.54-105388.54</f>
        <v>0</v>
      </c>
      <c r="I40" s="195"/>
    </row>
    <row r="41" spans="2:9" ht="15.75" thickBot="1" x14ac:dyDescent="0.3">
      <c r="B41" s="83" t="s">
        <v>300</v>
      </c>
      <c r="C41" s="81">
        <v>15</v>
      </c>
      <c r="D41" s="95">
        <v>61737990</v>
      </c>
      <c r="E41" s="79"/>
      <c r="G41" s="8" t="s">
        <v>126</v>
      </c>
      <c r="H41" s="199">
        <v>218573</v>
      </c>
    </row>
    <row r="42" spans="2:9" x14ac:dyDescent="0.25">
      <c r="B42" s="80" t="s">
        <v>313</v>
      </c>
      <c r="C42" s="81"/>
      <c r="D42" s="93">
        <f>SUM(D40:D41)</f>
        <v>99446500</v>
      </c>
      <c r="E42" s="79"/>
      <c r="G42" s="77" t="s">
        <v>140</v>
      </c>
      <c r="H42" s="55">
        <v>30420</v>
      </c>
    </row>
    <row r="43" spans="2:9" ht="16.5" thickBot="1" x14ac:dyDescent="0.3">
      <c r="B43" s="84" t="s">
        <v>301</v>
      </c>
      <c r="C43" s="85"/>
      <c r="D43" s="76">
        <f>D42+D36</f>
        <v>102208597</v>
      </c>
      <c r="E43" s="79"/>
      <c r="G43" s="8" t="s">
        <v>129</v>
      </c>
      <c r="H43" s="199">
        <v>317728</v>
      </c>
    </row>
    <row r="44" spans="2:9" ht="15.75" thickTop="1" x14ac:dyDescent="0.25">
      <c r="B44" s="83"/>
      <c r="C44" s="81"/>
      <c r="D44" s="81"/>
      <c r="E44" s="79"/>
      <c r="G44" s="8" t="s">
        <v>130</v>
      </c>
      <c r="H44" s="199">
        <v>1167703</v>
      </c>
    </row>
    <row r="45" spans="2:9" ht="15.75" thickBot="1" x14ac:dyDescent="0.3">
      <c r="B45" s="83"/>
      <c r="C45" s="81"/>
      <c r="D45" s="93">
        <f>D43-D27</f>
        <v>-229222</v>
      </c>
      <c r="E45" s="79"/>
      <c r="H45" s="66">
        <f>SUM(H39:H44)</f>
        <v>1734424</v>
      </c>
    </row>
    <row r="46" spans="2:9" ht="15.75" thickTop="1" x14ac:dyDescent="0.25">
      <c r="B46" s="83"/>
      <c r="C46" s="81"/>
      <c r="D46" s="81"/>
      <c r="E46" s="79"/>
    </row>
    <row r="47" spans="2:9" x14ac:dyDescent="0.25">
      <c r="B47" s="83"/>
      <c r="C47" s="81"/>
      <c r="D47" s="81"/>
      <c r="E47" s="79"/>
      <c r="G47" s="54" t="s">
        <v>292</v>
      </c>
    </row>
    <row r="48" spans="2:9" x14ac:dyDescent="0.25">
      <c r="B48" s="83"/>
      <c r="C48" s="81"/>
      <c r="D48" s="81"/>
      <c r="E48" s="79"/>
      <c r="G48" s="8" t="s">
        <v>132</v>
      </c>
      <c r="H48" s="65">
        <v>244</v>
      </c>
    </row>
    <row r="49" spans="2:8" x14ac:dyDescent="0.25">
      <c r="B49" s="83"/>
      <c r="C49" s="81"/>
      <c r="D49" s="81"/>
      <c r="E49" s="79"/>
      <c r="G49" s="8" t="s">
        <v>133</v>
      </c>
      <c r="H49" s="65">
        <v>44513281.869999997</v>
      </c>
    </row>
    <row r="50" spans="2:8" x14ac:dyDescent="0.25">
      <c r="B50" s="86"/>
      <c r="C50" s="81"/>
      <c r="D50" s="81"/>
      <c r="E50" s="79"/>
      <c r="G50" s="8" t="s">
        <v>134</v>
      </c>
      <c r="H50" s="65">
        <v>2434425</v>
      </c>
    </row>
    <row r="51" spans="2:8" ht="15.75" thickBot="1" x14ac:dyDescent="0.3">
      <c r="B51" s="87"/>
      <c r="C51" s="88"/>
      <c r="D51" s="88"/>
      <c r="E51" s="79"/>
      <c r="H51" s="59">
        <f>SUM(H48:H50)</f>
        <v>46947950.869999997</v>
      </c>
    </row>
    <row r="52" spans="2:8" ht="15.75" thickTop="1" x14ac:dyDescent="0.25">
      <c r="B52" s="87"/>
      <c r="C52" s="88"/>
      <c r="D52" s="88"/>
      <c r="E52" s="79"/>
    </row>
    <row r="53" spans="2:8" ht="15.75" x14ac:dyDescent="0.25">
      <c r="B53" s="87"/>
      <c r="C53" s="88"/>
      <c r="D53" s="89"/>
      <c r="E53" s="79"/>
      <c r="F53" s="182">
        <v>13</v>
      </c>
      <c r="G53" s="54" t="s">
        <v>296</v>
      </c>
    </row>
    <row r="54" spans="2:8" x14ac:dyDescent="0.25">
      <c r="B54" s="87"/>
      <c r="C54" s="88"/>
      <c r="D54" s="88"/>
      <c r="E54" s="79"/>
      <c r="G54" s="8" t="s">
        <v>505</v>
      </c>
      <c r="H54" s="211">
        <v>-28250</v>
      </c>
    </row>
    <row r="55" spans="2:8" x14ac:dyDescent="0.25">
      <c r="B55" s="87"/>
      <c r="C55" s="88"/>
      <c r="D55" s="89"/>
      <c r="E55" s="79"/>
      <c r="G55" s="16" t="s">
        <v>506</v>
      </c>
      <c r="H55" s="212">
        <f>-35000</f>
        <v>-35000</v>
      </c>
    </row>
    <row r="56" spans="2:8" x14ac:dyDescent="0.25">
      <c r="B56" s="87"/>
      <c r="C56" s="88"/>
      <c r="D56" s="89"/>
      <c r="E56" s="79"/>
      <c r="G56" s="16" t="s">
        <v>507</v>
      </c>
      <c r="H56" s="201">
        <f>-21696</f>
        <v>-21696</v>
      </c>
    </row>
    <row r="57" spans="2:8" x14ac:dyDescent="0.25">
      <c r="B57" s="79"/>
      <c r="C57" s="79"/>
      <c r="D57" s="79"/>
      <c r="E57" s="79"/>
      <c r="G57" s="8" t="s">
        <v>508</v>
      </c>
      <c r="H57" s="211">
        <f>-8850</f>
        <v>-8850</v>
      </c>
    </row>
    <row r="58" spans="2:8" x14ac:dyDescent="0.25">
      <c r="B58" s="79"/>
      <c r="C58" s="79"/>
      <c r="D58" s="79"/>
      <c r="E58" s="79"/>
      <c r="G58" s="8" t="s">
        <v>509</v>
      </c>
      <c r="H58" s="211">
        <f>-4015</f>
        <v>-4015</v>
      </c>
    </row>
    <row r="59" spans="2:8" x14ac:dyDescent="0.25">
      <c r="B59" s="79"/>
      <c r="C59" s="79"/>
      <c r="D59" s="79"/>
      <c r="E59" s="79"/>
      <c r="G59" s="8" t="s">
        <v>510</v>
      </c>
      <c r="H59" s="211">
        <f>-14720</f>
        <v>-14720</v>
      </c>
    </row>
    <row r="60" spans="2:8" x14ac:dyDescent="0.25">
      <c r="B60" s="79"/>
      <c r="C60" s="79"/>
      <c r="D60" s="79"/>
      <c r="E60" s="79"/>
      <c r="G60" s="8" t="s">
        <v>511</v>
      </c>
      <c r="H60" s="211">
        <f>-73600</f>
        <v>-73600</v>
      </c>
    </row>
    <row r="61" spans="2:8" x14ac:dyDescent="0.25">
      <c r="B61" s="79"/>
      <c r="C61" s="79"/>
      <c r="D61" s="79"/>
      <c r="E61" s="79"/>
      <c r="G61" s="8" t="s">
        <v>512</v>
      </c>
      <c r="H61" s="211">
        <f>-117844</f>
        <v>-117844</v>
      </c>
    </row>
    <row r="62" spans="2:8" x14ac:dyDescent="0.25">
      <c r="B62" s="79"/>
      <c r="C62" s="79"/>
      <c r="D62" s="79"/>
      <c r="E62" s="79"/>
      <c r="G62" s="8" t="s">
        <v>519</v>
      </c>
      <c r="H62" s="211">
        <v>-1500688</v>
      </c>
    </row>
    <row r="63" spans="2:8" x14ac:dyDescent="0.25">
      <c r="B63" s="79"/>
      <c r="C63" s="79"/>
      <c r="D63" s="79"/>
      <c r="E63" s="79"/>
      <c r="G63" s="8" t="s">
        <v>513</v>
      </c>
      <c r="H63" s="78">
        <f>-250</f>
        <v>-250</v>
      </c>
    </row>
    <row r="64" spans="2:8" x14ac:dyDescent="0.25">
      <c r="B64" s="79"/>
      <c r="C64" s="79"/>
      <c r="D64" s="79"/>
      <c r="E64" s="79"/>
      <c r="G64" s="8" t="s">
        <v>514</v>
      </c>
      <c r="H64" s="78">
        <f>-3531</f>
        <v>-3531</v>
      </c>
    </row>
    <row r="65" spans="2:8" x14ac:dyDescent="0.25">
      <c r="B65" s="79"/>
      <c r="C65" s="79"/>
      <c r="D65" s="79"/>
      <c r="E65" s="79"/>
      <c r="G65" s="8" t="s">
        <v>515</v>
      </c>
      <c r="H65" s="78">
        <f>-1437</f>
        <v>-1437</v>
      </c>
    </row>
    <row r="66" spans="2:8" x14ac:dyDescent="0.25">
      <c r="B66" s="79"/>
      <c r="C66" s="79"/>
      <c r="D66" s="79"/>
      <c r="E66" s="79"/>
      <c r="G66" s="8" t="s">
        <v>516</v>
      </c>
      <c r="H66" s="201">
        <v>-4704</v>
      </c>
    </row>
    <row r="67" spans="2:8" x14ac:dyDescent="0.25">
      <c r="B67" s="79"/>
      <c r="C67" s="79"/>
      <c r="D67" s="79"/>
      <c r="E67" s="79"/>
      <c r="G67" s="8" t="s">
        <v>517</v>
      </c>
      <c r="H67" s="201">
        <f>-3044</f>
        <v>-3044</v>
      </c>
    </row>
    <row r="68" spans="2:8" x14ac:dyDescent="0.25">
      <c r="B68" s="79"/>
      <c r="C68" s="79"/>
      <c r="D68" s="79"/>
      <c r="E68" s="79"/>
      <c r="G68" s="8" t="s">
        <v>518</v>
      </c>
      <c r="H68" s="201">
        <f>-904</f>
        <v>-904</v>
      </c>
    </row>
    <row r="69" spans="2:8" ht="15.75" thickBot="1" x14ac:dyDescent="0.3">
      <c r="B69" s="79"/>
      <c r="C69" s="79"/>
      <c r="D69" s="79"/>
      <c r="E69" s="79"/>
      <c r="H69" s="66">
        <f>SUM(H54:H68)</f>
        <v>-1818533</v>
      </c>
    </row>
    <row r="70" spans="2:8" ht="15.75" thickTop="1" x14ac:dyDescent="0.25">
      <c r="B70" s="79"/>
      <c r="C70" s="79"/>
      <c r="D70" s="79"/>
      <c r="E70" s="79"/>
    </row>
    <row r="71" spans="2:8" x14ac:dyDescent="0.25">
      <c r="B71" s="79"/>
      <c r="C71" s="79"/>
      <c r="D71" s="79"/>
      <c r="E71" s="79"/>
      <c r="G71" s="90" t="s">
        <v>299</v>
      </c>
    </row>
    <row r="72" spans="2:8" x14ac:dyDescent="0.25">
      <c r="B72" s="79"/>
      <c r="C72" s="79"/>
      <c r="D72" s="79"/>
      <c r="E72" s="79"/>
      <c r="G72" s="8" t="s">
        <v>152</v>
      </c>
      <c r="H72" s="91">
        <v>-37422716</v>
      </c>
    </row>
    <row r="73" spans="2:8" x14ac:dyDescent="0.25">
      <c r="B73" s="79"/>
      <c r="C73" s="79"/>
      <c r="D73" s="79"/>
      <c r="E73" s="79"/>
      <c r="G73" t="s">
        <v>310</v>
      </c>
      <c r="H73" s="56">
        <f>-317060</f>
        <v>-317060</v>
      </c>
    </row>
    <row r="74" spans="2:8" x14ac:dyDescent="0.25">
      <c r="B74" s="79"/>
      <c r="C74" s="79"/>
      <c r="D74" s="79"/>
      <c r="E74" s="79"/>
      <c r="G74" t="s">
        <v>504</v>
      </c>
      <c r="H74" s="56">
        <v>31266</v>
      </c>
    </row>
    <row r="75" spans="2:8" ht="15.75" thickBot="1" x14ac:dyDescent="0.3">
      <c r="B75" s="79"/>
      <c r="C75" s="79"/>
      <c r="D75" s="79"/>
      <c r="E75" s="79"/>
      <c r="G75" s="83" t="s">
        <v>311</v>
      </c>
      <c r="H75" s="92">
        <f>SUM(H72:H74)</f>
        <v>-37708510</v>
      </c>
    </row>
    <row r="76" spans="2:8" ht="15.75" thickTop="1" x14ac:dyDescent="0.25"/>
    <row r="77" spans="2:8" x14ac:dyDescent="0.25">
      <c r="G77" s="90" t="s">
        <v>300</v>
      </c>
    </row>
    <row r="78" spans="2:8" x14ac:dyDescent="0.25">
      <c r="G78" s="8" t="s">
        <v>153</v>
      </c>
      <c r="H78" s="91">
        <v>-59427990</v>
      </c>
    </row>
    <row r="79" spans="2:8" x14ac:dyDescent="0.25">
      <c r="G79" t="s">
        <v>312</v>
      </c>
      <c r="H79" s="56">
        <f>-2310000</f>
        <v>-2310000</v>
      </c>
    </row>
    <row r="80" spans="2:8" ht="15.75" thickBot="1" x14ac:dyDescent="0.3">
      <c r="H80" s="66">
        <f>SUM(H78:H79)</f>
        <v>-61737990</v>
      </c>
    </row>
    <row r="81" spans="7:12" ht="15.75" thickTop="1" x14ac:dyDescent="0.25">
      <c r="H81" s="44"/>
    </row>
    <row r="82" spans="7:12" ht="15.75" x14ac:dyDescent="0.25">
      <c r="G82" s="54" t="s">
        <v>290</v>
      </c>
      <c r="H82" s="177" t="s">
        <v>452</v>
      </c>
      <c r="I82" s="2"/>
      <c r="J82" s="2"/>
      <c r="L82" s="2"/>
    </row>
    <row r="83" spans="7:12" ht="15.75" x14ac:dyDescent="0.25">
      <c r="G83" s="79" t="s">
        <v>4</v>
      </c>
      <c r="H83" s="176">
        <v>3000</v>
      </c>
      <c r="I83" s="2"/>
      <c r="J83" s="2"/>
      <c r="L83" s="2"/>
    </row>
    <row r="84" spans="7:12" ht="15.75" x14ac:dyDescent="0.25">
      <c r="G84" s="79" t="s">
        <v>7</v>
      </c>
      <c r="H84" s="176">
        <v>1500</v>
      </c>
      <c r="I84" s="2"/>
      <c r="J84" s="2"/>
      <c r="L84" s="2"/>
    </row>
    <row r="85" spans="7:12" ht="15.75" x14ac:dyDescent="0.25">
      <c r="G85" s="79" t="s">
        <v>8</v>
      </c>
      <c r="H85" s="176">
        <v>1500</v>
      </c>
      <c r="I85" s="2"/>
      <c r="J85" s="2"/>
      <c r="L85" s="2"/>
    </row>
    <row r="86" spans="7:12" ht="15.75" x14ac:dyDescent="0.25">
      <c r="G86" s="79" t="s">
        <v>9</v>
      </c>
      <c r="H86" s="176">
        <v>7500</v>
      </c>
      <c r="I86" s="2"/>
      <c r="J86" s="2"/>
      <c r="L86" s="2"/>
    </row>
    <row r="87" spans="7:12" ht="15.75" x14ac:dyDescent="0.25">
      <c r="G87" s="79" t="s">
        <v>12</v>
      </c>
      <c r="H87" s="176">
        <v>1000</v>
      </c>
      <c r="I87" s="2"/>
      <c r="J87" s="2"/>
      <c r="L87" s="2"/>
    </row>
    <row r="88" spans="7:12" ht="15.75" x14ac:dyDescent="0.25">
      <c r="G88" s="79" t="s">
        <v>14</v>
      </c>
      <c r="H88" s="176">
        <v>25000</v>
      </c>
      <c r="I88" s="2"/>
      <c r="J88" s="2"/>
      <c r="L88" s="2"/>
    </row>
    <row r="89" spans="7:12" ht="15.75" x14ac:dyDescent="0.25">
      <c r="G89" s="79" t="s">
        <v>453</v>
      </c>
      <c r="H89" s="176">
        <v>0</v>
      </c>
      <c r="I89" s="2"/>
      <c r="J89" s="2"/>
      <c r="L89" s="2"/>
    </row>
    <row r="90" spans="7:12" ht="15.75" x14ac:dyDescent="0.25">
      <c r="G90" s="79" t="s">
        <v>16</v>
      </c>
      <c r="H90" s="176">
        <v>12000</v>
      </c>
      <c r="I90" s="2"/>
      <c r="J90" s="2"/>
      <c r="L90" s="2"/>
    </row>
    <row r="91" spans="7:12" ht="15.75" x14ac:dyDescent="0.25">
      <c r="G91" s="79" t="s">
        <v>454</v>
      </c>
      <c r="H91" s="176">
        <v>28000</v>
      </c>
      <c r="I91" s="2"/>
      <c r="J91" s="2"/>
      <c r="L91" s="2"/>
    </row>
    <row r="92" spans="7:12" ht="15.75" x14ac:dyDescent="0.25">
      <c r="G92" s="79" t="s">
        <v>455</v>
      </c>
      <c r="H92" s="176">
        <v>0</v>
      </c>
      <c r="I92" s="2"/>
      <c r="J92" s="2"/>
      <c r="L92" s="2"/>
    </row>
    <row r="93" spans="7:12" ht="15.75" x14ac:dyDescent="0.25">
      <c r="G93" s="79" t="s">
        <v>18</v>
      </c>
      <c r="H93" s="176">
        <v>4000</v>
      </c>
      <c r="I93" s="2"/>
      <c r="J93" s="2"/>
      <c r="L93" s="2"/>
    </row>
    <row r="94" spans="7:12" ht="15.75" x14ac:dyDescent="0.25">
      <c r="G94" s="79" t="s">
        <v>456</v>
      </c>
      <c r="H94" s="176">
        <v>0</v>
      </c>
      <c r="I94" s="2"/>
      <c r="J94" s="2"/>
      <c r="L94" s="2"/>
    </row>
    <row r="95" spans="7:12" ht="15.75" x14ac:dyDescent="0.25">
      <c r="G95" s="79" t="s">
        <v>19</v>
      </c>
      <c r="H95" s="176">
        <v>4500</v>
      </c>
      <c r="I95" s="2"/>
      <c r="J95" s="2"/>
      <c r="L95" s="2"/>
    </row>
    <row r="96" spans="7:12" ht="15.75" x14ac:dyDescent="0.25">
      <c r="G96" s="79" t="s">
        <v>23</v>
      </c>
      <c r="H96" s="176">
        <v>4500</v>
      </c>
      <c r="I96" s="2"/>
      <c r="J96" s="2"/>
      <c r="L96" s="2"/>
    </row>
    <row r="97" spans="7:12" ht="15.75" x14ac:dyDescent="0.25">
      <c r="G97" s="79" t="s">
        <v>24</v>
      </c>
      <c r="H97" s="176">
        <v>40500</v>
      </c>
      <c r="I97" s="2"/>
      <c r="J97" s="2"/>
      <c r="L97" s="2"/>
    </row>
    <row r="98" spans="7:12" ht="15.75" x14ac:dyDescent="0.25">
      <c r="G98" s="79" t="s">
        <v>457</v>
      </c>
      <c r="H98" s="176">
        <v>0</v>
      </c>
      <c r="I98" s="2"/>
      <c r="J98" s="2"/>
      <c r="L98" s="2"/>
    </row>
    <row r="99" spans="7:12" ht="15.75" x14ac:dyDescent="0.25">
      <c r="G99" s="79" t="s">
        <v>26</v>
      </c>
      <c r="H99" s="176">
        <v>76500</v>
      </c>
      <c r="I99" s="2"/>
      <c r="J99" s="2"/>
      <c r="L99" s="2"/>
    </row>
    <row r="100" spans="7:12" ht="15.75" x14ac:dyDescent="0.25">
      <c r="G100" s="79" t="s">
        <v>458</v>
      </c>
      <c r="H100" s="176">
        <v>70000</v>
      </c>
      <c r="I100" s="2"/>
      <c r="J100" s="2"/>
      <c r="L100" s="2"/>
    </row>
    <row r="101" spans="7:12" ht="15.75" x14ac:dyDescent="0.25">
      <c r="G101" s="79" t="s">
        <v>28</v>
      </c>
      <c r="H101" s="176">
        <v>15000</v>
      </c>
      <c r="I101" s="2"/>
      <c r="J101" s="2"/>
      <c r="L101" s="2"/>
    </row>
    <row r="102" spans="7:12" ht="15.75" x14ac:dyDescent="0.25">
      <c r="G102" s="79" t="s">
        <v>30</v>
      </c>
      <c r="H102" s="176">
        <v>15000</v>
      </c>
      <c r="I102" s="2"/>
      <c r="J102" s="2"/>
      <c r="L102" s="2"/>
    </row>
    <row r="103" spans="7:12" ht="15.75" x14ac:dyDescent="0.25">
      <c r="G103" s="79" t="s">
        <v>31</v>
      </c>
      <c r="H103" s="176">
        <v>25000</v>
      </c>
      <c r="I103" s="2"/>
      <c r="J103" s="2"/>
      <c r="L103" s="2"/>
    </row>
    <row r="104" spans="7:12" ht="15.75" x14ac:dyDescent="0.25">
      <c r="G104" s="79" t="s">
        <v>33</v>
      </c>
      <c r="H104" s="176">
        <v>70000</v>
      </c>
      <c r="I104" s="2"/>
      <c r="J104" s="2"/>
      <c r="L104" s="2"/>
    </row>
    <row r="105" spans="7:12" ht="15.75" x14ac:dyDescent="0.25">
      <c r="G105" s="79" t="s">
        <v>35</v>
      </c>
      <c r="H105" s="176">
        <v>16000</v>
      </c>
      <c r="I105" s="2"/>
      <c r="J105" s="2"/>
      <c r="L105" s="2"/>
    </row>
    <row r="106" spans="7:12" ht="15.75" x14ac:dyDescent="0.25">
      <c r="G106" s="79" t="s">
        <v>37</v>
      </c>
      <c r="H106" s="176">
        <v>5000</v>
      </c>
      <c r="I106" s="2"/>
      <c r="J106" s="2"/>
      <c r="L106" s="2"/>
    </row>
    <row r="107" spans="7:12" ht="15.75" x14ac:dyDescent="0.25">
      <c r="G107" s="79" t="s">
        <v>38</v>
      </c>
      <c r="H107" s="176">
        <v>10000</v>
      </c>
      <c r="I107" s="2"/>
      <c r="J107" s="2"/>
      <c r="L107" s="2"/>
    </row>
    <row r="108" spans="7:12" ht="15.75" x14ac:dyDescent="0.25">
      <c r="G108" s="79" t="s">
        <v>40</v>
      </c>
      <c r="H108" s="176">
        <v>10000</v>
      </c>
      <c r="I108" s="2"/>
      <c r="J108" s="2"/>
      <c r="L108" s="2"/>
    </row>
    <row r="109" spans="7:12" ht="15.75" x14ac:dyDescent="0.25">
      <c r="G109" s="79" t="s">
        <v>41</v>
      </c>
      <c r="H109" s="176">
        <v>40000</v>
      </c>
      <c r="I109" s="2"/>
      <c r="J109" s="2"/>
      <c r="L109" s="2"/>
    </row>
    <row r="110" spans="7:12" ht="15.75" x14ac:dyDescent="0.25">
      <c r="G110" s="79" t="s">
        <v>43</v>
      </c>
      <c r="H110" s="176">
        <v>30000</v>
      </c>
      <c r="I110" s="2"/>
      <c r="J110" s="2"/>
      <c r="L110" s="2"/>
    </row>
    <row r="111" spans="7:12" ht="15.75" x14ac:dyDescent="0.25">
      <c r="G111" s="79" t="s">
        <v>44</v>
      </c>
      <c r="H111" s="176">
        <v>260000</v>
      </c>
      <c r="I111" s="2"/>
      <c r="J111" s="2"/>
      <c r="L111" s="2"/>
    </row>
    <row r="112" spans="7:12" ht="15.75" x14ac:dyDescent="0.25">
      <c r="G112" s="79" t="s">
        <v>46</v>
      </c>
      <c r="H112" s="176">
        <v>0</v>
      </c>
      <c r="I112" s="2"/>
      <c r="J112" s="2"/>
      <c r="L112" s="2"/>
    </row>
    <row r="113" spans="7:12" ht="15.75" x14ac:dyDescent="0.25">
      <c r="G113" s="79" t="s">
        <v>49</v>
      </c>
      <c r="H113" s="176">
        <v>30000</v>
      </c>
      <c r="I113" s="2"/>
      <c r="J113" s="2"/>
      <c r="L113" s="2"/>
    </row>
    <row r="114" spans="7:12" ht="15.75" x14ac:dyDescent="0.25">
      <c r="G114" s="79" t="s">
        <v>51</v>
      </c>
      <c r="H114" s="176">
        <v>15000</v>
      </c>
      <c r="I114" s="2"/>
      <c r="J114" s="2"/>
      <c r="L114" s="2"/>
    </row>
    <row r="115" spans="7:12" ht="15.75" x14ac:dyDescent="0.25">
      <c r="G115" s="79" t="s">
        <v>52</v>
      </c>
      <c r="H115" s="176">
        <v>48000</v>
      </c>
      <c r="I115" s="2"/>
      <c r="J115" s="2"/>
      <c r="L115" s="2"/>
    </row>
    <row r="116" spans="7:12" ht="15.75" x14ac:dyDescent="0.25">
      <c r="G116" s="79" t="s">
        <v>55</v>
      </c>
      <c r="H116" s="176">
        <v>38000</v>
      </c>
      <c r="I116" s="2"/>
      <c r="J116" s="2"/>
      <c r="L116" s="2"/>
    </row>
    <row r="117" spans="7:12" ht="15.75" x14ac:dyDescent="0.25">
      <c r="G117" s="79" t="s">
        <v>56</v>
      </c>
      <c r="H117" s="176">
        <v>20000</v>
      </c>
      <c r="I117" s="2"/>
      <c r="J117" s="2"/>
      <c r="L117" s="2"/>
    </row>
    <row r="118" spans="7:12" ht="15.75" x14ac:dyDescent="0.25">
      <c r="G118" s="79" t="s">
        <v>58</v>
      </c>
      <c r="H118" s="176">
        <v>1500</v>
      </c>
      <c r="I118" s="2"/>
      <c r="J118" s="2"/>
      <c r="L118" s="2"/>
    </row>
    <row r="119" spans="7:12" ht="15.75" x14ac:dyDescent="0.25">
      <c r="G119" s="79" t="s">
        <v>59</v>
      </c>
      <c r="H119" s="176">
        <v>13500</v>
      </c>
      <c r="I119" s="2"/>
      <c r="J119" s="2"/>
      <c r="L119" s="2"/>
    </row>
    <row r="120" spans="7:12" ht="15.75" x14ac:dyDescent="0.25">
      <c r="G120" s="79" t="s">
        <v>60</v>
      </c>
      <c r="H120" s="176">
        <v>24000</v>
      </c>
      <c r="I120" s="2"/>
      <c r="J120" s="2"/>
      <c r="L120" s="2"/>
    </row>
    <row r="121" spans="7:12" ht="15.75" x14ac:dyDescent="0.25">
      <c r="G121" s="79" t="s">
        <v>62</v>
      </c>
      <c r="H121" s="176">
        <v>30000</v>
      </c>
      <c r="I121" s="2"/>
      <c r="J121" s="2"/>
      <c r="L121" s="2"/>
    </row>
    <row r="122" spans="7:12" ht="15.75" x14ac:dyDescent="0.25">
      <c r="G122" s="79" t="s">
        <v>64</v>
      </c>
      <c r="H122" s="176">
        <v>21000</v>
      </c>
      <c r="I122" s="2"/>
      <c r="J122" s="2"/>
      <c r="L122" s="2"/>
    </row>
    <row r="123" spans="7:12" ht="15.75" x14ac:dyDescent="0.25">
      <c r="G123" s="79" t="s">
        <v>66</v>
      </c>
      <c r="H123" s="176">
        <v>9000</v>
      </c>
      <c r="I123" s="2"/>
      <c r="J123" s="2"/>
      <c r="L123" s="2"/>
    </row>
    <row r="124" spans="7:12" ht="15.75" x14ac:dyDescent="0.25">
      <c r="G124" s="79" t="s">
        <v>69</v>
      </c>
      <c r="H124" s="176">
        <v>5000</v>
      </c>
      <c r="I124" s="2"/>
      <c r="J124" s="2"/>
      <c r="L124" s="2"/>
    </row>
    <row r="125" spans="7:12" ht="15.75" x14ac:dyDescent="0.25">
      <c r="G125" s="79" t="s">
        <v>70</v>
      </c>
      <c r="H125" s="176">
        <v>10000</v>
      </c>
      <c r="I125" s="2"/>
      <c r="J125" s="2"/>
      <c r="L125" s="2"/>
    </row>
    <row r="126" spans="7:12" ht="15.75" x14ac:dyDescent="0.25">
      <c r="G126" s="79" t="s">
        <v>71</v>
      </c>
      <c r="H126" s="176">
        <v>10000</v>
      </c>
      <c r="I126" s="2"/>
      <c r="J126" s="2"/>
      <c r="L126" s="2"/>
    </row>
    <row r="127" spans="7:12" ht="15.75" x14ac:dyDescent="0.25">
      <c r="G127" s="79" t="s">
        <v>72</v>
      </c>
      <c r="H127" s="176">
        <v>8000</v>
      </c>
      <c r="I127" s="2"/>
      <c r="J127" s="2"/>
      <c r="L127" s="2"/>
    </row>
    <row r="128" spans="7:12" ht="15.75" x14ac:dyDescent="0.25">
      <c r="G128" s="79" t="s">
        <v>73</v>
      </c>
      <c r="H128" s="176">
        <v>36000</v>
      </c>
      <c r="I128" s="2"/>
      <c r="J128" s="2"/>
      <c r="L128" s="2"/>
    </row>
    <row r="129" spans="7:12" ht="15.75" x14ac:dyDescent="0.25">
      <c r="G129" s="79" t="s">
        <v>74</v>
      </c>
      <c r="H129" s="176">
        <v>18000</v>
      </c>
      <c r="I129" s="2"/>
      <c r="J129" s="2"/>
      <c r="L129" s="2"/>
    </row>
    <row r="130" spans="7:12" ht="15.75" x14ac:dyDescent="0.25">
      <c r="G130" s="79" t="s">
        <v>75</v>
      </c>
      <c r="H130" s="176">
        <v>5000</v>
      </c>
      <c r="I130" s="2"/>
      <c r="J130" s="2"/>
      <c r="L130" s="2"/>
    </row>
    <row r="131" spans="7:12" ht="15.75" x14ac:dyDescent="0.25">
      <c r="G131" s="79" t="s">
        <v>76</v>
      </c>
      <c r="H131" s="176">
        <v>12000</v>
      </c>
      <c r="I131" s="2"/>
      <c r="J131" s="2"/>
      <c r="L131" s="2"/>
    </row>
    <row r="132" spans="7:12" ht="15.75" x14ac:dyDescent="0.25">
      <c r="G132" s="79" t="s">
        <v>77</v>
      </c>
      <c r="H132" s="176">
        <v>30000</v>
      </c>
      <c r="I132" s="2"/>
      <c r="J132" s="2"/>
      <c r="L132" s="2"/>
    </row>
    <row r="133" spans="7:12" ht="15.75" x14ac:dyDescent="0.25">
      <c r="G133" s="79" t="s">
        <v>78</v>
      </c>
      <c r="H133" s="176">
        <v>3000</v>
      </c>
      <c r="I133" s="2"/>
      <c r="J133" s="2"/>
      <c r="L133" s="2"/>
    </row>
    <row r="134" spans="7:12" ht="15.75" x14ac:dyDescent="0.25">
      <c r="G134" s="79" t="s">
        <v>79</v>
      </c>
      <c r="H134" s="176">
        <v>5000</v>
      </c>
      <c r="I134" s="2"/>
      <c r="J134" s="2"/>
      <c r="L134" s="2"/>
    </row>
    <row r="135" spans="7:12" ht="15.75" x14ac:dyDescent="0.25">
      <c r="G135" s="79" t="s">
        <v>80</v>
      </c>
      <c r="H135" s="176">
        <f>8000-8000</f>
        <v>0</v>
      </c>
      <c r="I135" s="2"/>
      <c r="J135" s="2"/>
      <c r="L135" s="2"/>
    </row>
    <row r="136" spans="7:12" ht="15.75" x14ac:dyDescent="0.25">
      <c r="G136" s="79" t="s">
        <v>81</v>
      </c>
      <c r="H136" s="176">
        <v>30000</v>
      </c>
      <c r="I136" s="2"/>
      <c r="J136" s="2"/>
      <c r="L136" s="2"/>
    </row>
    <row r="137" spans="7:12" ht="15.75" x14ac:dyDescent="0.25">
      <c r="G137" s="79" t="s">
        <v>82</v>
      </c>
      <c r="H137" s="176">
        <v>2000</v>
      </c>
      <c r="I137" s="2"/>
      <c r="J137" s="2"/>
      <c r="L137" s="2"/>
    </row>
    <row r="138" spans="7:12" ht="15.75" x14ac:dyDescent="0.25">
      <c r="G138" s="79" t="s">
        <v>83</v>
      </c>
      <c r="H138" s="176">
        <v>18000</v>
      </c>
      <c r="I138" s="2"/>
      <c r="J138" s="2"/>
      <c r="L138" s="2"/>
    </row>
    <row r="139" spans="7:12" ht="15.75" x14ac:dyDescent="0.25">
      <c r="G139" s="79" t="s">
        <v>84</v>
      </c>
      <c r="H139" s="176">
        <v>5000</v>
      </c>
      <c r="I139" s="2"/>
      <c r="J139" s="2"/>
      <c r="L139" s="2"/>
    </row>
    <row r="140" spans="7:12" ht="15.75" x14ac:dyDescent="0.25">
      <c r="G140" s="79" t="s">
        <v>85</v>
      </c>
      <c r="H140" s="176">
        <v>14000</v>
      </c>
      <c r="I140" s="2"/>
      <c r="J140" s="2"/>
      <c r="L140" s="2"/>
    </row>
    <row r="141" spans="7:12" ht="15.75" x14ac:dyDescent="0.25">
      <c r="G141" s="79" t="s">
        <v>86</v>
      </c>
      <c r="H141" s="176">
        <v>20000</v>
      </c>
      <c r="I141" s="2"/>
      <c r="J141" s="2"/>
      <c r="L141" s="2"/>
    </row>
    <row r="142" spans="7:12" ht="15.75" x14ac:dyDescent="0.25">
      <c r="G142" s="79" t="s">
        <v>87</v>
      </c>
      <c r="H142" s="176">
        <v>16000</v>
      </c>
      <c r="I142" s="2"/>
      <c r="J142" s="2"/>
      <c r="L142" s="2"/>
    </row>
    <row r="143" spans="7:12" ht="16.5" thickBot="1" x14ac:dyDescent="0.3">
      <c r="G143" s="179" t="s">
        <v>459</v>
      </c>
      <c r="H143" s="178">
        <f>SUM(H83:H142)</f>
        <v>1272500</v>
      </c>
      <c r="I143" s="2"/>
      <c r="J143" s="2"/>
      <c r="L143" s="2"/>
    </row>
    <row r="144" spans="7:12" ht="16.5" thickTop="1" x14ac:dyDescent="0.25">
      <c r="G144" s="79"/>
      <c r="H144" s="79"/>
      <c r="I144" s="2"/>
      <c r="J144" s="2"/>
      <c r="L144" s="2"/>
    </row>
    <row r="145" spans="8:8" x14ac:dyDescent="0.25">
      <c r="H145" s="7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3"/>
  <sheetViews>
    <sheetView topLeftCell="A73" workbookViewId="0">
      <selection activeCell="H92" sqref="H92"/>
    </sheetView>
  </sheetViews>
  <sheetFormatPr defaultRowHeight="15" x14ac:dyDescent="0.25"/>
  <cols>
    <col min="3" max="3" width="34.5703125" customWidth="1"/>
    <col min="4" max="5" width="11.5703125" bestFit="1" customWidth="1"/>
    <col min="6" max="6" width="11.28515625" customWidth="1"/>
    <col min="7" max="7" width="11.5703125" bestFit="1" customWidth="1"/>
    <col min="8" max="8" width="15.28515625" customWidth="1"/>
    <col min="9" max="9" width="32.7109375" customWidth="1"/>
    <col min="10" max="10" width="10.28515625" customWidth="1"/>
    <col min="11" max="11" width="9" bestFit="1" customWidth="1"/>
    <col min="12" max="12" width="14.28515625" bestFit="1" customWidth="1"/>
  </cols>
  <sheetData>
    <row r="4" spans="2:12" ht="15.75" x14ac:dyDescent="0.25">
      <c r="C4" s="96" t="s">
        <v>314</v>
      </c>
    </row>
    <row r="5" spans="2:12" x14ac:dyDescent="0.25">
      <c r="B5" s="97" t="s">
        <v>315</v>
      </c>
      <c r="C5" s="97" t="s">
        <v>316</v>
      </c>
      <c r="D5" s="97" t="s">
        <v>317</v>
      </c>
      <c r="E5" s="97" t="s">
        <v>318</v>
      </c>
      <c r="F5" s="97" t="s">
        <v>319</v>
      </c>
    </row>
    <row r="6" spans="2:12" x14ac:dyDescent="0.25">
      <c r="B6" s="98" t="s">
        <v>320</v>
      </c>
      <c r="C6" s="98" t="s">
        <v>321</v>
      </c>
      <c r="D6" s="99"/>
      <c r="E6" s="99"/>
      <c r="F6" s="100">
        <v>0</v>
      </c>
    </row>
    <row r="7" spans="2:12" x14ac:dyDescent="0.25">
      <c r="B7" s="98" t="s">
        <v>320</v>
      </c>
      <c r="C7" s="98" t="s">
        <v>321</v>
      </c>
      <c r="D7" s="101">
        <v>466666</v>
      </c>
      <c r="E7" s="99"/>
      <c r="F7" s="99">
        <f>F6+D7-E7</f>
        <v>466666</v>
      </c>
    </row>
    <row r="8" spans="2:12" x14ac:dyDescent="0.25">
      <c r="B8" s="98" t="s">
        <v>320</v>
      </c>
      <c r="C8" s="98" t="s">
        <v>322</v>
      </c>
      <c r="D8" s="99"/>
      <c r="E8" s="99">
        <v>0</v>
      </c>
      <c r="F8" s="99">
        <f t="shared" ref="F8" si="0">F7+D8-E8</f>
        <v>466666</v>
      </c>
      <c r="L8" s="102">
        <f>F8</f>
        <v>466666</v>
      </c>
    </row>
    <row r="9" spans="2:12" x14ac:dyDescent="0.25">
      <c r="B9" s="98"/>
      <c r="C9" s="103"/>
      <c r="D9" s="99"/>
      <c r="E9" s="99"/>
      <c r="F9" s="99"/>
    </row>
    <row r="10" spans="2:12" x14ac:dyDescent="0.25">
      <c r="B10" s="98"/>
      <c r="C10" s="98"/>
      <c r="D10" s="99"/>
      <c r="E10" s="99"/>
      <c r="F10" s="99"/>
    </row>
    <row r="12" spans="2:12" ht="15.75" x14ac:dyDescent="0.25">
      <c r="C12" s="96" t="s">
        <v>323</v>
      </c>
    </row>
    <row r="13" spans="2:12" x14ac:dyDescent="0.25">
      <c r="B13" s="97" t="s">
        <v>315</v>
      </c>
      <c r="C13" s="97" t="s">
        <v>316</v>
      </c>
      <c r="D13" s="97" t="s">
        <v>317</v>
      </c>
      <c r="E13" s="97" t="s">
        <v>318</v>
      </c>
      <c r="F13" s="97" t="s">
        <v>319</v>
      </c>
    </row>
    <row r="14" spans="2:12" x14ac:dyDescent="0.25">
      <c r="B14" s="98" t="s">
        <v>320</v>
      </c>
      <c r="C14" s="98" t="s">
        <v>321</v>
      </c>
      <c r="D14" s="99"/>
      <c r="E14" s="99"/>
      <c r="F14" s="100">
        <v>0</v>
      </c>
    </row>
    <row r="15" spans="2:12" x14ac:dyDescent="0.25">
      <c r="B15" s="98" t="s">
        <v>320</v>
      </c>
      <c r="C15" s="98" t="s">
        <v>321</v>
      </c>
      <c r="D15" s="99">
        <v>30936638</v>
      </c>
      <c r="E15" s="99"/>
      <c r="F15" s="99">
        <f>F14+D15-E15</f>
        <v>30936638</v>
      </c>
    </row>
    <row r="16" spans="2:12" ht="15.75" x14ac:dyDescent="0.25">
      <c r="B16" s="98" t="s">
        <v>320</v>
      </c>
      <c r="C16" s="98" t="s">
        <v>322</v>
      </c>
      <c r="D16" s="99"/>
      <c r="E16" s="99">
        <v>25483544</v>
      </c>
      <c r="F16" s="99">
        <f t="shared" ref="F16:F18" si="1">F15+D16-E16</f>
        <v>5453094</v>
      </c>
      <c r="H16" s="104">
        <v>5010116001</v>
      </c>
      <c r="I16" s="98" t="s">
        <v>324</v>
      </c>
      <c r="J16" s="105">
        <v>446608</v>
      </c>
      <c r="K16" s="99"/>
    </row>
    <row r="17" spans="2:12" x14ac:dyDescent="0.25">
      <c r="B17" s="98" t="s">
        <v>325</v>
      </c>
      <c r="C17" s="98" t="s">
        <v>326</v>
      </c>
      <c r="D17" s="99"/>
      <c r="E17" s="99">
        <v>490778</v>
      </c>
      <c r="F17" s="99">
        <f t="shared" si="1"/>
        <v>4962316</v>
      </c>
      <c r="I17" s="98" t="s">
        <v>327</v>
      </c>
      <c r="J17" s="99">
        <v>0</v>
      </c>
      <c r="K17" s="105">
        <v>446608</v>
      </c>
    </row>
    <row r="18" spans="2:12" x14ac:dyDescent="0.25">
      <c r="B18" s="98" t="s">
        <v>328</v>
      </c>
      <c r="C18" s="98" t="s">
        <v>329</v>
      </c>
      <c r="D18" s="99"/>
      <c r="E18" s="99">
        <v>446608</v>
      </c>
      <c r="F18" s="99">
        <f t="shared" si="1"/>
        <v>4515708</v>
      </c>
      <c r="L18" s="102">
        <f>F18</f>
        <v>4515708</v>
      </c>
    </row>
    <row r="19" spans="2:12" x14ac:dyDescent="0.25">
      <c r="B19" s="98"/>
      <c r="C19" s="98"/>
      <c r="D19" s="99"/>
      <c r="E19" s="99"/>
      <c r="F19" s="99"/>
    </row>
    <row r="20" spans="2:12" x14ac:dyDescent="0.25">
      <c r="B20" s="98"/>
      <c r="C20" s="98"/>
      <c r="D20" s="99"/>
      <c r="E20" s="99"/>
      <c r="F20" s="99"/>
    </row>
    <row r="22" spans="2:12" ht="15.75" x14ac:dyDescent="0.25">
      <c r="C22" s="96" t="s">
        <v>330</v>
      </c>
    </row>
    <row r="23" spans="2:12" x14ac:dyDescent="0.25">
      <c r="B23" s="97" t="s">
        <v>315</v>
      </c>
      <c r="C23" s="97" t="s">
        <v>316</v>
      </c>
      <c r="D23" s="97" t="s">
        <v>317</v>
      </c>
      <c r="E23" s="97" t="s">
        <v>318</v>
      </c>
      <c r="F23" s="97" t="s">
        <v>319</v>
      </c>
    </row>
    <row r="24" spans="2:12" x14ac:dyDescent="0.25">
      <c r="B24" s="98" t="s">
        <v>320</v>
      </c>
      <c r="C24" s="98" t="s">
        <v>321</v>
      </c>
      <c r="D24" s="99"/>
      <c r="E24" s="99"/>
      <c r="F24" s="100">
        <v>0</v>
      </c>
    </row>
    <row r="25" spans="2:12" x14ac:dyDescent="0.25">
      <c r="B25" s="98" t="s">
        <v>320</v>
      </c>
      <c r="C25" s="98" t="s">
        <v>321</v>
      </c>
      <c r="D25" s="101">
        <v>1887520</v>
      </c>
      <c r="E25" s="99"/>
      <c r="F25" s="99">
        <f>F24+D25-E25</f>
        <v>1887520</v>
      </c>
    </row>
    <row r="26" spans="2:12" ht="15.75" x14ac:dyDescent="0.25">
      <c r="B26" s="98" t="s">
        <v>320</v>
      </c>
      <c r="C26" s="98" t="s">
        <v>322</v>
      </c>
      <c r="D26" s="99"/>
      <c r="E26" s="99">
        <v>698986</v>
      </c>
      <c r="F26" s="99">
        <f t="shared" ref="F26:F28" si="2">F25+D26-E26</f>
        <v>1188534</v>
      </c>
      <c r="H26" s="104">
        <v>5010116011</v>
      </c>
      <c r="I26" s="98" t="s">
        <v>331</v>
      </c>
      <c r="J26" s="106">
        <v>97341</v>
      </c>
      <c r="K26" s="99"/>
    </row>
    <row r="27" spans="2:12" x14ac:dyDescent="0.25">
      <c r="B27" s="98" t="s">
        <v>325</v>
      </c>
      <c r="C27" s="98" t="s">
        <v>326</v>
      </c>
      <c r="D27" s="99"/>
      <c r="E27" s="99">
        <v>106968</v>
      </c>
      <c r="F27" s="99">
        <f t="shared" si="2"/>
        <v>1081566</v>
      </c>
      <c r="I27" s="98" t="s">
        <v>332</v>
      </c>
      <c r="J27" s="99">
        <v>0</v>
      </c>
      <c r="K27" s="106">
        <v>97341</v>
      </c>
    </row>
    <row r="28" spans="2:12" x14ac:dyDescent="0.25">
      <c r="B28" s="98" t="s">
        <v>328</v>
      </c>
      <c r="C28" s="98" t="s">
        <v>329</v>
      </c>
      <c r="D28" s="99"/>
      <c r="E28" s="99">
        <v>97341</v>
      </c>
      <c r="F28" s="99">
        <f t="shared" si="2"/>
        <v>984225</v>
      </c>
      <c r="L28" s="102">
        <f>F28</f>
        <v>984225</v>
      </c>
    </row>
    <row r="29" spans="2:12" x14ac:dyDescent="0.25">
      <c r="B29" s="98"/>
      <c r="C29" s="98"/>
      <c r="D29" s="99"/>
      <c r="E29" s="99"/>
      <c r="F29" s="99"/>
    </row>
    <row r="30" spans="2:12" x14ac:dyDescent="0.25">
      <c r="B30" s="98"/>
      <c r="C30" s="98"/>
      <c r="D30" s="99"/>
      <c r="E30" s="99"/>
      <c r="F30" s="99"/>
    </row>
    <row r="32" spans="2:12" ht="15.75" x14ac:dyDescent="0.25">
      <c r="C32" s="96" t="s">
        <v>333</v>
      </c>
      <c r="D32" s="107">
        <v>0</v>
      </c>
    </row>
    <row r="33" spans="2:12" x14ac:dyDescent="0.25">
      <c r="B33" s="97" t="s">
        <v>315</v>
      </c>
      <c r="C33" s="97" t="s">
        <v>316</v>
      </c>
      <c r="D33" s="97" t="s">
        <v>317</v>
      </c>
      <c r="E33" s="97" t="s">
        <v>318</v>
      </c>
      <c r="F33" s="97" t="s">
        <v>319</v>
      </c>
    </row>
    <row r="34" spans="2:12" x14ac:dyDescent="0.25">
      <c r="B34" s="98" t="s">
        <v>320</v>
      </c>
      <c r="C34" s="98" t="s">
        <v>321</v>
      </c>
      <c r="D34" s="99"/>
      <c r="E34" s="99"/>
      <c r="F34" s="100">
        <v>0</v>
      </c>
    </row>
    <row r="35" spans="2:12" x14ac:dyDescent="0.25">
      <c r="B35" s="98" t="s">
        <v>320</v>
      </c>
      <c r="C35" s="98" t="s">
        <v>321</v>
      </c>
      <c r="D35" s="101">
        <v>1544550</v>
      </c>
      <c r="E35" s="99"/>
      <c r="F35" s="99">
        <f>F34+D35-E35</f>
        <v>1544550</v>
      </c>
    </row>
    <row r="36" spans="2:12" ht="15.75" x14ac:dyDescent="0.25">
      <c r="B36" s="98" t="s">
        <v>320</v>
      </c>
      <c r="C36" s="98" t="s">
        <v>322</v>
      </c>
      <c r="D36" s="99"/>
      <c r="E36" s="99">
        <v>1332140</v>
      </c>
      <c r="F36" s="99">
        <f t="shared" ref="F36:F38" si="3">F35+D36-E36</f>
        <v>212410</v>
      </c>
      <c r="H36" s="104">
        <v>5010116012</v>
      </c>
      <c r="I36" s="98" t="s">
        <v>334</v>
      </c>
      <c r="J36" s="105">
        <v>27082</v>
      </c>
      <c r="K36" s="99"/>
    </row>
    <row r="37" spans="2:12" x14ac:dyDescent="0.25">
      <c r="B37" s="98" t="s">
        <v>325</v>
      </c>
      <c r="C37" s="98" t="s">
        <v>326</v>
      </c>
      <c r="D37" s="99"/>
      <c r="E37" s="108">
        <f>F36*15%</f>
        <v>31861.5</v>
      </c>
      <c r="F37" s="99">
        <f t="shared" si="3"/>
        <v>180548.5</v>
      </c>
      <c r="G37" s="108">
        <v>31862</v>
      </c>
      <c r="I37" s="98" t="s">
        <v>335</v>
      </c>
      <c r="J37" s="99">
        <v>0</v>
      </c>
      <c r="K37" s="105">
        <v>27082</v>
      </c>
      <c r="L37" s="109"/>
    </row>
    <row r="38" spans="2:12" x14ac:dyDescent="0.25">
      <c r="B38" s="98" t="s">
        <v>328</v>
      </c>
      <c r="C38" s="98" t="s">
        <v>329</v>
      </c>
      <c r="D38" s="99"/>
      <c r="E38" s="110">
        <v>27082</v>
      </c>
      <c r="F38" s="99">
        <f t="shared" si="3"/>
        <v>153466.5</v>
      </c>
      <c r="L38" s="109">
        <f>F38</f>
        <v>153466.5</v>
      </c>
    </row>
    <row r="39" spans="2:12" x14ac:dyDescent="0.25">
      <c r="B39" s="98"/>
      <c r="C39" s="98"/>
      <c r="D39" s="99"/>
      <c r="E39" s="99"/>
      <c r="F39" s="99"/>
      <c r="L39" s="109"/>
    </row>
    <row r="40" spans="2:12" x14ac:dyDescent="0.25">
      <c r="B40" s="98"/>
      <c r="C40" s="98"/>
      <c r="D40" s="99"/>
      <c r="E40" s="99"/>
      <c r="F40" s="99"/>
      <c r="L40" s="109"/>
    </row>
    <row r="41" spans="2:12" x14ac:dyDescent="0.25">
      <c r="L41" s="109"/>
    </row>
    <row r="42" spans="2:12" ht="15.75" x14ac:dyDescent="0.25">
      <c r="C42" s="96" t="s">
        <v>336</v>
      </c>
      <c r="D42" s="107"/>
      <c r="E42" s="109"/>
      <c r="L42" s="109"/>
    </row>
    <row r="43" spans="2:12" x14ac:dyDescent="0.25">
      <c r="B43" s="97" t="s">
        <v>315</v>
      </c>
      <c r="C43" s="97" t="s">
        <v>316</v>
      </c>
      <c r="D43" s="97" t="s">
        <v>317</v>
      </c>
      <c r="E43" s="97" t="s">
        <v>318</v>
      </c>
      <c r="F43" s="97" t="s">
        <v>319</v>
      </c>
      <c r="L43" s="109"/>
    </row>
    <row r="44" spans="2:12" x14ac:dyDescent="0.25">
      <c r="B44" s="98" t="s">
        <v>320</v>
      </c>
      <c r="C44" s="98" t="s">
        <v>321</v>
      </c>
      <c r="D44" s="99"/>
      <c r="E44" s="99"/>
      <c r="F44" s="100">
        <v>0</v>
      </c>
    </row>
    <row r="45" spans="2:12" x14ac:dyDescent="0.25">
      <c r="B45" s="98" t="s">
        <v>320</v>
      </c>
      <c r="C45" s="98" t="s">
        <v>321</v>
      </c>
      <c r="D45" s="101">
        <v>1386995</v>
      </c>
      <c r="E45" s="99"/>
      <c r="F45" s="99">
        <f>F44+D45-E45</f>
        <v>1386995</v>
      </c>
    </row>
    <row r="46" spans="2:12" x14ac:dyDescent="0.25">
      <c r="B46" s="98" t="s">
        <v>320</v>
      </c>
      <c r="C46" s="98" t="s">
        <v>322</v>
      </c>
      <c r="D46" s="99"/>
      <c r="E46" s="99">
        <v>589416</v>
      </c>
      <c r="F46" s="99">
        <f t="shared" ref="F46:F52" si="4">F45+D46-E46</f>
        <v>797579</v>
      </c>
    </row>
    <row r="47" spans="2:12" ht="15.75" x14ac:dyDescent="0.25">
      <c r="B47" s="98" t="s">
        <v>325</v>
      </c>
      <c r="C47" s="98" t="s">
        <v>326</v>
      </c>
      <c r="D47" s="99"/>
      <c r="E47" s="108">
        <f>F46*15%</f>
        <v>119636.84999999999</v>
      </c>
      <c r="F47" s="99">
        <f t="shared" si="4"/>
        <v>677942.15</v>
      </c>
      <c r="G47" s="108">
        <v>119637</v>
      </c>
      <c r="H47" s="104">
        <v>5010116012</v>
      </c>
      <c r="I47" s="98" t="s">
        <v>337</v>
      </c>
      <c r="J47" s="105">
        <f>101691+11111+1875</f>
        <v>114677</v>
      </c>
      <c r="K47" s="99"/>
    </row>
    <row r="48" spans="2:12" x14ac:dyDescent="0.25">
      <c r="B48" s="98" t="s">
        <v>328</v>
      </c>
      <c r="C48" s="98" t="s">
        <v>329</v>
      </c>
      <c r="D48" s="99"/>
      <c r="E48" s="110">
        <v>101691</v>
      </c>
      <c r="F48" s="99">
        <f t="shared" si="4"/>
        <v>576251.15</v>
      </c>
      <c r="I48" s="98" t="s">
        <v>338</v>
      </c>
      <c r="J48" s="99">
        <v>0</v>
      </c>
      <c r="K48" s="105">
        <f>101691+11111+1875</f>
        <v>114677</v>
      </c>
    </row>
    <row r="49" spans="2:12" x14ac:dyDescent="0.25">
      <c r="B49" s="98" t="s">
        <v>339</v>
      </c>
      <c r="C49" s="79" t="s">
        <v>340</v>
      </c>
      <c r="D49" s="99">
        <v>126984</v>
      </c>
      <c r="E49" s="99"/>
      <c r="F49" s="99">
        <f t="shared" si="4"/>
        <v>703235.15</v>
      </c>
    </row>
    <row r="50" spans="2:12" x14ac:dyDescent="0.25">
      <c r="B50" s="98" t="s">
        <v>328</v>
      </c>
      <c r="C50" s="98" t="s">
        <v>341</v>
      </c>
      <c r="D50" s="99"/>
      <c r="E50" s="110">
        <v>11111</v>
      </c>
      <c r="F50" s="99">
        <f t="shared" si="4"/>
        <v>692124.15</v>
      </c>
    </row>
    <row r="51" spans="2:12" x14ac:dyDescent="0.25">
      <c r="B51" s="98" t="s">
        <v>342</v>
      </c>
      <c r="C51" s="79" t="s">
        <v>343</v>
      </c>
      <c r="D51" s="99">
        <v>30000</v>
      </c>
      <c r="E51" s="99"/>
      <c r="F51" s="99">
        <f t="shared" si="4"/>
        <v>722124.15</v>
      </c>
      <c r="I51" s="111" t="s">
        <v>256</v>
      </c>
    </row>
    <row r="52" spans="2:12" x14ac:dyDescent="0.25">
      <c r="B52" s="98" t="s">
        <v>328</v>
      </c>
      <c r="C52" s="98" t="s">
        <v>344</v>
      </c>
      <c r="D52" s="98"/>
      <c r="E52" s="110">
        <v>1875</v>
      </c>
      <c r="F52" s="99">
        <f t="shared" si="4"/>
        <v>720249.15</v>
      </c>
      <c r="I52" s="111"/>
      <c r="L52" s="102">
        <f>F52</f>
        <v>720249.15</v>
      </c>
    </row>
    <row r="53" spans="2:12" x14ac:dyDescent="0.25">
      <c r="B53" s="98"/>
      <c r="C53" s="98"/>
      <c r="D53" s="98"/>
      <c r="E53" s="99"/>
      <c r="F53" s="99"/>
    </row>
    <row r="56" spans="2:12" ht="18.75" x14ac:dyDescent="0.25">
      <c r="C56" s="112" t="s">
        <v>345</v>
      </c>
    </row>
    <row r="57" spans="2:12" x14ac:dyDescent="0.25">
      <c r="B57" s="97" t="s">
        <v>315</v>
      </c>
      <c r="C57" s="97" t="s">
        <v>316</v>
      </c>
      <c r="D57" s="97" t="s">
        <v>317</v>
      </c>
      <c r="E57" s="97" t="s">
        <v>318</v>
      </c>
      <c r="F57" s="97" t="s">
        <v>319</v>
      </c>
    </row>
    <row r="58" spans="2:12" x14ac:dyDescent="0.25">
      <c r="B58" s="98"/>
      <c r="C58" s="98"/>
      <c r="D58" s="99"/>
      <c r="E58" s="99"/>
      <c r="F58" s="101">
        <v>0</v>
      </c>
    </row>
    <row r="59" spans="2:12" x14ac:dyDescent="0.25">
      <c r="B59" s="98" t="s">
        <v>346</v>
      </c>
      <c r="C59" s="79" t="s">
        <v>347</v>
      </c>
      <c r="D59" s="99">
        <v>594000</v>
      </c>
      <c r="E59" s="99"/>
      <c r="F59" s="99">
        <f>F58+D59-E59</f>
        <v>594000</v>
      </c>
    </row>
    <row r="60" spans="2:12" ht="15.75" x14ac:dyDescent="0.25">
      <c r="B60" s="98" t="s">
        <v>346</v>
      </c>
      <c r="C60" s="113" t="s">
        <v>348</v>
      </c>
      <c r="D60" s="99">
        <v>1012680</v>
      </c>
      <c r="E60" s="99">
        <v>0</v>
      </c>
      <c r="F60" s="99">
        <f t="shared" ref="F60:F65" si="5">F59+D60-E60</f>
        <v>1606680</v>
      </c>
      <c r="H60" s="104">
        <v>5010116012</v>
      </c>
      <c r="I60" s="98" t="s">
        <v>349</v>
      </c>
      <c r="J60" s="105">
        <v>100244</v>
      </c>
      <c r="K60" s="99"/>
    </row>
    <row r="61" spans="2:12" x14ac:dyDescent="0.25">
      <c r="B61" s="98" t="s">
        <v>350</v>
      </c>
      <c r="C61" s="79" t="s">
        <v>351</v>
      </c>
      <c r="D61" s="99">
        <v>398200</v>
      </c>
      <c r="E61" s="99"/>
      <c r="F61" s="99">
        <f t="shared" si="5"/>
        <v>2004880</v>
      </c>
      <c r="I61" s="98" t="s">
        <v>352</v>
      </c>
      <c r="J61" s="99">
        <v>0</v>
      </c>
      <c r="K61" s="105">
        <v>100244</v>
      </c>
    </row>
    <row r="62" spans="2:12" x14ac:dyDescent="0.25">
      <c r="B62" s="98" t="s">
        <v>328</v>
      </c>
      <c r="C62" s="98" t="s">
        <v>353</v>
      </c>
      <c r="D62" s="99"/>
      <c r="E62" s="110">
        <v>100244</v>
      </c>
      <c r="F62" s="99">
        <f t="shared" si="5"/>
        <v>1904636</v>
      </c>
    </row>
    <row r="63" spans="2:12" x14ac:dyDescent="0.25">
      <c r="B63" s="98"/>
      <c r="C63" s="98"/>
      <c r="D63" s="99"/>
      <c r="E63" s="99"/>
      <c r="F63" s="99">
        <f t="shared" si="5"/>
        <v>1904636</v>
      </c>
    </row>
    <row r="64" spans="2:12" x14ac:dyDescent="0.25">
      <c r="B64" s="98"/>
      <c r="C64" s="98"/>
      <c r="D64" s="99"/>
      <c r="E64" s="99"/>
      <c r="F64" s="99">
        <f t="shared" si="5"/>
        <v>1904636</v>
      </c>
    </row>
    <row r="65" spans="2:12" x14ac:dyDescent="0.25">
      <c r="B65" s="98"/>
      <c r="C65" s="98"/>
      <c r="D65" s="99"/>
      <c r="E65" s="99"/>
      <c r="F65" s="99">
        <f t="shared" si="5"/>
        <v>1904636</v>
      </c>
      <c r="L65" s="102">
        <f>F65</f>
        <v>1904636</v>
      </c>
    </row>
    <row r="68" spans="2:12" ht="18.75" x14ac:dyDescent="0.25">
      <c r="C68" s="112" t="s">
        <v>354</v>
      </c>
    </row>
    <row r="69" spans="2:12" x14ac:dyDescent="0.25">
      <c r="B69" s="97" t="s">
        <v>315</v>
      </c>
      <c r="C69" s="97" t="s">
        <v>316</v>
      </c>
      <c r="D69" s="97" t="s">
        <v>317</v>
      </c>
      <c r="E69" s="97" t="s">
        <v>318</v>
      </c>
      <c r="F69" s="97" t="s">
        <v>319</v>
      </c>
    </row>
    <row r="70" spans="2:12" x14ac:dyDescent="0.25">
      <c r="B70" s="98" t="s">
        <v>320</v>
      </c>
      <c r="C70" s="98" t="s">
        <v>321</v>
      </c>
      <c r="D70" s="99"/>
      <c r="E70" s="99"/>
      <c r="F70" s="101">
        <v>0</v>
      </c>
    </row>
    <row r="71" spans="2:12" x14ac:dyDescent="0.25">
      <c r="B71" s="98" t="s">
        <v>320</v>
      </c>
      <c r="C71" s="98" t="s">
        <v>321</v>
      </c>
      <c r="D71" s="101">
        <v>194222</v>
      </c>
      <c r="E71" s="99"/>
      <c r="F71" s="99">
        <f>F70+D71-E71</f>
        <v>194222</v>
      </c>
    </row>
    <row r="72" spans="2:12" x14ac:dyDescent="0.25">
      <c r="B72" s="98" t="s">
        <v>320</v>
      </c>
      <c r="C72" s="98" t="s">
        <v>322</v>
      </c>
      <c r="D72" s="99"/>
      <c r="E72" s="99">
        <v>122130</v>
      </c>
      <c r="F72" s="99">
        <f t="shared" ref="F72:F78" si="6">F71+D72-E72</f>
        <v>72092</v>
      </c>
    </row>
    <row r="73" spans="2:12" x14ac:dyDescent="0.25">
      <c r="B73" s="98" t="s">
        <v>355</v>
      </c>
      <c r="C73" s="103" t="s">
        <v>356</v>
      </c>
      <c r="D73" s="99">
        <v>56880</v>
      </c>
      <c r="E73" s="99"/>
      <c r="F73" s="99">
        <f t="shared" si="6"/>
        <v>128972</v>
      </c>
    </row>
    <row r="74" spans="2:12" ht="15.75" x14ac:dyDescent="0.25">
      <c r="B74" s="98" t="s">
        <v>325</v>
      </c>
      <c r="C74" s="98" t="s">
        <v>357</v>
      </c>
      <c r="D74" s="99">
        <v>0</v>
      </c>
      <c r="E74" s="108">
        <v>21627</v>
      </c>
      <c r="F74" s="99">
        <f t="shared" si="6"/>
        <v>107345</v>
      </c>
      <c r="G74" s="108">
        <v>21627</v>
      </c>
      <c r="H74" s="104">
        <v>5010116012</v>
      </c>
      <c r="I74" s="98" t="s">
        <v>358</v>
      </c>
      <c r="J74" s="105">
        <f>28364+17939</f>
        <v>46303</v>
      </c>
      <c r="K74" s="99"/>
    </row>
    <row r="75" spans="2:12" x14ac:dyDescent="0.25">
      <c r="B75" s="98" t="s">
        <v>325</v>
      </c>
      <c r="C75" s="98" t="s">
        <v>359</v>
      </c>
      <c r="D75" s="99"/>
      <c r="E75" s="108">
        <v>12798</v>
      </c>
      <c r="F75" s="99">
        <f t="shared" si="6"/>
        <v>94547</v>
      </c>
      <c r="G75" s="108">
        <v>12798</v>
      </c>
      <c r="I75" s="98" t="s">
        <v>360</v>
      </c>
      <c r="J75" s="99">
        <v>0</v>
      </c>
      <c r="K75" s="105">
        <f>28364+17939</f>
        <v>46303</v>
      </c>
    </row>
    <row r="76" spans="2:12" x14ac:dyDescent="0.25">
      <c r="B76" s="98" t="s">
        <v>328</v>
      </c>
      <c r="C76" s="98" t="s">
        <v>361</v>
      </c>
      <c r="D76" s="99"/>
      <c r="E76" s="110">
        <v>28364</v>
      </c>
      <c r="F76" s="99">
        <f t="shared" si="6"/>
        <v>66183</v>
      </c>
    </row>
    <row r="77" spans="2:12" x14ac:dyDescent="0.25">
      <c r="B77" s="98" t="s">
        <v>362</v>
      </c>
      <c r="C77" s="79" t="s">
        <v>363</v>
      </c>
      <c r="D77" s="99">
        <v>102510</v>
      </c>
      <c r="E77" s="99"/>
      <c r="F77" s="99">
        <f t="shared" si="6"/>
        <v>168693</v>
      </c>
    </row>
    <row r="78" spans="2:12" x14ac:dyDescent="0.25">
      <c r="B78" s="98" t="s">
        <v>328</v>
      </c>
      <c r="C78" s="98" t="s">
        <v>341</v>
      </c>
      <c r="D78" s="99"/>
      <c r="E78" s="110">
        <v>17939</v>
      </c>
      <c r="F78" s="99">
        <f t="shared" si="6"/>
        <v>150754</v>
      </c>
      <c r="I78" s="111" t="s">
        <v>256</v>
      </c>
      <c r="L78" s="102">
        <f>F78</f>
        <v>150754</v>
      </c>
    </row>
    <row r="79" spans="2:12" x14ac:dyDescent="0.25">
      <c r="B79" s="98"/>
      <c r="C79" s="98"/>
      <c r="D79" s="99"/>
      <c r="E79" s="99"/>
      <c r="F79" s="99"/>
      <c r="I79" s="111"/>
    </row>
    <row r="80" spans="2:12" x14ac:dyDescent="0.25">
      <c r="B80" s="98"/>
      <c r="C80" s="98"/>
      <c r="D80" s="98"/>
      <c r="E80" s="98"/>
      <c r="F80" s="98"/>
    </row>
    <row r="82" spans="2:12" ht="15.75" x14ac:dyDescent="0.25">
      <c r="C82" s="96" t="s">
        <v>364</v>
      </c>
      <c r="D82" s="107"/>
    </row>
    <row r="83" spans="2:12" x14ac:dyDescent="0.25">
      <c r="B83" s="97" t="s">
        <v>315</v>
      </c>
      <c r="C83" s="97" t="s">
        <v>316</v>
      </c>
      <c r="D83" s="97" t="s">
        <v>317</v>
      </c>
      <c r="E83" s="97" t="s">
        <v>318</v>
      </c>
      <c r="F83" s="97" t="s">
        <v>319</v>
      </c>
    </row>
    <row r="84" spans="2:12" x14ac:dyDescent="0.25">
      <c r="B84" s="98" t="s">
        <v>320</v>
      </c>
      <c r="C84" s="98" t="s">
        <v>321</v>
      </c>
      <c r="D84" s="99"/>
      <c r="E84" s="99"/>
      <c r="F84" s="100">
        <v>0</v>
      </c>
    </row>
    <row r="85" spans="2:12" x14ac:dyDescent="0.25">
      <c r="B85" s="98" t="s">
        <v>320</v>
      </c>
      <c r="C85" s="98" t="s">
        <v>321</v>
      </c>
      <c r="D85" s="101">
        <v>1725000</v>
      </c>
      <c r="E85" s="99"/>
      <c r="F85" s="99">
        <f>F84+D85-E85</f>
        <v>1725000</v>
      </c>
    </row>
    <row r="86" spans="2:12" ht="15.75" x14ac:dyDescent="0.25">
      <c r="B86" s="98" t="s">
        <v>320</v>
      </c>
      <c r="C86" s="98" t="s">
        <v>322</v>
      </c>
      <c r="D86" s="99"/>
      <c r="E86" s="99">
        <v>1531479</v>
      </c>
      <c r="F86" s="99">
        <f t="shared" ref="F86:F90" si="7">F85+D86-E86</f>
        <v>193521</v>
      </c>
      <c r="H86" s="104">
        <v>5010116012</v>
      </c>
      <c r="I86" s="98" t="s">
        <v>365</v>
      </c>
      <c r="J86" s="105">
        <f>17417+3765</f>
        <v>21182</v>
      </c>
      <c r="K86" s="99"/>
    </row>
    <row r="87" spans="2:12" x14ac:dyDescent="0.25">
      <c r="B87" s="98" t="s">
        <v>325</v>
      </c>
      <c r="C87" s="98" t="s">
        <v>366</v>
      </c>
      <c r="D87" s="99"/>
      <c r="E87" s="108">
        <f>F86*10%</f>
        <v>19352.100000000002</v>
      </c>
      <c r="F87" s="99">
        <f t="shared" si="7"/>
        <v>174168.9</v>
      </c>
      <c r="G87" s="108">
        <v>19352</v>
      </c>
      <c r="I87" s="98" t="s">
        <v>367</v>
      </c>
      <c r="J87" s="99">
        <v>0</v>
      </c>
      <c r="K87" s="105">
        <f>17417+3765</f>
        <v>21182</v>
      </c>
    </row>
    <row r="88" spans="2:12" x14ac:dyDescent="0.25">
      <c r="B88" s="98" t="s">
        <v>328</v>
      </c>
      <c r="C88" s="98" t="s">
        <v>361</v>
      </c>
      <c r="D88" s="99"/>
      <c r="E88" s="110">
        <v>17417</v>
      </c>
      <c r="F88" s="99">
        <f t="shared" si="7"/>
        <v>156751.9</v>
      </c>
    </row>
    <row r="89" spans="2:12" x14ac:dyDescent="0.25">
      <c r="B89" s="98" t="s">
        <v>368</v>
      </c>
      <c r="C89" s="79" t="s">
        <v>369</v>
      </c>
      <c r="D89" s="99">
        <v>64550</v>
      </c>
      <c r="E89" s="99"/>
      <c r="F89" s="99">
        <f t="shared" si="7"/>
        <v>221301.9</v>
      </c>
    </row>
    <row r="90" spans="2:12" x14ac:dyDescent="0.25">
      <c r="B90" s="98" t="s">
        <v>328</v>
      </c>
      <c r="C90" s="98" t="s">
        <v>341</v>
      </c>
      <c r="D90" s="99"/>
      <c r="E90" s="110">
        <v>3765</v>
      </c>
      <c r="F90" s="99">
        <f t="shared" si="7"/>
        <v>217536.9</v>
      </c>
      <c r="I90" s="111"/>
      <c r="L90" s="102">
        <f>F90</f>
        <v>217536.9</v>
      </c>
    </row>
    <row r="91" spans="2:12" x14ac:dyDescent="0.25">
      <c r="B91" s="98"/>
      <c r="C91" s="98"/>
      <c r="D91" s="99"/>
      <c r="E91" s="99"/>
      <c r="F91" s="99"/>
    </row>
    <row r="92" spans="2:12" x14ac:dyDescent="0.25">
      <c r="B92" s="98"/>
      <c r="C92" s="98"/>
      <c r="D92" s="99"/>
      <c r="E92" s="99"/>
      <c r="F92" s="99"/>
    </row>
    <row r="94" spans="2:12" ht="15.75" x14ac:dyDescent="0.25">
      <c r="C94" s="96" t="s">
        <v>370</v>
      </c>
      <c r="D94" s="107"/>
    </row>
    <row r="95" spans="2:12" x14ac:dyDescent="0.25">
      <c r="B95" s="97" t="s">
        <v>315</v>
      </c>
      <c r="C95" s="97" t="s">
        <v>316</v>
      </c>
      <c r="D95" s="97" t="s">
        <v>317</v>
      </c>
      <c r="E95" s="97" t="s">
        <v>318</v>
      </c>
      <c r="F95" s="97" t="s">
        <v>319</v>
      </c>
    </row>
    <row r="96" spans="2:12" x14ac:dyDescent="0.25">
      <c r="B96" s="98" t="s">
        <v>320</v>
      </c>
      <c r="C96" s="98" t="s">
        <v>321</v>
      </c>
      <c r="D96" s="99"/>
      <c r="E96" s="99"/>
      <c r="F96" s="100">
        <v>0</v>
      </c>
    </row>
    <row r="97" spans="2:12" x14ac:dyDescent="0.25">
      <c r="B97" s="98" t="s">
        <v>320</v>
      </c>
      <c r="C97" s="98" t="s">
        <v>321</v>
      </c>
      <c r="D97" s="101">
        <v>439400</v>
      </c>
      <c r="E97" s="99"/>
      <c r="F97" s="99">
        <f>F96+D97-E97</f>
        <v>439400</v>
      </c>
    </row>
    <row r="98" spans="2:12" ht="15.75" x14ac:dyDescent="0.25">
      <c r="B98" s="98" t="s">
        <v>320</v>
      </c>
      <c r="C98" s="98" t="s">
        <v>322</v>
      </c>
      <c r="D98" s="99"/>
      <c r="E98" s="99">
        <v>312802</v>
      </c>
      <c r="F98" s="99">
        <f t="shared" ref="F98:F103" si="8">F97+D98-E98</f>
        <v>126598</v>
      </c>
      <c r="H98" s="104">
        <v>5010116012</v>
      </c>
      <c r="I98" s="98" t="s">
        <v>371</v>
      </c>
      <c r="J98" s="105">
        <f>16141+5880</f>
        <v>22021</v>
      </c>
      <c r="K98" s="99"/>
    </row>
    <row r="99" spans="2:12" x14ac:dyDescent="0.25">
      <c r="B99" s="98" t="s">
        <v>325</v>
      </c>
      <c r="C99" s="98" t="s">
        <v>366</v>
      </c>
      <c r="D99" s="99"/>
      <c r="E99" s="108">
        <f>F98*15%</f>
        <v>18989.7</v>
      </c>
      <c r="F99" s="99">
        <f t="shared" si="8"/>
        <v>107608.3</v>
      </c>
      <c r="G99" s="108">
        <v>18990</v>
      </c>
      <c r="I99" s="98" t="s">
        <v>372</v>
      </c>
      <c r="J99" s="99">
        <v>0</v>
      </c>
      <c r="K99" s="105">
        <f>16141+5880</f>
        <v>22021</v>
      </c>
    </row>
    <row r="100" spans="2:12" x14ac:dyDescent="0.25">
      <c r="B100" s="98" t="s">
        <v>328</v>
      </c>
      <c r="C100" s="98" t="s">
        <v>361</v>
      </c>
      <c r="D100" s="99"/>
      <c r="E100" s="110">
        <v>16141</v>
      </c>
      <c r="F100" s="99">
        <f t="shared" si="8"/>
        <v>91467.3</v>
      </c>
    </row>
    <row r="101" spans="2:12" x14ac:dyDescent="0.25">
      <c r="B101" s="98" t="s">
        <v>373</v>
      </c>
      <c r="C101" s="79" t="s">
        <v>374</v>
      </c>
      <c r="D101" s="99">
        <v>235204</v>
      </c>
      <c r="E101" s="99"/>
      <c r="F101" s="99">
        <f t="shared" si="8"/>
        <v>326671.3</v>
      </c>
    </row>
    <row r="102" spans="2:12" x14ac:dyDescent="0.25">
      <c r="B102" s="98" t="s">
        <v>328</v>
      </c>
      <c r="C102" s="98" t="s">
        <v>375</v>
      </c>
      <c r="D102" s="99">
        <v>0</v>
      </c>
      <c r="E102" s="110">
        <v>5880</v>
      </c>
      <c r="F102" s="99">
        <f t="shared" si="8"/>
        <v>320791.3</v>
      </c>
      <c r="I102" s="111"/>
    </row>
    <row r="103" spans="2:12" x14ac:dyDescent="0.25">
      <c r="B103" s="98"/>
      <c r="C103" s="98" t="s">
        <v>256</v>
      </c>
      <c r="D103" s="114"/>
      <c r="E103" s="99"/>
      <c r="F103" s="99">
        <f t="shared" si="8"/>
        <v>320791.3</v>
      </c>
      <c r="L103" s="102">
        <f>F103</f>
        <v>320791.3</v>
      </c>
    </row>
    <row r="104" spans="2:12" x14ac:dyDescent="0.25">
      <c r="B104" s="98"/>
      <c r="C104" s="98"/>
      <c r="D104" s="99"/>
      <c r="E104" s="99"/>
      <c r="F104" s="99"/>
    </row>
    <row r="106" spans="2:12" ht="15.75" x14ac:dyDescent="0.25">
      <c r="C106" s="96" t="s">
        <v>376</v>
      </c>
      <c r="D106" s="107"/>
    </row>
    <row r="107" spans="2:12" x14ac:dyDescent="0.25">
      <c r="B107" s="97" t="s">
        <v>315</v>
      </c>
      <c r="C107" s="97" t="s">
        <v>316</v>
      </c>
      <c r="D107" s="97" t="s">
        <v>317</v>
      </c>
      <c r="E107" s="97" t="s">
        <v>318</v>
      </c>
      <c r="F107" s="97" t="s">
        <v>319</v>
      </c>
    </row>
    <row r="108" spans="2:12" x14ac:dyDescent="0.25">
      <c r="B108" s="98" t="s">
        <v>320</v>
      </c>
      <c r="C108" s="98" t="s">
        <v>321</v>
      </c>
      <c r="D108" s="99"/>
      <c r="E108" s="99"/>
      <c r="F108" s="100">
        <v>0</v>
      </c>
    </row>
    <row r="109" spans="2:12" x14ac:dyDescent="0.25">
      <c r="B109" s="98" t="s">
        <v>320</v>
      </c>
      <c r="C109" s="98" t="s">
        <v>321</v>
      </c>
      <c r="D109" s="101">
        <v>629181</v>
      </c>
      <c r="E109" s="99"/>
      <c r="F109" s="99">
        <f>F108+D109-E109</f>
        <v>629181</v>
      </c>
    </row>
    <row r="110" spans="2:12" ht="15.75" x14ac:dyDescent="0.25">
      <c r="B110" s="98" t="s">
        <v>320</v>
      </c>
      <c r="C110" s="98" t="s">
        <v>322</v>
      </c>
      <c r="D110" s="99"/>
      <c r="E110" s="99">
        <v>376713</v>
      </c>
      <c r="F110" s="99">
        <f t="shared" ref="F110:F115" si="9">F109+D110-E110</f>
        <v>252468</v>
      </c>
      <c r="H110" s="104">
        <v>5010116012</v>
      </c>
      <c r="I110" s="98" t="s">
        <v>377</v>
      </c>
      <c r="J110" s="105">
        <f>32190+8382</f>
        <v>40572</v>
      </c>
      <c r="K110" s="99"/>
    </row>
    <row r="111" spans="2:12" x14ac:dyDescent="0.25">
      <c r="B111" s="98" t="s">
        <v>325</v>
      </c>
      <c r="C111" s="98" t="s">
        <v>366</v>
      </c>
      <c r="D111" s="99"/>
      <c r="E111" s="108">
        <f>F110*15%</f>
        <v>37870.199999999997</v>
      </c>
      <c r="F111" s="99">
        <f t="shared" si="9"/>
        <v>214597.8</v>
      </c>
      <c r="G111" s="108">
        <v>37870</v>
      </c>
      <c r="I111" s="98" t="s">
        <v>378</v>
      </c>
      <c r="J111" s="99">
        <v>0</v>
      </c>
      <c r="K111" s="105">
        <f>32190+8382</f>
        <v>40572</v>
      </c>
    </row>
    <row r="112" spans="2:12" x14ac:dyDescent="0.25">
      <c r="B112" s="98" t="s">
        <v>328</v>
      </c>
      <c r="C112" s="98" t="s">
        <v>361</v>
      </c>
      <c r="D112" s="99"/>
      <c r="E112" s="110">
        <v>32190</v>
      </c>
      <c r="F112" s="99">
        <f t="shared" si="9"/>
        <v>182407.8</v>
      </c>
    </row>
    <row r="113" spans="2:12" x14ac:dyDescent="0.25">
      <c r="B113" s="98" t="s">
        <v>379</v>
      </c>
      <c r="C113" s="113" t="s">
        <v>380</v>
      </c>
      <c r="D113" s="99">
        <v>79798</v>
      </c>
      <c r="E113" s="114"/>
      <c r="F113" s="99">
        <f t="shared" si="9"/>
        <v>262205.8</v>
      </c>
      <c r="I113" s="111"/>
    </row>
    <row r="114" spans="2:12" x14ac:dyDescent="0.25">
      <c r="B114" s="98" t="s">
        <v>381</v>
      </c>
      <c r="C114" s="79" t="s">
        <v>382</v>
      </c>
      <c r="D114" s="99">
        <v>16000</v>
      </c>
      <c r="E114" s="114"/>
      <c r="F114" s="99">
        <f t="shared" si="9"/>
        <v>278205.8</v>
      </c>
    </row>
    <row r="115" spans="2:12" x14ac:dyDescent="0.25">
      <c r="B115" s="98" t="s">
        <v>328</v>
      </c>
      <c r="C115" s="98" t="s">
        <v>383</v>
      </c>
      <c r="D115" s="99"/>
      <c r="E115" s="110">
        <v>8382</v>
      </c>
      <c r="F115" s="99">
        <f t="shared" si="9"/>
        <v>269823.8</v>
      </c>
      <c r="L115" s="102">
        <f>F115</f>
        <v>269823.8</v>
      </c>
    </row>
    <row r="116" spans="2:12" x14ac:dyDescent="0.25">
      <c r="B116" s="98"/>
      <c r="C116" s="98"/>
      <c r="D116" s="99"/>
      <c r="E116" s="99"/>
      <c r="F116" s="99"/>
    </row>
    <row r="118" spans="2:12" ht="15.75" x14ac:dyDescent="0.25">
      <c r="C118" s="96" t="s">
        <v>384</v>
      </c>
      <c r="D118" s="107"/>
    </row>
    <row r="119" spans="2:12" x14ac:dyDescent="0.25">
      <c r="B119" s="97" t="s">
        <v>315</v>
      </c>
      <c r="C119" s="97" t="s">
        <v>316</v>
      </c>
      <c r="D119" s="97" t="s">
        <v>317</v>
      </c>
      <c r="E119" s="97" t="s">
        <v>318</v>
      </c>
      <c r="F119" s="97" t="s">
        <v>319</v>
      </c>
    </row>
    <row r="120" spans="2:12" x14ac:dyDescent="0.25">
      <c r="B120" s="98" t="s">
        <v>320</v>
      </c>
      <c r="C120" s="98" t="s">
        <v>321</v>
      </c>
      <c r="D120" s="99"/>
      <c r="E120" s="99"/>
      <c r="F120" s="100">
        <v>0</v>
      </c>
    </row>
    <row r="121" spans="2:12" x14ac:dyDescent="0.25">
      <c r="B121" s="98" t="s">
        <v>320</v>
      </c>
      <c r="C121" s="98" t="s">
        <v>321</v>
      </c>
      <c r="D121" s="101">
        <v>54180</v>
      </c>
      <c r="E121" s="99"/>
      <c r="F121" s="99">
        <f>F120+D121-E121</f>
        <v>54180</v>
      </c>
    </row>
    <row r="122" spans="2:12" ht="15.75" x14ac:dyDescent="0.25">
      <c r="B122" s="98" t="s">
        <v>320</v>
      </c>
      <c r="C122" s="98" t="s">
        <v>322</v>
      </c>
      <c r="D122" s="99"/>
      <c r="E122" s="99">
        <v>34346</v>
      </c>
      <c r="F122" s="99">
        <f t="shared" ref="F122:F124" si="10">F121+D122-E122</f>
        <v>19834</v>
      </c>
      <c r="H122" s="104">
        <v>5010116012</v>
      </c>
      <c r="I122" s="98" t="s">
        <v>385</v>
      </c>
      <c r="J122" s="105">
        <v>2529</v>
      </c>
      <c r="K122" s="99"/>
    </row>
    <row r="123" spans="2:12" x14ac:dyDescent="0.25">
      <c r="B123" s="98" t="s">
        <v>325</v>
      </c>
      <c r="C123" s="98" t="s">
        <v>386</v>
      </c>
      <c r="D123" s="99"/>
      <c r="E123" s="108">
        <f>F122*15%</f>
        <v>2975.1</v>
      </c>
      <c r="F123" s="99">
        <f t="shared" si="10"/>
        <v>16858.900000000001</v>
      </c>
      <c r="G123" s="108">
        <v>2975</v>
      </c>
      <c r="I123" s="98" t="s">
        <v>387</v>
      </c>
      <c r="J123" s="99">
        <v>0</v>
      </c>
      <c r="K123" s="105">
        <v>2529</v>
      </c>
    </row>
    <row r="124" spans="2:12" x14ac:dyDescent="0.25">
      <c r="B124" s="98" t="s">
        <v>328</v>
      </c>
      <c r="C124" s="98" t="s">
        <v>388</v>
      </c>
      <c r="D124" s="99"/>
      <c r="E124" s="110">
        <v>2529</v>
      </c>
      <c r="F124" s="99">
        <f t="shared" si="10"/>
        <v>14329.900000000001</v>
      </c>
      <c r="L124" s="102">
        <f>F124</f>
        <v>14329.900000000001</v>
      </c>
    </row>
    <row r="125" spans="2:12" x14ac:dyDescent="0.25">
      <c r="B125" s="98"/>
      <c r="C125" s="98"/>
      <c r="D125" s="99"/>
      <c r="E125" s="114"/>
      <c r="F125" s="99"/>
    </row>
    <row r="126" spans="2:12" x14ac:dyDescent="0.25">
      <c r="B126" s="98"/>
      <c r="C126" s="98"/>
      <c r="D126" s="99"/>
      <c r="E126" s="99"/>
      <c r="F126" s="99"/>
    </row>
    <row r="128" spans="2:12" ht="15.75" x14ac:dyDescent="0.25">
      <c r="C128" s="96" t="s">
        <v>389</v>
      </c>
      <c r="D128" s="107"/>
    </row>
    <row r="129" spans="2:12" x14ac:dyDescent="0.25">
      <c r="B129" s="97" t="s">
        <v>315</v>
      </c>
      <c r="C129" s="97" t="s">
        <v>316</v>
      </c>
      <c r="D129" s="97" t="s">
        <v>317</v>
      </c>
      <c r="E129" s="97" t="s">
        <v>318</v>
      </c>
      <c r="F129" s="97" t="s">
        <v>319</v>
      </c>
    </row>
    <row r="130" spans="2:12" x14ac:dyDescent="0.25">
      <c r="B130" s="98" t="s">
        <v>320</v>
      </c>
      <c r="C130" s="98" t="s">
        <v>321</v>
      </c>
      <c r="D130" s="99"/>
      <c r="E130" s="99"/>
      <c r="F130" s="100">
        <v>0</v>
      </c>
    </row>
    <row r="131" spans="2:12" x14ac:dyDescent="0.25">
      <c r="B131" s="98" t="s">
        <v>320</v>
      </c>
      <c r="C131" s="98" t="s">
        <v>321</v>
      </c>
      <c r="D131" s="101">
        <v>2100</v>
      </c>
      <c r="E131" s="99"/>
      <c r="F131" s="99">
        <f>F130+D131-E131</f>
        <v>2100</v>
      </c>
    </row>
    <row r="132" spans="2:12" ht="15.75" x14ac:dyDescent="0.25">
      <c r="B132" s="98" t="s">
        <v>320</v>
      </c>
      <c r="C132" s="98" t="s">
        <v>322</v>
      </c>
      <c r="D132" s="99"/>
      <c r="E132" s="99">
        <v>1377</v>
      </c>
      <c r="F132" s="99">
        <f t="shared" ref="F132:F134" si="11">F131+D132-E132</f>
        <v>723</v>
      </c>
      <c r="H132" s="104">
        <v>5010116012</v>
      </c>
      <c r="I132" s="98" t="s">
        <v>390</v>
      </c>
      <c r="J132" s="105">
        <v>92</v>
      </c>
      <c r="K132" s="99"/>
    </row>
    <row r="133" spans="2:12" x14ac:dyDescent="0.25">
      <c r="B133" s="98" t="s">
        <v>325</v>
      </c>
      <c r="C133" s="98" t="s">
        <v>366</v>
      </c>
      <c r="D133" s="99"/>
      <c r="E133" s="115">
        <f>F132*15%</f>
        <v>108.45</v>
      </c>
      <c r="F133" s="99">
        <f t="shared" si="11"/>
        <v>614.54999999999995</v>
      </c>
      <c r="G133" s="115">
        <v>108</v>
      </c>
      <c r="I133" s="98" t="s">
        <v>387</v>
      </c>
      <c r="J133" s="99">
        <v>0</v>
      </c>
      <c r="K133" s="105">
        <v>92</v>
      </c>
    </row>
    <row r="134" spans="2:12" x14ac:dyDescent="0.25">
      <c r="B134" s="98" t="s">
        <v>328</v>
      </c>
      <c r="C134" s="98" t="s">
        <v>388</v>
      </c>
      <c r="D134" s="99"/>
      <c r="E134" s="110">
        <v>92</v>
      </c>
      <c r="F134" s="99">
        <f t="shared" si="11"/>
        <v>522.54999999999995</v>
      </c>
    </row>
    <row r="135" spans="2:12" x14ac:dyDescent="0.25">
      <c r="B135" s="98"/>
      <c r="C135" s="98"/>
      <c r="D135" s="99"/>
      <c r="E135" s="114"/>
      <c r="F135" s="99"/>
      <c r="I135" s="110">
        <f>27082+101691+11111+1875+28364+17939+17417+3765+16141+5880+32190+8382+2529+92</f>
        <v>274458</v>
      </c>
      <c r="L135" s="102">
        <f>F134</f>
        <v>522.54999999999995</v>
      </c>
    </row>
    <row r="136" spans="2:12" x14ac:dyDescent="0.25">
      <c r="B136" s="98"/>
      <c r="C136" s="98"/>
      <c r="D136" s="99"/>
      <c r="E136" s="99"/>
      <c r="F136" s="99"/>
    </row>
    <row r="138" spans="2:12" ht="15.75" x14ac:dyDescent="0.25">
      <c r="C138" s="96" t="s">
        <v>391</v>
      </c>
      <c r="D138" s="107"/>
    </row>
    <row r="139" spans="2:12" x14ac:dyDescent="0.25">
      <c r="B139" s="97" t="s">
        <v>315</v>
      </c>
      <c r="C139" s="97" t="s">
        <v>316</v>
      </c>
      <c r="D139" s="97" t="s">
        <v>317</v>
      </c>
      <c r="E139" s="97" t="s">
        <v>318</v>
      </c>
      <c r="F139" s="97" t="s">
        <v>319</v>
      </c>
    </row>
    <row r="140" spans="2:12" x14ac:dyDescent="0.25">
      <c r="B140" s="98" t="s">
        <v>320</v>
      </c>
      <c r="C140" s="98" t="s">
        <v>321</v>
      </c>
      <c r="D140" s="99"/>
      <c r="E140" s="99"/>
      <c r="F140" s="100">
        <v>0</v>
      </c>
    </row>
    <row r="141" spans="2:12" x14ac:dyDescent="0.25">
      <c r="B141" s="98" t="s">
        <v>320</v>
      </c>
      <c r="C141" s="98" t="s">
        <v>321</v>
      </c>
      <c r="D141" s="101">
        <v>50500</v>
      </c>
      <c r="E141" s="99"/>
      <c r="F141" s="99">
        <f>F140+D141-E141</f>
        <v>50500</v>
      </c>
    </row>
    <row r="142" spans="2:12" ht="15.75" x14ac:dyDescent="0.25">
      <c r="B142" s="98" t="s">
        <v>320</v>
      </c>
      <c r="C142" s="98" t="s">
        <v>322</v>
      </c>
      <c r="D142" s="99"/>
      <c r="E142" s="99">
        <v>31065</v>
      </c>
      <c r="F142" s="99">
        <f t="shared" ref="F142:F144" si="12">F141+D142-E142</f>
        <v>19435</v>
      </c>
      <c r="H142" s="104">
        <v>5010116009</v>
      </c>
      <c r="I142" s="98" t="s">
        <v>392</v>
      </c>
      <c r="J142" s="106">
        <v>2478</v>
      </c>
      <c r="K142" s="99"/>
    </row>
    <row r="143" spans="2:12" x14ac:dyDescent="0.25">
      <c r="B143" s="98" t="s">
        <v>325</v>
      </c>
      <c r="C143" s="98" t="s">
        <v>386</v>
      </c>
      <c r="D143" s="99"/>
      <c r="E143" s="99">
        <f>F142*15%</f>
        <v>2915.25</v>
      </c>
      <c r="F143" s="99">
        <f t="shared" si="12"/>
        <v>16519.75</v>
      </c>
      <c r="I143" s="98" t="s">
        <v>393</v>
      </c>
      <c r="J143" s="99">
        <v>0</v>
      </c>
      <c r="K143" s="106">
        <v>2478</v>
      </c>
    </row>
    <row r="144" spans="2:12" x14ac:dyDescent="0.25">
      <c r="B144" s="98" t="s">
        <v>328</v>
      </c>
      <c r="C144" s="98" t="s">
        <v>361</v>
      </c>
      <c r="D144" s="99"/>
      <c r="E144" s="99">
        <v>2478</v>
      </c>
      <c r="F144" s="99">
        <f t="shared" si="12"/>
        <v>14041.75</v>
      </c>
      <c r="L144" s="102">
        <f>F144</f>
        <v>14041.75</v>
      </c>
    </row>
    <row r="145" spans="2:12" x14ac:dyDescent="0.25">
      <c r="B145" s="98"/>
      <c r="C145" s="98"/>
      <c r="D145" s="99"/>
      <c r="E145" s="99"/>
      <c r="F145" s="99"/>
    </row>
    <row r="146" spans="2:12" x14ac:dyDescent="0.25">
      <c r="B146" s="98"/>
      <c r="C146" s="98"/>
      <c r="D146" s="99"/>
      <c r="E146" s="99"/>
      <c r="F146" s="99"/>
    </row>
    <row r="149" spans="2:12" ht="15.75" x14ac:dyDescent="0.25">
      <c r="C149" s="96" t="s">
        <v>394</v>
      </c>
      <c r="D149" s="107"/>
    </row>
    <row r="150" spans="2:12" x14ac:dyDescent="0.25">
      <c r="B150" s="97" t="s">
        <v>315</v>
      </c>
      <c r="C150" s="97" t="s">
        <v>316</v>
      </c>
      <c r="D150" s="97" t="s">
        <v>317</v>
      </c>
      <c r="E150" s="97" t="s">
        <v>318</v>
      </c>
      <c r="F150" s="97" t="s">
        <v>319</v>
      </c>
    </row>
    <row r="151" spans="2:12" x14ac:dyDescent="0.25">
      <c r="B151" s="98" t="s">
        <v>320</v>
      </c>
      <c r="C151" s="98" t="s">
        <v>321</v>
      </c>
      <c r="D151" s="99"/>
      <c r="E151" s="99"/>
      <c r="F151" s="100">
        <v>0</v>
      </c>
    </row>
    <row r="152" spans="2:12" x14ac:dyDescent="0.25">
      <c r="B152" s="98" t="s">
        <v>320</v>
      </c>
      <c r="C152" s="98" t="s">
        <v>321</v>
      </c>
      <c r="D152" s="101">
        <v>19420360</v>
      </c>
      <c r="E152" s="99"/>
      <c r="F152" s="99">
        <f>F151+D152-E152</f>
        <v>19420360</v>
      </c>
    </row>
    <row r="153" spans="2:12" ht="15.75" x14ac:dyDescent="0.25">
      <c r="B153" s="98" t="s">
        <v>320</v>
      </c>
      <c r="C153" s="98" t="s">
        <v>322</v>
      </c>
      <c r="D153" s="99"/>
      <c r="E153" s="99">
        <v>14869206</v>
      </c>
      <c r="F153" s="99">
        <f t="shared" ref="F153:F159" si="13">F152+D153-E153</f>
        <v>4551154</v>
      </c>
      <c r="H153" s="104">
        <v>5010116006</v>
      </c>
      <c r="I153" s="98" t="s">
        <v>395</v>
      </c>
      <c r="J153" s="105">
        <f>161667+728185+3660</f>
        <v>893512</v>
      </c>
      <c r="K153" s="99"/>
    </row>
    <row r="154" spans="2:12" x14ac:dyDescent="0.25">
      <c r="B154" s="98" t="s">
        <v>325</v>
      </c>
      <c r="C154" s="98" t="s">
        <v>366</v>
      </c>
      <c r="D154" s="99"/>
      <c r="E154" s="99">
        <f>F153*20%</f>
        <v>910230.8</v>
      </c>
      <c r="F154" s="99">
        <f t="shared" si="13"/>
        <v>3640923.2</v>
      </c>
      <c r="I154" s="98" t="s">
        <v>396</v>
      </c>
      <c r="J154" s="99">
        <v>0</v>
      </c>
      <c r="K154" s="105">
        <f>161667+728185+3660</f>
        <v>893512</v>
      </c>
    </row>
    <row r="155" spans="2:12" x14ac:dyDescent="0.25">
      <c r="B155" s="98" t="s">
        <v>397</v>
      </c>
      <c r="C155" s="98" t="s">
        <v>398</v>
      </c>
      <c r="D155" s="99">
        <v>1940000</v>
      </c>
      <c r="E155" s="99"/>
      <c r="F155" s="99">
        <f t="shared" si="13"/>
        <v>5580923.2000000002</v>
      </c>
    </row>
    <row r="156" spans="2:12" x14ac:dyDescent="0.25">
      <c r="B156" s="98" t="s">
        <v>399</v>
      </c>
      <c r="C156" s="98" t="s">
        <v>400</v>
      </c>
      <c r="D156" s="99">
        <v>73200</v>
      </c>
      <c r="E156" s="99"/>
      <c r="F156" s="99">
        <f t="shared" si="13"/>
        <v>5654123.2000000002</v>
      </c>
    </row>
    <row r="157" spans="2:12" x14ac:dyDescent="0.25">
      <c r="B157" s="98" t="s">
        <v>328</v>
      </c>
      <c r="C157" s="98" t="s">
        <v>401</v>
      </c>
      <c r="D157" s="99"/>
      <c r="E157" s="99">
        <v>161667</v>
      </c>
      <c r="F157" s="99">
        <f t="shared" si="13"/>
        <v>5492456.2000000002</v>
      </c>
    </row>
    <row r="158" spans="2:12" x14ac:dyDescent="0.25">
      <c r="B158" s="98" t="s">
        <v>328</v>
      </c>
      <c r="C158" s="98" t="s">
        <v>388</v>
      </c>
      <c r="D158" s="99"/>
      <c r="E158" s="99">
        <v>728185</v>
      </c>
      <c r="F158" s="99">
        <f t="shared" si="13"/>
        <v>4764271.2</v>
      </c>
    </row>
    <row r="159" spans="2:12" x14ac:dyDescent="0.25">
      <c r="B159" s="98" t="s">
        <v>328</v>
      </c>
      <c r="C159" s="98" t="s">
        <v>402</v>
      </c>
      <c r="D159" s="99"/>
      <c r="E159" s="99">
        <v>3660</v>
      </c>
      <c r="F159" s="99">
        <f t="shared" si="13"/>
        <v>4760611.2</v>
      </c>
      <c r="L159" s="102">
        <f>F159</f>
        <v>4760611.2</v>
      </c>
    </row>
    <row r="162" spans="2:12" ht="15.75" x14ac:dyDescent="0.25">
      <c r="C162" s="96" t="s">
        <v>403</v>
      </c>
      <c r="D162" s="107"/>
    </row>
    <row r="163" spans="2:12" x14ac:dyDescent="0.25">
      <c r="B163" s="97" t="s">
        <v>315</v>
      </c>
      <c r="C163" s="97" t="s">
        <v>316</v>
      </c>
      <c r="D163" s="97" t="s">
        <v>317</v>
      </c>
      <c r="E163" s="97" t="s">
        <v>318</v>
      </c>
      <c r="F163" s="97" t="s">
        <v>319</v>
      </c>
    </row>
    <row r="164" spans="2:12" x14ac:dyDescent="0.25">
      <c r="B164" s="98" t="s">
        <v>320</v>
      </c>
      <c r="C164" s="98" t="s">
        <v>321</v>
      </c>
      <c r="D164" s="99"/>
      <c r="E164" s="99"/>
      <c r="F164" s="100">
        <v>0</v>
      </c>
    </row>
    <row r="165" spans="2:12" x14ac:dyDescent="0.25">
      <c r="B165" s="98" t="s">
        <v>320</v>
      </c>
      <c r="C165" s="98" t="s">
        <v>321</v>
      </c>
      <c r="D165" s="101">
        <v>443146</v>
      </c>
      <c r="E165" s="99"/>
      <c r="F165" s="99">
        <f>F164+D165-E165</f>
        <v>443146</v>
      </c>
    </row>
    <row r="166" spans="2:12" ht="15.75" x14ac:dyDescent="0.25">
      <c r="B166" s="98" t="s">
        <v>320</v>
      </c>
      <c r="C166" s="98" t="s">
        <v>322</v>
      </c>
      <c r="D166" s="99"/>
      <c r="E166" s="99">
        <v>393432</v>
      </c>
      <c r="F166" s="99">
        <f t="shared" ref="F166:F168" si="14">F165+D166-E166</f>
        <v>49714</v>
      </c>
      <c r="H166" s="104">
        <v>5010116012</v>
      </c>
      <c r="I166" s="98" t="s">
        <v>404</v>
      </c>
      <c r="J166" s="105">
        <v>4474</v>
      </c>
      <c r="K166" s="99"/>
    </row>
    <row r="167" spans="2:12" x14ac:dyDescent="0.25">
      <c r="B167" s="98" t="s">
        <v>325</v>
      </c>
      <c r="C167" s="98" t="s">
        <v>366</v>
      </c>
      <c r="D167" s="99"/>
      <c r="E167" s="108">
        <f>F166*10%</f>
        <v>4971.4000000000005</v>
      </c>
      <c r="F167" s="99">
        <f t="shared" si="14"/>
        <v>44742.6</v>
      </c>
      <c r="G167" s="116">
        <v>4971</v>
      </c>
      <c r="I167" s="98" t="s">
        <v>405</v>
      </c>
      <c r="J167" s="99">
        <v>0</v>
      </c>
      <c r="K167" s="105">
        <v>4474</v>
      </c>
    </row>
    <row r="168" spans="2:12" x14ac:dyDescent="0.25">
      <c r="B168" s="98" t="s">
        <v>328</v>
      </c>
      <c r="C168" s="98" t="s">
        <v>361</v>
      </c>
      <c r="D168" s="99"/>
      <c r="E168" s="110">
        <f>F167*10%</f>
        <v>4474.26</v>
      </c>
      <c r="F168" s="99">
        <f t="shared" si="14"/>
        <v>40268.339999999997</v>
      </c>
    </row>
    <row r="169" spans="2:12" x14ac:dyDescent="0.25">
      <c r="B169" s="98"/>
      <c r="C169" s="98"/>
      <c r="D169" s="99"/>
      <c r="E169" s="114"/>
      <c r="F169" s="99"/>
      <c r="I169" s="108">
        <f>31862+119637+19352+18990+37870+2975+108+4971+12798+21627</f>
        <v>270190</v>
      </c>
      <c r="L169" s="102">
        <f>F168</f>
        <v>40268.339999999997</v>
      </c>
    </row>
    <row r="170" spans="2:12" x14ac:dyDescent="0.25">
      <c r="B170" s="98"/>
      <c r="C170" s="98"/>
      <c r="D170" s="99"/>
      <c r="E170" s="99"/>
      <c r="F170" s="99"/>
      <c r="I170" s="110">
        <f>27082+101691+11111+1875+100244+28364+17939+17417+3765+16141+5880+32190+8382+2529+92+4474</f>
        <v>379176</v>
      </c>
    </row>
    <row r="171" spans="2:12" x14ac:dyDescent="0.25">
      <c r="I171">
        <f>97341+2478+297837</f>
        <v>397656</v>
      </c>
    </row>
    <row r="172" spans="2:12" x14ac:dyDescent="0.25">
      <c r="I172" s="102">
        <f>SUM(I170:I171)</f>
        <v>776832</v>
      </c>
    </row>
    <row r="174" spans="2:12" x14ac:dyDescent="0.25">
      <c r="B174" s="97" t="s">
        <v>315</v>
      </c>
      <c r="C174" s="97" t="s">
        <v>316</v>
      </c>
      <c r="D174" s="97" t="s">
        <v>317</v>
      </c>
      <c r="E174" s="97" t="s">
        <v>318</v>
      </c>
      <c r="F174" s="97" t="s">
        <v>319</v>
      </c>
      <c r="H174">
        <f>14618405+253187+265767+54500+552354</f>
        <v>15744213</v>
      </c>
      <c r="L174" s="56">
        <f>SUM(L4:L173)</f>
        <v>14533630.390000004</v>
      </c>
    </row>
    <row r="175" spans="2:12" x14ac:dyDescent="0.25">
      <c r="B175" s="98" t="s">
        <v>320</v>
      </c>
      <c r="C175" s="98" t="s">
        <v>321</v>
      </c>
      <c r="D175" s="99"/>
      <c r="E175" s="99"/>
      <c r="F175" s="100">
        <v>0</v>
      </c>
    </row>
    <row r="176" spans="2:12" x14ac:dyDescent="0.25">
      <c r="B176" s="98" t="s">
        <v>320</v>
      </c>
      <c r="C176" s="98" t="s">
        <v>321</v>
      </c>
      <c r="D176" s="101"/>
      <c r="E176" s="99"/>
      <c r="F176" s="99">
        <f>F175+D176-E176</f>
        <v>0</v>
      </c>
    </row>
    <row r="177" spans="2:8" x14ac:dyDescent="0.25">
      <c r="B177" s="98" t="s">
        <v>320</v>
      </c>
      <c r="C177" s="98" t="s">
        <v>322</v>
      </c>
      <c r="D177" s="99"/>
      <c r="E177" s="99"/>
      <c r="F177" s="99">
        <f t="shared" ref="F177" si="15">F176+D177-E177</f>
        <v>0</v>
      </c>
    </row>
    <row r="178" spans="2:8" x14ac:dyDescent="0.25">
      <c r="B178" s="98"/>
      <c r="C178" s="103" t="s">
        <v>256</v>
      </c>
      <c r="D178" s="99"/>
      <c r="E178" s="99"/>
      <c r="F178" s="99"/>
    </row>
    <row r="179" spans="2:8" x14ac:dyDescent="0.25">
      <c r="B179" s="98"/>
      <c r="C179" s="103"/>
      <c r="D179" s="99"/>
      <c r="E179" s="99"/>
      <c r="F179" s="99"/>
    </row>
    <row r="180" spans="2:8" x14ac:dyDescent="0.25">
      <c r="B180" s="98"/>
      <c r="C180" s="98"/>
      <c r="D180" s="99"/>
      <c r="E180" s="99"/>
      <c r="F180" s="99"/>
    </row>
    <row r="182" spans="2:8" x14ac:dyDescent="0.25">
      <c r="H182" s="56">
        <v>446608</v>
      </c>
    </row>
    <row r="183" spans="2:8" x14ac:dyDescent="0.25">
      <c r="H183" s="56">
        <v>97341</v>
      </c>
    </row>
    <row r="184" spans="2:8" x14ac:dyDescent="0.25">
      <c r="H184" s="56">
        <v>27082</v>
      </c>
    </row>
    <row r="185" spans="2:8" x14ac:dyDescent="0.25">
      <c r="H185" s="56">
        <v>101691</v>
      </c>
    </row>
    <row r="186" spans="2:8" x14ac:dyDescent="0.25">
      <c r="H186" s="56">
        <v>11111</v>
      </c>
    </row>
    <row r="187" spans="2:8" x14ac:dyDescent="0.25">
      <c r="H187" s="56">
        <v>1875</v>
      </c>
    </row>
    <row r="188" spans="2:8" x14ac:dyDescent="0.25">
      <c r="H188" s="56">
        <v>100244</v>
      </c>
    </row>
    <row r="189" spans="2:8" x14ac:dyDescent="0.25">
      <c r="H189" s="56">
        <v>28364</v>
      </c>
    </row>
    <row r="190" spans="2:8" x14ac:dyDescent="0.25">
      <c r="H190" s="56">
        <v>17939</v>
      </c>
    </row>
    <row r="191" spans="2:8" x14ac:dyDescent="0.25">
      <c r="H191" s="56">
        <v>17417</v>
      </c>
    </row>
    <row r="192" spans="2:8" x14ac:dyDescent="0.25">
      <c r="H192" s="56">
        <v>3765</v>
      </c>
    </row>
    <row r="193" spans="8:8" x14ac:dyDescent="0.25">
      <c r="H193" s="56">
        <v>16141</v>
      </c>
    </row>
    <row r="194" spans="8:8" x14ac:dyDescent="0.25">
      <c r="H194" s="56">
        <v>5880</v>
      </c>
    </row>
    <row r="195" spans="8:8" x14ac:dyDescent="0.25">
      <c r="H195" s="56">
        <v>32190</v>
      </c>
    </row>
    <row r="196" spans="8:8" x14ac:dyDescent="0.25">
      <c r="H196" s="56">
        <v>8382</v>
      </c>
    </row>
    <row r="197" spans="8:8" x14ac:dyDescent="0.25">
      <c r="H197" s="56">
        <v>2529</v>
      </c>
    </row>
    <row r="198" spans="8:8" x14ac:dyDescent="0.25">
      <c r="H198" s="56">
        <v>92</v>
      </c>
    </row>
    <row r="199" spans="8:8" x14ac:dyDescent="0.25">
      <c r="H199" s="56">
        <v>2478</v>
      </c>
    </row>
    <row r="200" spans="8:8" x14ac:dyDescent="0.25">
      <c r="H200" s="56">
        <v>728185</v>
      </c>
    </row>
    <row r="201" spans="8:8" x14ac:dyDescent="0.25">
      <c r="H201" s="56">
        <v>3660</v>
      </c>
    </row>
    <row r="202" spans="8:8" x14ac:dyDescent="0.25">
      <c r="H202" s="56">
        <v>4474</v>
      </c>
    </row>
    <row r="203" spans="8:8" x14ac:dyDescent="0.25">
      <c r="H203" s="102">
        <f>SUM(H182:H202)</f>
        <v>1657448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opLeftCell="I36" workbookViewId="0">
      <selection activeCell="R80" sqref="R80"/>
    </sheetView>
  </sheetViews>
  <sheetFormatPr defaultColWidth="8.85546875" defaultRowHeight="12.75" x14ac:dyDescent="0.2"/>
  <cols>
    <col min="1" max="1" width="5.85546875" style="118" customWidth="1"/>
    <col min="2" max="2" width="41.28515625" style="118" customWidth="1"/>
    <col min="3" max="3" width="15.140625" style="118" customWidth="1"/>
    <col min="4" max="4" width="15.5703125" style="118" bestFit="1" customWidth="1"/>
    <col min="5" max="5" width="15.7109375" style="118" customWidth="1"/>
    <col min="6" max="6" width="14.5703125" style="118" bestFit="1" customWidth="1"/>
    <col min="7" max="7" width="15.5703125" style="118" bestFit="1" customWidth="1"/>
    <col min="8" max="8" width="15.42578125" style="118" customWidth="1"/>
    <col min="9" max="9" width="14.140625" style="118" customWidth="1"/>
    <col min="10" max="10" width="13.5703125" style="118" customWidth="1"/>
    <col min="11" max="11" width="13" style="118" customWidth="1"/>
    <col min="12" max="12" width="14.140625" style="118" customWidth="1"/>
    <col min="13" max="14" width="13.5703125" style="118" bestFit="1" customWidth="1"/>
    <col min="15" max="15" width="13.140625" style="118" bestFit="1" customWidth="1"/>
    <col min="16" max="16" width="17.140625" style="118" bestFit="1" customWidth="1"/>
    <col min="17" max="17" width="13.7109375" style="118" customWidth="1"/>
    <col min="18" max="18" width="13.140625" style="118" customWidth="1"/>
    <col min="19" max="19" width="17" style="118" bestFit="1" customWidth="1"/>
    <col min="20" max="20" width="14.42578125" style="118" customWidth="1"/>
    <col min="21" max="21" width="11.42578125" style="118" bestFit="1" customWidth="1"/>
    <col min="22" max="257" width="8.85546875" style="118"/>
    <col min="258" max="258" width="5.85546875" style="118" customWidth="1"/>
    <col min="259" max="259" width="41.28515625" style="118" customWidth="1"/>
    <col min="260" max="260" width="13.85546875" style="118" customWidth="1"/>
    <col min="261" max="261" width="14.140625" style="118" bestFit="1" customWidth="1"/>
    <col min="262" max="262" width="15.7109375" style="118" customWidth="1"/>
    <col min="263" max="263" width="14.42578125" style="118" bestFit="1" customWidth="1"/>
    <col min="264" max="264" width="15.42578125" style="118" bestFit="1" customWidth="1"/>
    <col min="265" max="265" width="14.140625" style="118" customWidth="1"/>
    <col min="266" max="266" width="13.5703125" style="118" customWidth="1"/>
    <col min="267" max="267" width="13" style="118" customWidth="1"/>
    <col min="268" max="268" width="14.140625" style="118" customWidth="1"/>
    <col min="269" max="270" width="13.42578125" style="118" bestFit="1" customWidth="1"/>
    <col min="271" max="271" width="13" style="118" bestFit="1" customWidth="1"/>
    <col min="272" max="272" width="17" style="118" bestFit="1" customWidth="1"/>
    <col min="273" max="273" width="0" style="118" hidden="1" customWidth="1"/>
    <col min="274" max="274" width="13.140625" style="118" customWidth="1"/>
    <col min="275" max="275" width="17" style="118" bestFit="1" customWidth="1"/>
    <col min="276" max="276" width="12.5703125" style="118" bestFit="1" customWidth="1"/>
    <col min="277" max="277" width="11.42578125" style="118" bestFit="1" customWidth="1"/>
    <col min="278" max="513" width="8.85546875" style="118"/>
    <col min="514" max="514" width="5.85546875" style="118" customWidth="1"/>
    <col min="515" max="515" width="41.28515625" style="118" customWidth="1"/>
    <col min="516" max="516" width="13.85546875" style="118" customWidth="1"/>
    <col min="517" max="517" width="14.140625" style="118" bestFit="1" customWidth="1"/>
    <col min="518" max="518" width="15.7109375" style="118" customWidth="1"/>
    <col min="519" max="519" width="14.42578125" style="118" bestFit="1" customWidth="1"/>
    <col min="520" max="520" width="15.42578125" style="118" bestFit="1" customWidth="1"/>
    <col min="521" max="521" width="14.140625" style="118" customWidth="1"/>
    <col min="522" max="522" width="13.5703125" style="118" customWidth="1"/>
    <col min="523" max="523" width="13" style="118" customWidth="1"/>
    <col min="524" max="524" width="14.140625" style="118" customWidth="1"/>
    <col min="525" max="526" width="13.42578125" style="118" bestFit="1" customWidth="1"/>
    <col min="527" max="527" width="13" style="118" bestFit="1" customWidth="1"/>
    <col min="528" max="528" width="17" style="118" bestFit="1" customWidth="1"/>
    <col min="529" max="529" width="0" style="118" hidden="1" customWidth="1"/>
    <col min="530" max="530" width="13.140625" style="118" customWidth="1"/>
    <col min="531" max="531" width="17" style="118" bestFit="1" customWidth="1"/>
    <col min="532" max="532" width="12.5703125" style="118" bestFit="1" customWidth="1"/>
    <col min="533" max="533" width="11.42578125" style="118" bestFit="1" customWidth="1"/>
    <col min="534" max="769" width="8.85546875" style="118"/>
    <col min="770" max="770" width="5.85546875" style="118" customWidth="1"/>
    <col min="771" max="771" width="41.28515625" style="118" customWidth="1"/>
    <col min="772" max="772" width="13.85546875" style="118" customWidth="1"/>
    <col min="773" max="773" width="14.140625" style="118" bestFit="1" customWidth="1"/>
    <col min="774" max="774" width="15.7109375" style="118" customWidth="1"/>
    <col min="775" max="775" width="14.42578125" style="118" bestFit="1" customWidth="1"/>
    <col min="776" max="776" width="15.42578125" style="118" bestFit="1" customWidth="1"/>
    <col min="777" max="777" width="14.140625" style="118" customWidth="1"/>
    <col min="778" max="778" width="13.5703125" style="118" customWidth="1"/>
    <col min="779" max="779" width="13" style="118" customWidth="1"/>
    <col min="780" max="780" width="14.140625" style="118" customWidth="1"/>
    <col min="781" max="782" width="13.42578125" style="118" bestFit="1" customWidth="1"/>
    <col min="783" max="783" width="13" style="118" bestFit="1" customWidth="1"/>
    <col min="784" max="784" width="17" style="118" bestFit="1" customWidth="1"/>
    <col min="785" max="785" width="0" style="118" hidden="1" customWidth="1"/>
    <col min="786" max="786" width="13.140625" style="118" customWidth="1"/>
    <col min="787" max="787" width="17" style="118" bestFit="1" customWidth="1"/>
    <col min="788" max="788" width="12.5703125" style="118" bestFit="1" customWidth="1"/>
    <col min="789" max="789" width="11.42578125" style="118" bestFit="1" customWidth="1"/>
    <col min="790" max="1025" width="8.85546875" style="118"/>
    <col min="1026" max="1026" width="5.85546875" style="118" customWidth="1"/>
    <col min="1027" max="1027" width="41.28515625" style="118" customWidth="1"/>
    <col min="1028" max="1028" width="13.85546875" style="118" customWidth="1"/>
    <col min="1029" max="1029" width="14.140625" style="118" bestFit="1" customWidth="1"/>
    <col min="1030" max="1030" width="15.7109375" style="118" customWidth="1"/>
    <col min="1031" max="1031" width="14.42578125" style="118" bestFit="1" customWidth="1"/>
    <col min="1032" max="1032" width="15.42578125" style="118" bestFit="1" customWidth="1"/>
    <col min="1033" max="1033" width="14.140625" style="118" customWidth="1"/>
    <col min="1034" max="1034" width="13.5703125" style="118" customWidth="1"/>
    <col min="1035" max="1035" width="13" style="118" customWidth="1"/>
    <col min="1036" max="1036" width="14.140625" style="118" customWidth="1"/>
    <col min="1037" max="1038" width="13.42578125" style="118" bestFit="1" customWidth="1"/>
    <col min="1039" max="1039" width="13" style="118" bestFit="1" customWidth="1"/>
    <col min="1040" max="1040" width="17" style="118" bestFit="1" customWidth="1"/>
    <col min="1041" max="1041" width="0" style="118" hidden="1" customWidth="1"/>
    <col min="1042" max="1042" width="13.140625" style="118" customWidth="1"/>
    <col min="1043" max="1043" width="17" style="118" bestFit="1" customWidth="1"/>
    <col min="1044" max="1044" width="12.5703125" style="118" bestFit="1" customWidth="1"/>
    <col min="1045" max="1045" width="11.42578125" style="118" bestFit="1" customWidth="1"/>
    <col min="1046" max="1281" width="8.85546875" style="118"/>
    <col min="1282" max="1282" width="5.85546875" style="118" customWidth="1"/>
    <col min="1283" max="1283" width="41.28515625" style="118" customWidth="1"/>
    <col min="1284" max="1284" width="13.85546875" style="118" customWidth="1"/>
    <col min="1285" max="1285" width="14.140625" style="118" bestFit="1" customWidth="1"/>
    <col min="1286" max="1286" width="15.7109375" style="118" customWidth="1"/>
    <col min="1287" max="1287" width="14.42578125" style="118" bestFit="1" customWidth="1"/>
    <col min="1288" max="1288" width="15.42578125" style="118" bestFit="1" customWidth="1"/>
    <col min="1289" max="1289" width="14.140625" style="118" customWidth="1"/>
    <col min="1290" max="1290" width="13.5703125" style="118" customWidth="1"/>
    <col min="1291" max="1291" width="13" style="118" customWidth="1"/>
    <col min="1292" max="1292" width="14.140625" style="118" customWidth="1"/>
    <col min="1293" max="1294" width="13.42578125" style="118" bestFit="1" customWidth="1"/>
    <col min="1295" max="1295" width="13" style="118" bestFit="1" customWidth="1"/>
    <col min="1296" max="1296" width="17" style="118" bestFit="1" customWidth="1"/>
    <col min="1297" max="1297" width="0" style="118" hidden="1" customWidth="1"/>
    <col min="1298" max="1298" width="13.140625" style="118" customWidth="1"/>
    <col min="1299" max="1299" width="17" style="118" bestFit="1" customWidth="1"/>
    <col min="1300" max="1300" width="12.5703125" style="118" bestFit="1" customWidth="1"/>
    <col min="1301" max="1301" width="11.42578125" style="118" bestFit="1" customWidth="1"/>
    <col min="1302" max="1537" width="8.85546875" style="118"/>
    <col min="1538" max="1538" width="5.85546875" style="118" customWidth="1"/>
    <col min="1539" max="1539" width="41.28515625" style="118" customWidth="1"/>
    <col min="1540" max="1540" width="13.85546875" style="118" customWidth="1"/>
    <col min="1541" max="1541" width="14.140625" style="118" bestFit="1" customWidth="1"/>
    <col min="1542" max="1542" width="15.7109375" style="118" customWidth="1"/>
    <col min="1543" max="1543" width="14.42578125" style="118" bestFit="1" customWidth="1"/>
    <col min="1544" max="1544" width="15.42578125" style="118" bestFit="1" customWidth="1"/>
    <col min="1545" max="1545" width="14.140625" style="118" customWidth="1"/>
    <col min="1546" max="1546" width="13.5703125" style="118" customWidth="1"/>
    <col min="1547" max="1547" width="13" style="118" customWidth="1"/>
    <col min="1548" max="1548" width="14.140625" style="118" customWidth="1"/>
    <col min="1549" max="1550" width="13.42578125" style="118" bestFit="1" customWidth="1"/>
    <col min="1551" max="1551" width="13" style="118" bestFit="1" customWidth="1"/>
    <col min="1552" max="1552" width="17" style="118" bestFit="1" customWidth="1"/>
    <col min="1553" max="1553" width="0" style="118" hidden="1" customWidth="1"/>
    <col min="1554" max="1554" width="13.140625" style="118" customWidth="1"/>
    <col min="1555" max="1555" width="17" style="118" bestFit="1" customWidth="1"/>
    <col min="1556" max="1556" width="12.5703125" style="118" bestFit="1" customWidth="1"/>
    <col min="1557" max="1557" width="11.42578125" style="118" bestFit="1" customWidth="1"/>
    <col min="1558" max="1793" width="8.85546875" style="118"/>
    <col min="1794" max="1794" width="5.85546875" style="118" customWidth="1"/>
    <col min="1795" max="1795" width="41.28515625" style="118" customWidth="1"/>
    <col min="1796" max="1796" width="13.85546875" style="118" customWidth="1"/>
    <col min="1797" max="1797" width="14.140625" style="118" bestFit="1" customWidth="1"/>
    <col min="1798" max="1798" width="15.7109375" style="118" customWidth="1"/>
    <col min="1799" max="1799" width="14.42578125" style="118" bestFit="1" customWidth="1"/>
    <col min="1800" max="1800" width="15.42578125" style="118" bestFit="1" customWidth="1"/>
    <col min="1801" max="1801" width="14.140625" style="118" customWidth="1"/>
    <col min="1802" max="1802" width="13.5703125" style="118" customWidth="1"/>
    <col min="1803" max="1803" width="13" style="118" customWidth="1"/>
    <col min="1804" max="1804" width="14.140625" style="118" customWidth="1"/>
    <col min="1805" max="1806" width="13.42578125" style="118" bestFit="1" customWidth="1"/>
    <col min="1807" max="1807" width="13" style="118" bestFit="1" customWidth="1"/>
    <col min="1808" max="1808" width="17" style="118" bestFit="1" customWidth="1"/>
    <col min="1809" max="1809" width="0" style="118" hidden="1" customWidth="1"/>
    <col min="1810" max="1810" width="13.140625" style="118" customWidth="1"/>
    <col min="1811" max="1811" width="17" style="118" bestFit="1" customWidth="1"/>
    <col min="1812" max="1812" width="12.5703125" style="118" bestFit="1" customWidth="1"/>
    <col min="1813" max="1813" width="11.42578125" style="118" bestFit="1" customWidth="1"/>
    <col min="1814" max="2049" width="8.85546875" style="118"/>
    <col min="2050" max="2050" width="5.85546875" style="118" customWidth="1"/>
    <col min="2051" max="2051" width="41.28515625" style="118" customWidth="1"/>
    <col min="2052" max="2052" width="13.85546875" style="118" customWidth="1"/>
    <col min="2053" max="2053" width="14.140625" style="118" bestFit="1" customWidth="1"/>
    <col min="2054" max="2054" width="15.7109375" style="118" customWidth="1"/>
    <col min="2055" max="2055" width="14.42578125" style="118" bestFit="1" customWidth="1"/>
    <col min="2056" max="2056" width="15.42578125" style="118" bestFit="1" customWidth="1"/>
    <col min="2057" max="2057" width="14.140625" style="118" customWidth="1"/>
    <col min="2058" max="2058" width="13.5703125" style="118" customWidth="1"/>
    <col min="2059" max="2059" width="13" style="118" customWidth="1"/>
    <col min="2060" max="2060" width="14.140625" style="118" customWidth="1"/>
    <col min="2061" max="2062" width="13.42578125" style="118" bestFit="1" customWidth="1"/>
    <col min="2063" max="2063" width="13" style="118" bestFit="1" customWidth="1"/>
    <col min="2064" max="2064" width="17" style="118" bestFit="1" customWidth="1"/>
    <col min="2065" max="2065" width="0" style="118" hidden="1" customWidth="1"/>
    <col min="2066" max="2066" width="13.140625" style="118" customWidth="1"/>
    <col min="2067" max="2067" width="17" style="118" bestFit="1" customWidth="1"/>
    <col min="2068" max="2068" width="12.5703125" style="118" bestFit="1" customWidth="1"/>
    <col min="2069" max="2069" width="11.42578125" style="118" bestFit="1" customWidth="1"/>
    <col min="2070" max="2305" width="8.85546875" style="118"/>
    <col min="2306" max="2306" width="5.85546875" style="118" customWidth="1"/>
    <col min="2307" max="2307" width="41.28515625" style="118" customWidth="1"/>
    <col min="2308" max="2308" width="13.85546875" style="118" customWidth="1"/>
    <col min="2309" max="2309" width="14.140625" style="118" bestFit="1" customWidth="1"/>
    <col min="2310" max="2310" width="15.7109375" style="118" customWidth="1"/>
    <col min="2311" max="2311" width="14.42578125" style="118" bestFit="1" customWidth="1"/>
    <col min="2312" max="2312" width="15.42578125" style="118" bestFit="1" customWidth="1"/>
    <col min="2313" max="2313" width="14.140625" style="118" customWidth="1"/>
    <col min="2314" max="2314" width="13.5703125" style="118" customWidth="1"/>
    <col min="2315" max="2315" width="13" style="118" customWidth="1"/>
    <col min="2316" max="2316" width="14.140625" style="118" customWidth="1"/>
    <col min="2317" max="2318" width="13.42578125" style="118" bestFit="1" customWidth="1"/>
    <col min="2319" max="2319" width="13" style="118" bestFit="1" customWidth="1"/>
    <col min="2320" max="2320" width="17" style="118" bestFit="1" customWidth="1"/>
    <col min="2321" max="2321" width="0" style="118" hidden="1" customWidth="1"/>
    <col min="2322" max="2322" width="13.140625" style="118" customWidth="1"/>
    <col min="2323" max="2323" width="17" style="118" bestFit="1" customWidth="1"/>
    <col min="2324" max="2324" width="12.5703125" style="118" bestFit="1" customWidth="1"/>
    <col min="2325" max="2325" width="11.42578125" style="118" bestFit="1" customWidth="1"/>
    <col min="2326" max="2561" width="8.85546875" style="118"/>
    <col min="2562" max="2562" width="5.85546875" style="118" customWidth="1"/>
    <col min="2563" max="2563" width="41.28515625" style="118" customWidth="1"/>
    <col min="2564" max="2564" width="13.85546875" style="118" customWidth="1"/>
    <col min="2565" max="2565" width="14.140625" style="118" bestFit="1" customWidth="1"/>
    <col min="2566" max="2566" width="15.7109375" style="118" customWidth="1"/>
    <col min="2567" max="2567" width="14.42578125" style="118" bestFit="1" customWidth="1"/>
    <col min="2568" max="2568" width="15.42578125" style="118" bestFit="1" customWidth="1"/>
    <col min="2569" max="2569" width="14.140625" style="118" customWidth="1"/>
    <col min="2570" max="2570" width="13.5703125" style="118" customWidth="1"/>
    <col min="2571" max="2571" width="13" style="118" customWidth="1"/>
    <col min="2572" max="2572" width="14.140625" style="118" customWidth="1"/>
    <col min="2573" max="2574" width="13.42578125" style="118" bestFit="1" customWidth="1"/>
    <col min="2575" max="2575" width="13" style="118" bestFit="1" customWidth="1"/>
    <col min="2576" max="2576" width="17" style="118" bestFit="1" customWidth="1"/>
    <col min="2577" max="2577" width="0" style="118" hidden="1" customWidth="1"/>
    <col min="2578" max="2578" width="13.140625" style="118" customWidth="1"/>
    <col min="2579" max="2579" width="17" style="118" bestFit="1" customWidth="1"/>
    <col min="2580" max="2580" width="12.5703125" style="118" bestFit="1" customWidth="1"/>
    <col min="2581" max="2581" width="11.42578125" style="118" bestFit="1" customWidth="1"/>
    <col min="2582" max="2817" width="8.85546875" style="118"/>
    <col min="2818" max="2818" width="5.85546875" style="118" customWidth="1"/>
    <col min="2819" max="2819" width="41.28515625" style="118" customWidth="1"/>
    <col min="2820" max="2820" width="13.85546875" style="118" customWidth="1"/>
    <col min="2821" max="2821" width="14.140625" style="118" bestFit="1" customWidth="1"/>
    <col min="2822" max="2822" width="15.7109375" style="118" customWidth="1"/>
    <col min="2823" max="2823" width="14.42578125" style="118" bestFit="1" customWidth="1"/>
    <col min="2824" max="2824" width="15.42578125" style="118" bestFit="1" customWidth="1"/>
    <col min="2825" max="2825" width="14.140625" style="118" customWidth="1"/>
    <col min="2826" max="2826" width="13.5703125" style="118" customWidth="1"/>
    <col min="2827" max="2827" width="13" style="118" customWidth="1"/>
    <col min="2828" max="2828" width="14.140625" style="118" customWidth="1"/>
    <col min="2829" max="2830" width="13.42578125" style="118" bestFit="1" customWidth="1"/>
    <col min="2831" max="2831" width="13" style="118" bestFit="1" customWidth="1"/>
    <col min="2832" max="2832" width="17" style="118" bestFit="1" customWidth="1"/>
    <col min="2833" max="2833" width="0" style="118" hidden="1" customWidth="1"/>
    <col min="2834" max="2834" width="13.140625" style="118" customWidth="1"/>
    <col min="2835" max="2835" width="17" style="118" bestFit="1" customWidth="1"/>
    <col min="2836" max="2836" width="12.5703125" style="118" bestFit="1" customWidth="1"/>
    <col min="2837" max="2837" width="11.42578125" style="118" bestFit="1" customWidth="1"/>
    <col min="2838" max="3073" width="8.85546875" style="118"/>
    <col min="3074" max="3074" width="5.85546875" style="118" customWidth="1"/>
    <col min="3075" max="3075" width="41.28515625" style="118" customWidth="1"/>
    <col min="3076" max="3076" width="13.85546875" style="118" customWidth="1"/>
    <col min="3077" max="3077" width="14.140625" style="118" bestFit="1" customWidth="1"/>
    <col min="3078" max="3078" width="15.7109375" style="118" customWidth="1"/>
    <col min="3079" max="3079" width="14.42578125" style="118" bestFit="1" customWidth="1"/>
    <col min="3080" max="3080" width="15.42578125" style="118" bestFit="1" customWidth="1"/>
    <col min="3081" max="3081" width="14.140625" style="118" customWidth="1"/>
    <col min="3082" max="3082" width="13.5703125" style="118" customWidth="1"/>
    <col min="3083" max="3083" width="13" style="118" customWidth="1"/>
    <col min="3084" max="3084" width="14.140625" style="118" customWidth="1"/>
    <col min="3085" max="3086" width="13.42578125" style="118" bestFit="1" customWidth="1"/>
    <col min="3087" max="3087" width="13" style="118" bestFit="1" customWidth="1"/>
    <col min="3088" max="3088" width="17" style="118" bestFit="1" customWidth="1"/>
    <col min="3089" max="3089" width="0" style="118" hidden="1" customWidth="1"/>
    <col min="3090" max="3090" width="13.140625" style="118" customWidth="1"/>
    <col min="3091" max="3091" width="17" style="118" bestFit="1" customWidth="1"/>
    <col min="3092" max="3092" width="12.5703125" style="118" bestFit="1" customWidth="1"/>
    <col min="3093" max="3093" width="11.42578125" style="118" bestFit="1" customWidth="1"/>
    <col min="3094" max="3329" width="8.85546875" style="118"/>
    <col min="3330" max="3330" width="5.85546875" style="118" customWidth="1"/>
    <col min="3331" max="3331" width="41.28515625" style="118" customWidth="1"/>
    <col min="3332" max="3332" width="13.85546875" style="118" customWidth="1"/>
    <col min="3333" max="3333" width="14.140625" style="118" bestFit="1" customWidth="1"/>
    <col min="3334" max="3334" width="15.7109375" style="118" customWidth="1"/>
    <col min="3335" max="3335" width="14.42578125" style="118" bestFit="1" customWidth="1"/>
    <col min="3336" max="3336" width="15.42578125" style="118" bestFit="1" customWidth="1"/>
    <col min="3337" max="3337" width="14.140625" style="118" customWidth="1"/>
    <col min="3338" max="3338" width="13.5703125" style="118" customWidth="1"/>
    <col min="3339" max="3339" width="13" style="118" customWidth="1"/>
    <col min="3340" max="3340" width="14.140625" style="118" customWidth="1"/>
    <col min="3341" max="3342" width="13.42578125" style="118" bestFit="1" customWidth="1"/>
    <col min="3343" max="3343" width="13" style="118" bestFit="1" customWidth="1"/>
    <col min="3344" max="3344" width="17" style="118" bestFit="1" customWidth="1"/>
    <col min="3345" max="3345" width="0" style="118" hidden="1" customWidth="1"/>
    <col min="3346" max="3346" width="13.140625" style="118" customWidth="1"/>
    <col min="3347" max="3347" width="17" style="118" bestFit="1" customWidth="1"/>
    <col min="3348" max="3348" width="12.5703125" style="118" bestFit="1" customWidth="1"/>
    <col min="3349" max="3349" width="11.42578125" style="118" bestFit="1" customWidth="1"/>
    <col min="3350" max="3585" width="8.85546875" style="118"/>
    <col min="3586" max="3586" width="5.85546875" style="118" customWidth="1"/>
    <col min="3587" max="3587" width="41.28515625" style="118" customWidth="1"/>
    <col min="3588" max="3588" width="13.85546875" style="118" customWidth="1"/>
    <col min="3589" max="3589" width="14.140625" style="118" bestFit="1" customWidth="1"/>
    <col min="3590" max="3590" width="15.7109375" style="118" customWidth="1"/>
    <col min="3591" max="3591" width="14.42578125" style="118" bestFit="1" customWidth="1"/>
    <col min="3592" max="3592" width="15.42578125" style="118" bestFit="1" customWidth="1"/>
    <col min="3593" max="3593" width="14.140625" style="118" customWidth="1"/>
    <col min="3594" max="3594" width="13.5703125" style="118" customWidth="1"/>
    <col min="3595" max="3595" width="13" style="118" customWidth="1"/>
    <col min="3596" max="3596" width="14.140625" style="118" customWidth="1"/>
    <col min="3597" max="3598" width="13.42578125" style="118" bestFit="1" customWidth="1"/>
    <col min="3599" max="3599" width="13" style="118" bestFit="1" customWidth="1"/>
    <col min="3600" max="3600" width="17" style="118" bestFit="1" customWidth="1"/>
    <col min="3601" max="3601" width="0" style="118" hidden="1" customWidth="1"/>
    <col min="3602" max="3602" width="13.140625" style="118" customWidth="1"/>
    <col min="3603" max="3603" width="17" style="118" bestFit="1" customWidth="1"/>
    <col min="3604" max="3604" width="12.5703125" style="118" bestFit="1" customWidth="1"/>
    <col min="3605" max="3605" width="11.42578125" style="118" bestFit="1" customWidth="1"/>
    <col min="3606" max="3841" width="8.85546875" style="118"/>
    <col min="3842" max="3842" width="5.85546875" style="118" customWidth="1"/>
    <col min="3843" max="3843" width="41.28515625" style="118" customWidth="1"/>
    <col min="3844" max="3844" width="13.85546875" style="118" customWidth="1"/>
    <col min="3845" max="3845" width="14.140625" style="118" bestFit="1" customWidth="1"/>
    <col min="3846" max="3846" width="15.7109375" style="118" customWidth="1"/>
    <col min="3847" max="3847" width="14.42578125" style="118" bestFit="1" customWidth="1"/>
    <col min="3848" max="3848" width="15.42578125" style="118" bestFit="1" customWidth="1"/>
    <col min="3849" max="3849" width="14.140625" style="118" customWidth="1"/>
    <col min="3850" max="3850" width="13.5703125" style="118" customWidth="1"/>
    <col min="3851" max="3851" width="13" style="118" customWidth="1"/>
    <col min="3852" max="3852" width="14.140625" style="118" customWidth="1"/>
    <col min="3853" max="3854" width="13.42578125" style="118" bestFit="1" customWidth="1"/>
    <col min="3855" max="3855" width="13" style="118" bestFit="1" customWidth="1"/>
    <col min="3856" max="3856" width="17" style="118" bestFit="1" customWidth="1"/>
    <col min="3857" max="3857" width="0" style="118" hidden="1" customWidth="1"/>
    <col min="3858" max="3858" width="13.140625" style="118" customWidth="1"/>
    <col min="3859" max="3859" width="17" style="118" bestFit="1" customWidth="1"/>
    <col min="3860" max="3860" width="12.5703125" style="118" bestFit="1" customWidth="1"/>
    <col min="3861" max="3861" width="11.42578125" style="118" bestFit="1" customWidth="1"/>
    <col min="3862" max="4097" width="8.85546875" style="118"/>
    <col min="4098" max="4098" width="5.85546875" style="118" customWidth="1"/>
    <col min="4099" max="4099" width="41.28515625" style="118" customWidth="1"/>
    <col min="4100" max="4100" width="13.85546875" style="118" customWidth="1"/>
    <col min="4101" max="4101" width="14.140625" style="118" bestFit="1" customWidth="1"/>
    <col min="4102" max="4102" width="15.7109375" style="118" customWidth="1"/>
    <col min="4103" max="4103" width="14.42578125" style="118" bestFit="1" customWidth="1"/>
    <col min="4104" max="4104" width="15.42578125" style="118" bestFit="1" customWidth="1"/>
    <col min="4105" max="4105" width="14.140625" style="118" customWidth="1"/>
    <col min="4106" max="4106" width="13.5703125" style="118" customWidth="1"/>
    <col min="4107" max="4107" width="13" style="118" customWidth="1"/>
    <col min="4108" max="4108" width="14.140625" style="118" customWidth="1"/>
    <col min="4109" max="4110" width="13.42578125" style="118" bestFit="1" customWidth="1"/>
    <col min="4111" max="4111" width="13" style="118" bestFit="1" customWidth="1"/>
    <col min="4112" max="4112" width="17" style="118" bestFit="1" customWidth="1"/>
    <col min="4113" max="4113" width="0" style="118" hidden="1" customWidth="1"/>
    <col min="4114" max="4114" width="13.140625" style="118" customWidth="1"/>
    <col min="4115" max="4115" width="17" style="118" bestFit="1" customWidth="1"/>
    <col min="4116" max="4116" width="12.5703125" style="118" bestFit="1" customWidth="1"/>
    <col min="4117" max="4117" width="11.42578125" style="118" bestFit="1" customWidth="1"/>
    <col min="4118" max="4353" width="8.85546875" style="118"/>
    <col min="4354" max="4354" width="5.85546875" style="118" customWidth="1"/>
    <col min="4355" max="4355" width="41.28515625" style="118" customWidth="1"/>
    <col min="4356" max="4356" width="13.85546875" style="118" customWidth="1"/>
    <col min="4357" max="4357" width="14.140625" style="118" bestFit="1" customWidth="1"/>
    <col min="4358" max="4358" width="15.7109375" style="118" customWidth="1"/>
    <col min="4359" max="4359" width="14.42578125" style="118" bestFit="1" customWidth="1"/>
    <col min="4360" max="4360" width="15.42578125" style="118" bestFit="1" customWidth="1"/>
    <col min="4361" max="4361" width="14.140625" style="118" customWidth="1"/>
    <col min="4362" max="4362" width="13.5703125" style="118" customWidth="1"/>
    <col min="4363" max="4363" width="13" style="118" customWidth="1"/>
    <col min="4364" max="4364" width="14.140625" style="118" customWidth="1"/>
    <col min="4365" max="4366" width="13.42578125" style="118" bestFit="1" customWidth="1"/>
    <col min="4367" max="4367" width="13" style="118" bestFit="1" customWidth="1"/>
    <col min="4368" max="4368" width="17" style="118" bestFit="1" customWidth="1"/>
    <col min="4369" max="4369" width="0" style="118" hidden="1" customWidth="1"/>
    <col min="4370" max="4370" width="13.140625" style="118" customWidth="1"/>
    <col min="4371" max="4371" width="17" style="118" bestFit="1" customWidth="1"/>
    <col min="4372" max="4372" width="12.5703125" style="118" bestFit="1" customWidth="1"/>
    <col min="4373" max="4373" width="11.42578125" style="118" bestFit="1" customWidth="1"/>
    <col min="4374" max="4609" width="8.85546875" style="118"/>
    <col min="4610" max="4610" width="5.85546875" style="118" customWidth="1"/>
    <col min="4611" max="4611" width="41.28515625" style="118" customWidth="1"/>
    <col min="4612" max="4612" width="13.85546875" style="118" customWidth="1"/>
    <col min="4613" max="4613" width="14.140625" style="118" bestFit="1" customWidth="1"/>
    <col min="4614" max="4614" width="15.7109375" style="118" customWidth="1"/>
    <col min="4615" max="4615" width="14.42578125" style="118" bestFit="1" customWidth="1"/>
    <col min="4616" max="4616" width="15.42578125" style="118" bestFit="1" customWidth="1"/>
    <col min="4617" max="4617" width="14.140625" style="118" customWidth="1"/>
    <col min="4618" max="4618" width="13.5703125" style="118" customWidth="1"/>
    <col min="4619" max="4619" width="13" style="118" customWidth="1"/>
    <col min="4620" max="4620" width="14.140625" style="118" customWidth="1"/>
    <col min="4621" max="4622" width="13.42578125" style="118" bestFit="1" customWidth="1"/>
    <col min="4623" max="4623" width="13" style="118" bestFit="1" customWidth="1"/>
    <col min="4624" max="4624" width="17" style="118" bestFit="1" customWidth="1"/>
    <col min="4625" max="4625" width="0" style="118" hidden="1" customWidth="1"/>
    <col min="4626" max="4626" width="13.140625" style="118" customWidth="1"/>
    <col min="4627" max="4627" width="17" style="118" bestFit="1" customWidth="1"/>
    <col min="4628" max="4628" width="12.5703125" style="118" bestFit="1" customWidth="1"/>
    <col min="4629" max="4629" width="11.42578125" style="118" bestFit="1" customWidth="1"/>
    <col min="4630" max="4865" width="8.85546875" style="118"/>
    <col min="4866" max="4866" width="5.85546875" style="118" customWidth="1"/>
    <col min="4867" max="4867" width="41.28515625" style="118" customWidth="1"/>
    <col min="4868" max="4868" width="13.85546875" style="118" customWidth="1"/>
    <col min="4869" max="4869" width="14.140625" style="118" bestFit="1" customWidth="1"/>
    <col min="4870" max="4870" width="15.7109375" style="118" customWidth="1"/>
    <col min="4871" max="4871" width="14.42578125" style="118" bestFit="1" customWidth="1"/>
    <col min="4872" max="4872" width="15.42578125" style="118" bestFit="1" customWidth="1"/>
    <col min="4873" max="4873" width="14.140625" style="118" customWidth="1"/>
    <col min="4874" max="4874" width="13.5703125" style="118" customWidth="1"/>
    <col min="4875" max="4875" width="13" style="118" customWidth="1"/>
    <col min="4876" max="4876" width="14.140625" style="118" customWidth="1"/>
    <col min="4877" max="4878" width="13.42578125" style="118" bestFit="1" customWidth="1"/>
    <col min="4879" max="4879" width="13" style="118" bestFit="1" customWidth="1"/>
    <col min="4880" max="4880" width="17" style="118" bestFit="1" customWidth="1"/>
    <col min="4881" max="4881" width="0" style="118" hidden="1" customWidth="1"/>
    <col min="4882" max="4882" width="13.140625" style="118" customWidth="1"/>
    <col min="4883" max="4883" width="17" style="118" bestFit="1" customWidth="1"/>
    <col min="4884" max="4884" width="12.5703125" style="118" bestFit="1" customWidth="1"/>
    <col min="4885" max="4885" width="11.42578125" style="118" bestFit="1" customWidth="1"/>
    <col min="4886" max="5121" width="8.85546875" style="118"/>
    <col min="5122" max="5122" width="5.85546875" style="118" customWidth="1"/>
    <col min="5123" max="5123" width="41.28515625" style="118" customWidth="1"/>
    <col min="5124" max="5124" width="13.85546875" style="118" customWidth="1"/>
    <col min="5125" max="5125" width="14.140625" style="118" bestFit="1" customWidth="1"/>
    <col min="5126" max="5126" width="15.7109375" style="118" customWidth="1"/>
    <col min="5127" max="5127" width="14.42578125" style="118" bestFit="1" customWidth="1"/>
    <col min="5128" max="5128" width="15.42578125" style="118" bestFit="1" customWidth="1"/>
    <col min="5129" max="5129" width="14.140625" style="118" customWidth="1"/>
    <col min="5130" max="5130" width="13.5703125" style="118" customWidth="1"/>
    <col min="5131" max="5131" width="13" style="118" customWidth="1"/>
    <col min="5132" max="5132" width="14.140625" style="118" customWidth="1"/>
    <col min="5133" max="5134" width="13.42578125" style="118" bestFit="1" customWidth="1"/>
    <col min="5135" max="5135" width="13" style="118" bestFit="1" customWidth="1"/>
    <col min="5136" max="5136" width="17" style="118" bestFit="1" customWidth="1"/>
    <col min="5137" max="5137" width="0" style="118" hidden="1" customWidth="1"/>
    <col min="5138" max="5138" width="13.140625" style="118" customWidth="1"/>
    <col min="5139" max="5139" width="17" style="118" bestFit="1" customWidth="1"/>
    <col min="5140" max="5140" width="12.5703125" style="118" bestFit="1" customWidth="1"/>
    <col min="5141" max="5141" width="11.42578125" style="118" bestFit="1" customWidth="1"/>
    <col min="5142" max="5377" width="8.85546875" style="118"/>
    <col min="5378" max="5378" width="5.85546875" style="118" customWidth="1"/>
    <col min="5379" max="5379" width="41.28515625" style="118" customWidth="1"/>
    <col min="5380" max="5380" width="13.85546875" style="118" customWidth="1"/>
    <col min="5381" max="5381" width="14.140625" style="118" bestFit="1" customWidth="1"/>
    <col min="5382" max="5382" width="15.7109375" style="118" customWidth="1"/>
    <col min="5383" max="5383" width="14.42578125" style="118" bestFit="1" customWidth="1"/>
    <col min="5384" max="5384" width="15.42578125" style="118" bestFit="1" customWidth="1"/>
    <col min="5385" max="5385" width="14.140625" style="118" customWidth="1"/>
    <col min="5386" max="5386" width="13.5703125" style="118" customWidth="1"/>
    <col min="5387" max="5387" width="13" style="118" customWidth="1"/>
    <col min="5388" max="5388" width="14.140625" style="118" customWidth="1"/>
    <col min="5389" max="5390" width="13.42578125" style="118" bestFit="1" customWidth="1"/>
    <col min="5391" max="5391" width="13" style="118" bestFit="1" customWidth="1"/>
    <col min="5392" max="5392" width="17" style="118" bestFit="1" customWidth="1"/>
    <col min="5393" max="5393" width="0" style="118" hidden="1" customWidth="1"/>
    <col min="5394" max="5394" width="13.140625" style="118" customWidth="1"/>
    <col min="5395" max="5395" width="17" style="118" bestFit="1" customWidth="1"/>
    <col min="5396" max="5396" width="12.5703125" style="118" bestFit="1" customWidth="1"/>
    <col min="5397" max="5397" width="11.42578125" style="118" bestFit="1" customWidth="1"/>
    <col min="5398" max="5633" width="8.85546875" style="118"/>
    <col min="5634" max="5634" width="5.85546875" style="118" customWidth="1"/>
    <col min="5635" max="5635" width="41.28515625" style="118" customWidth="1"/>
    <col min="5636" max="5636" width="13.85546875" style="118" customWidth="1"/>
    <col min="5637" max="5637" width="14.140625" style="118" bestFit="1" customWidth="1"/>
    <col min="5638" max="5638" width="15.7109375" style="118" customWidth="1"/>
    <col min="5639" max="5639" width="14.42578125" style="118" bestFit="1" customWidth="1"/>
    <col min="5640" max="5640" width="15.42578125" style="118" bestFit="1" customWidth="1"/>
    <col min="5641" max="5641" width="14.140625" style="118" customWidth="1"/>
    <col min="5642" max="5642" width="13.5703125" style="118" customWidth="1"/>
    <col min="5643" max="5643" width="13" style="118" customWidth="1"/>
    <col min="5644" max="5644" width="14.140625" style="118" customWidth="1"/>
    <col min="5645" max="5646" width="13.42578125" style="118" bestFit="1" customWidth="1"/>
    <col min="5647" max="5647" width="13" style="118" bestFit="1" customWidth="1"/>
    <col min="5648" max="5648" width="17" style="118" bestFit="1" customWidth="1"/>
    <col min="5649" max="5649" width="0" style="118" hidden="1" customWidth="1"/>
    <col min="5650" max="5650" width="13.140625" style="118" customWidth="1"/>
    <col min="5651" max="5651" width="17" style="118" bestFit="1" customWidth="1"/>
    <col min="5652" max="5652" width="12.5703125" style="118" bestFit="1" customWidth="1"/>
    <col min="5653" max="5653" width="11.42578125" style="118" bestFit="1" customWidth="1"/>
    <col min="5654" max="5889" width="8.85546875" style="118"/>
    <col min="5890" max="5890" width="5.85546875" style="118" customWidth="1"/>
    <col min="5891" max="5891" width="41.28515625" style="118" customWidth="1"/>
    <col min="5892" max="5892" width="13.85546875" style="118" customWidth="1"/>
    <col min="5893" max="5893" width="14.140625" style="118" bestFit="1" customWidth="1"/>
    <col min="5894" max="5894" width="15.7109375" style="118" customWidth="1"/>
    <col min="5895" max="5895" width="14.42578125" style="118" bestFit="1" customWidth="1"/>
    <col min="5896" max="5896" width="15.42578125" style="118" bestFit="1" customWidth="1"/>
    <col min="5897" max="5897" width="14.140625" style="118" customWidth="1"/>
    <col min="5898" max="5898" width="13.5703125" style="118" customWidth="1"/>
    <col min="5899" max="5899" width="13" style="118" customWidth="1"/>
    <col min="5900" max="5900" width="14.140625" style="118" customWidth="1"/>
    <col min="5901" max="5902" width="13.42578125" style="118" bestFit="1" customWidth="1"/>
    <col min="5903" max="5903" width="13" style="118" bestFit="1" customWidth="1"/>
    <col min="5904" max="5904" width="17" style="118" bestFit="1" customWidth="1"/>
    <col min="5905" max="5905" width="0" style="118" hidden="1" customWidth="1"/>
    <col min="5906" max="5906" width="13.140625" style="118" customWidth="1"/>
    <col min="5907" max="5907" width="17" style="118" bestFit="1" customWidth="1"/>
    <col min="5908" max="5908" width="12.5703125" style="118" bestFit="1" customWidth="1"/>
    <col min="5909" max="5909" width="11.42578125" style="118" bestFit="1" customWidth="1"/>
    <col min="5910" max="6145" width="8.85546875" style="118"/>
    <col min="6146" max="6146" width="5.85546875" style="118" customWidth="1"/>
    <col min="6147" max="6147" width="41.28515625" style="118" customWidth="1"/>
    <col min="6148" max="6148" width="13.85546875" style="118" customWidth="1"/>
    <col min="6149" max="6149" width="14.140625" style="118" bestFit="1" customWidth="1"/>
    <col min="6150" max="6150" width="15.7109375" style="118" customWidth="1"/>
    <col min="6151" max="6151" width="14.42578125" style="118" bestFit="1" customWidth="1"/>
    <col min="6152" max="6152" width="15.42578125" style="118" bestFit="1" customWidth="1"/>
    <col min="6153" max="6153" width="14.140625" style="118" customWidth="1"/>
    <col min="6154" max="6154" width="13.5703125" style="118" customWidth="1"/>
    <col min="6155" max="6155" width="13" style="118" customWidth="1"/>
    <col min="6156" max="6156" width="14.140625" style="118" customWidth="1"/>
    <col min="6157" max="6158" width="13.42578125" style="118" bestFit="1" customWidth="1"/>
    <col min="6159" max="6159" width="13" style="118" bestFit="1" customWidth="1"/>
    <col min="6160" max="6160" width="17" style="118" bestFit="1" customWidth="1"/>
    <col min="6161" max="6161" width="0" style="118" hidden="1" customWidth="1"/>
    <col min="6162" max="6162" width="13.140625" style="118" customWidth="1"/>
    <col min="6163" max="6163" width="17" style="118" bestFit="1" customWidth="1"/>
    <col min="6164" max="6164" width="12.5703125" style="118" bestFit="1" customWidth="1"/>
    <col min="6165" max="6165" width="11.42578125" style="118" bestFit="1" customWidth="1"/>
    <col min="6166" max="6401" width="8.85546875" style="118"/>
    <col min="6402" max="6402" width="5.85546875" style="118" customWidth="1"/>
    <col min="6403" max="6403" width="41.28515625" style="118" customWidth="1"/>
    <col min="6404" max="6404" width="13.85546875" style="118" customWidth="1"/>
    <col min="6405" max="6405" width="14.140625" style="118" bestFit="1" customWidth="1"/>
    <col min="6406" max="6406" width="15.7109375" style="118" customWidth="1"/>
    <col min="6407" max="6407" width="14.42578125" style="118" bestFit="1" customWidth="1"/>
    <col min="6408" max="6408" width="15.42578125" style="118" bestFit="1" customWidth="1"/>
    <col min="6409" max="6409" width="14.140625" style="118" customWidth="1"/>
    <col min="6410" max="6410" width="13.5703125" style="118" customWidth="1"/>
    <col min="6411" max="6411" width="13" style="118" customWidth="1"/>
    <col min="6412" max="6412" width="14.140625" style="118" customWidth="1"/>
    <col min="6413" max="6414" width="13.42578125" style="118" bestFit="1" customWidth="1"/>
    <col min="6415" max="6415" width="13" style="118" bestFit="1" customWidth="1"/>
    <col min="6416" max="6416" width="17" style="118" bestFit="1" customWidth="1"/>
    <col min="6417" max="6417" width="0" style="118" hidden="1" customWidth="1"/>
    <col min="6418" max="6418" width="13.140625" style="118" customWidth="1"/>
    <col min="6419" max="6419" width="17" style="118" bestFit="1" customWidth="1"/>
    <col min="6420" max="6420" width="12.5703125" style="118" bestFit="1" customWidth="1"/>
    <col min="6421" max="6421" width="11.42578125" style="118" bestFit="1" customWidth="1"/>
    <col min="6422" max="6657" width="8.85546875" style="118"/>
    <col min="6658" max="6658" width="5.85546875" style="118" customWidth="1"/>
    <col min="6659" max="6659" width="41.28515625" style="118" customWidth="1"/>
    <col min="6660" max="6660" width="13.85546875" style="118" customWidth="1"/>
    <col min="6661" max="6661" width="14.140625" style="118" bestFit="1" customWidth="1"/>
    <col min="6662" max="6662" width="15.7109375" style="118" customWidth="1"/>
    <col min="6663" max="6663" width="14.42578125" style="118" bestFit="1" customWidth="1"/>
    <col min="6664" max="6664" width="15.42578125" style="118" bestFit="1" customWidth="1"/>
    <col min="6665" max="6665" width="14.140625" style="118" customWidth="1"/>
    <col min="6666" max="6666" width="13.5703125" style="118" customWidth="1"/>
    <col min="6667" max="6667" width="13" style="118" customWidth="1"/>
    <col min="6668" max="6668" width="14.140625" style="118" customWidth="1"/>
    <col min="6669" max="6670" width="13.42578125" style="118" bestFit="1" customWidth="1"/>
    <col min="6671" max="6671" width="13" style="118" bestFit="1" customWidth="1"/>
    <col min="6672" max="6672" width="17" style="118" bestFit="1" customWidth="1"/>
    <col min="6673" max="6673" width="0" style="118" hidden="1" customWidth="1"/>
    <col min="6674" max="6674" width="13.140625" style="118" customWidth="1"/>
    <col min="6675" max="6675" width="17" style="118" bestFit="1" customWidth="1"/>
    <col min="6676" max="6676" width="12.5703125" style="118" bestFit="1" customWidth="1"/>
    <col min="6677" max="6677" width="11.42578125" style="118" bestFit="1" customWidth="1"/>
    <col min="6678" max="6913" width="8.85546875" style="118"/>
    <col min="6914" max="6914" width="5.85546875" style="118" customWidth="1"/>
    <col min="6915" max="6915" width="41.28515625" style="118" customWidth="1"/>
    <col min="6916" max="6916" width="13.85546875" style="118" customWidth="1"/>
    <col min="6917" max="6917" width="14.140625" style="118" bestFit="1" customWidth="1"/>
    <col min="6918" max="6918" width="15.7109375" style="118" customWidth="1"/>
    <col min="6919" max="6919" width="14.42578125" style="118" bestFit="1" customWidth="1"/>
    <col min="6920" max="6920" width="15.42578125" style="118" bestFit="1" customWidth="1"/>
    <col min="6921" max="6921" width="14.140625" style="118" customWidth="1"/>
    <col min="6922" max="6922" width="13.5703125" style="118" customWidth="1"/>
    <col min="6923" max="6923" width="13" style="118" customWidth="1"/>
    <col min="6924" max="6924" width="14.140625" style="118" customWidth="1"/>
    <col min="6925" max="6926" width="13.42578125" style="118" bestFit="1" customWidth="1"/>
    <col min="6927" max="6927" width="13" style="118" bestFit="1" customWidth="1"/>
    <col min="6928" max="6928" width="17" style="118" bestFit="1" customWidth="1"/>
    <col min="6929" max="6929" width="0" style="118" hidden="1" customWidth="1"/>
    <col min="6930" max="6930" width="13.140625" style="118" customWidth="1"/>
    <col min="6931" max="6931" width="17" style="118" bestFit="1" customWidth="1"/>
    <col min="6932" max="6932" width="12.5703125" style="118" bestFit="1" customWidth="1"/>
    <col min="6933" max="6933" width="11.42578125" style="118" bestFit="1" customWidth="1"/>
    <col min="6934" max="7169" width="8.85546875" style="118"/>
    <col min="7170" max="7170" width="5.85546875" style="118" customWidth="1"/>
    <col min="7171" max="7171" width="41.28515625" style="118" customWidth="1"/>
    <col min="7172" max="7172" width="13.85546875" style="118" customWidth="1"/>
    <col min="7173" max="7173" width="14.140625" style="118" bestFit="1" customWidth="1"/>
    <col min="7174" max="7174" width="15.7109375" style="118" customWidth="1"/>
    <col min="7175" max="7175" width="14.42578125" style="118" bestFit="1" customWidth="1"/>
    <col min="7176" max="7176" width="15.42578125" style="118" bestFit="1" customWidth="1"/>
    <col min="7177" max="7177" width="14.140625" style="118" customWidth="1"/>
    <col min="7178" max="7178" width="13.5703125" style="118" customWidth="1"/>
    <col min="7179" max="7179" width="13" style="118" customWidth="1"/>
    <col min="7180" max="7180" width="14.140625" style="118" customWidth="1"/>
    <col min="7181" max="7182" width="13.42578125" style="118" bestFit="1" customWidth="1"/>
    <col min="7183" max="7183" width="13" style="118" bestFit="1" customWidth="1"/>
    <col min="7184" max="7184" width="17" style="118" bestFit="1" customWidth="1"/>
    <col min="7185" max="7185" width="0" style="118" hidden="1" customWidth="1"/>
    <col min="7186" max="7186" width="13.140625" style="118" customWidth="1"/>
    <col min="7187" max="7187" width="17" style="118" bestFit="1" customWidth="1"/>
    <col min="7188" max="7188" width="12.5703125" style="118" bestFit="1" customWidth="1"/>
    <col min="7189" max="7189" width="11.42578125" style="118" bestFit="1" customWidth="1"/>
    <col min="7190" max="7425" width="8.85546875" style="118"/>
    <col min="7426" max="7426" width="5.85546875" style="118" customWidth="1"/>
    <col min="7427" max="7427" width="41.28515625" style="118" customWidth="1"/>
    <col min="7428" max="7428" width="13.85546875" style="118" customWidth="1"/>
    <col min="7429" max="7429" width="14.140625" style="118" bestFit="1" customWidth="1"/>
    <col min="7430" max="7430" width="15.7109375" style="118" customWidth="1"/>
    <col min="7431" max="7431" width="14.42578125" style="118" bestFit="1" customWidth="1"/>
    <col min="7432" max="7432" width="15.42578125" style="118" bestFit="1" customWidth="1"/>
    <col min="7433" max="7433" width="14.140625" style="118" customWidth="1"/>
    <col min="7434" max="7434" width="13.5703125" style="118" customWidth="1"/>
    <col min="7435" max="7435" width="13" style="118" customWidth="1"/>
    <col min="7436" max="7436" width="14.140625" style="118" customWidth="1"/>
    <col min="7437" max="7438" width="13.42578125" style="118" bestFit="1" customWidth="1"/>
    <col min="7439" max="7439" width="13" style="118" bestFit="1" customWidth="1"/>
    <col min="7440" max="7440" width="17" style="118" bestFit="1" customWidth="1"/>
    <col min="7441" max="7441" width="0" style="118" hidden="1" customWidth="1"/>
    <col min="7442" max="7442" width="13.140625" style="118" customWidth="1"/>
    <col min="7443" max="7443" width="17" style="118" bestFit="1" customWidth="1"/>
    <col min="7444" max="7444" width="12.5703125" style="118" bestFit="1" customWidth="1"/>
    <col min="7445" max="7445" width="11.42578125" style="118" bestFit="1" customWidth="1"/>
    <col min="7446" max="7681" width="8.85546875" style="118"/>
    <col min="7682" max="7682" width="5.85546875" style="118" customWidth="1"/>
    <col min="7683" max="7683" width="41.28515625" style="118" customWidth="1"/>
    <col min="7684" max="7684" width="13.85546875" style="118" customWidth="1"/>
    <col min="7685" max="7685" width="14.140625" style="118" bestFit="1" customWidth="1"/>
    <col min="7686" max="7686" width="15.7109375" style="118" customWidth="1"/>
    <col min="7687" max="7687" width="14.42578125" style="118" bestFit="1" customWidth="1"/>
    <col min="7688" max="7688" width="15.42578125" style="118" bestFit="1" customWidth="1"/>
    <col min="7689" max="7689" width="14.140625" style="118" customWidth="1"/>
    <col min="7690" max="7690" width="13.5703125" style="118" customWidth="1"/>
    <col min="7691" max="7691" width="13" style="118" customWidth="1"/>
    <col min="7692" max="7692" width="14.140625" style="118" customWidth="1"/>
    <col min="7693" max="7694" width="13.42578125" style="118" bestFit="1" customWidth="1"/>
    <col min="7695" max="7695" width="13" style="118" bestFit="1" customWidth="1"/>
    <col min="7696" max="7696" width="17" style="118" bestFit="1" customWidth="1"/>
    <col min="7697" max="7697" width="0" style="118" hidden="1" customWidth="1"/>
    <col min="7698" max="7698" width="13.140625" style="118" customWidth="1"/>
    <col min="7699" max="7699" width="17" style="118" bestFit="1" customWidth="1"/>
    <col min="7700" max="7700" width="12.5703125" style="118" bestFit="1" customWidth="1"/>
    <col min="7701" max="7701" width="11.42578125" style="118" bestFit="1" customWidth="1"/>
    <col min="7702" max="7937" width="8.85546875" style="118"/>
    <col min="7938" max="7938" width="5.85546875" style="118" customWidth="1"/>
    <col min="7939" max="7939" width="41.28515625" style="118" customWidth="1"/>
    <col min="7940" max="7940" width="13.85546875" style="118" customWidth="1"/>
    <col min="7941" max="7941" width="14.140625" style="118" bestFit="1" customWidth="1"/>
    <col min="7942" max="7942" width="15.7109375" style="118" customWidth="1"/>
    <col min="7943" max="7943" width="14.42578125" style="118" bestFit="1" customWidth="1"/>
    <col min="7944" max="7944" width="15.42578125" style="118" bestFit="1" customWidth="1"/>
    <col min="7945" max="7945" width="14.140625" style="118" customWidth="1"/>
    <col min="7946" max="7946" width="13.5703125" style="118" customWidth="1"/>
    <col min="7947" max="7947" width="13" style="118" customWidth="1"/>
    <col min="7948" max="7948" width="14.140625" style="118" customWidth="1"/>
    <col min="7949" max="7950" width="13.42578125" style="118" bestFit="1" customWidth="1"/>
    <col min="7951" max="7951" width="13" style="118" bestFit="1" customWidth="1"/>
    <col min="7952" max="7952" width="17" style="118" bestFit="1" customWidth="1"/>
    <col min="7953" max="7953" width="0" style="118" hidden="1" customWidth="1"/>
    <col min="7954" max="7954" width="13.140625" style="118" customWidth="1"/>
    <col min="7955" max="7955" width="17" style="118" bestFit="1" customWidth="1"/>
    <col min="7956" max="7956" width="12.5703125" style="118" bestFit="1" customWidth="1"/>
    <col min="7957" max="7957" width="11.42578125" style="118" bestFit="1" customWidth="1"/>
    <col min="7958" max="8193" width="8.85546875" style="118"/>
    <col min="8194" max="8194" width="5.85546875" style="118" customWidth="1"/>
    <col min="8195" max="8195" width="41.28515625" style="118" customWidth="1"/>
    <col min="8196" max="8196" width="13.85546875" style="118" customWidth="1"/>
    <col min="8197" max="8197" width="14.140625" style="118" bestFit="1" customWidth="1"/>
    <col min="8198" max="8198" width="15.7109375" style="118" customWidth="1"/>
    <col min="8199" max="8199" width="14.42578125" style="118" bestFit="1" customWidth="1"/>
    <col min="8200" max="8200" width="15.42578125" style="118" bestFit="1" customWidth="1"/>
    <col min="8201" max="8201" width="14.140625" style="118" customWidth="1"/>
    <col min="8202" max="8202" width="13.5703125" style="118" customWidth="1"/>
    <col min="8203" max="8203" width="13" style="118" customWidth="1"/>
    <col min="8204" max="8204" width="14.140625" style="118" customWidth="1"/>
    <col min="8205" max="8206" width="13.42578125" style="118" bestFit="1" customWidth="1"/>
    <col min="8207" max="8207" width="13" style="118" bestFit="1" customWidth="1"/>
    <col min="8208" max="8208" width="17" style="118" bestFit="1" customWidth="1"/>
    <col min="8209" max="8209" width="0" style="118" hidden="1" customWidth="1"/>
    <col min="8210" max="8210" width="13.140625" style="118" customWidth="1"/>
    <col min="8211" max="8211" width="17" style="118" bestFit="1" customWidth="1"/>
    <col min="8212" max="8212" width="12.5703125" style="118" bestFit="1" customWidth="1"/>
    <col min="8213" max="8213" width="11.42578125" style="118" bestFit="1" customWidth="1"/>
    <col min="8214" max="8449" width="8.85546875" style="118"/>
    <col min="8450" max="8450" width="5.85546875" style="118" customWidth="1"/>
    <col min="8451" max="8451" width="41.28515625" style="118" customWidth="1"/>
    <col min="8452" max="8452" width="13.85546875" style="118" customWidth="1"/>
    <col min="8453" max="8453" width="14.140625" style="118" bestFit="1" customWidth="1"/>
    <col min="8454" max="8454" width="15.7109375" style="118" customWidth="1"/>
    <col min="8455" max="8455" width="14.42578125" style="118" bestFit="1" customWidth="1"/>
    <col min="8456" max="8456" width="15.42578125" style="118" bestFit="1" customWidth="1"/>
    <col min="8457" max="8457" width="14.140625" style="118" customWidth="1"/>
    <col min="8458" max="8458" width="13.5703125" style="118" customWidth="1"/>
    <col min="8459" max="8459" width="13" style="118" customWidth="1"/>
    <col min="8460" max="8460" width="14.140625" style="118" customWidth="1"/>
    <col min="8461" max="8462" width="13.42578125" style="118" bestFit="1" customWidth="1"/>
    <col min="8463" max="8463" width="13" style="118" bestFit="1" customWidth="1"/>
    <col min="8464" max="8464" width="17" style="118" bestFit="1" customWidth="1"/>
    <col min="8465" max="8465" width="0" style="118" hidden="1" customWidth="1"/>
    <col min="8466" max="8466" width="13.140625" style="118" customWidth="1"/>
    <col min="8467" max="8467" width="17" style="118" bestFit="1" customWidth="1"/>
    <col min="8468" max="8468" width="12.5703125" style="118" bestFit="1" customWidth="1"/>
    <col min="8469" max="8469" width="11.42578125" style="118" bestFit="1" customWidth="1"/>
    <col min="8470" max="8705" width="8.85546875" style="118"/>
    <col min="8706" max="8706" width="5.85546875" style="118" customWidth="1"/>
    <col min="8707" max="8707" width="41.28515625" style="118" customWidth="1"/>
    <col min="8708" max="8708" width="13.85546875" style="118" customWidth="1"/>
    <col min="8709" max="8709" width="14.140625" style="118" bestFit="1" customWidth="1"/>
    <col min="8710" max="8710" width="15.7109375" style="118" customWidth="1"/>
    <col min="8711" max="8711" width="14.42578125" style="118" bestFit="1" customWidth="1"/>
    <col min="8712" max="8712" width="15.42578125" style="118" bestFit="1" customWidth="1"/>
    <col min="8713" max="8713" width="14.140625" style="118" customWidth="1"/>
    <col min="8714" max="8714" width="13.5703125" style="118" customWidth="1"/>
    <col min="8715" max="8715" width="13" style="118" customWidth="1"/>
    <col min="8716" max="8716" width="14.140625" style="118" customWidth="1"/>
    <col min="8717" max="8718" width="13.42578125" style="118" bestFit="1" customWidth="1"/>
    <col min="8719" max="8719" width="13" style="118" bestFit="1" customWidth="1"/>
    <col min="8720" max="8720" width="17" style="118" bestFit="1" customWidth="1"/>
    <col min="8721" max="8721" width="0" style="118" hidden="1" customWidth="1"/>
    <col min="8722" max="8722" width="13.140625" style="118" customWidth="1"/>
    <col min="8723" max="8723" width="17" style="118" bestFit="1" customWidth="1"/>
    <col min="8724" max="8724" width="12.5703125" style="118" bestFit="1" customWidth="1"/>
    <col min="8725" max="8725" width="11.42578125" style="118" bestFit="1" customWidth="1"/>
    <col min="8726" max="8961" width="8.85546875" style="118"/>
    <col min="8962" max="8962" width="5.85546875" style="118" customWidth="1"/>
    <col min="8963" max="8963" width="41.28515625" style="118" customWidth="1"/>
    <col min="8964" max="8964" width="13.85546875" style="118" customWidth="1"/>
    <col min="8965" max="8965" width="14.140625" style="118" bestFit="1" customWidth="1"/>
    <col min="8966" max="8966" width="15.7109375" style="118" customWidth="1"/>
    <col min="8967" max="8967" width="14.42578125" style="118" bestFit="1" customWidth="1"/>
    <col min="8968" max="8968" width="15.42578125" style="118" bestFit="1" customWidth="1"/>
    <col min="8969" max="8969" width="14.140625" style="118" customWidth="1"/>
    <col min="8970" max="8970" width="13.5703125" style="118" customWidth="1"/>
    <col min="8971" max="8971" width="13" style="118" customWidth="1"/>
    <col min="8972" max="8972" width="14.140625" style="118" customWidth="1"/>
    <col min="8973" max="8974" width="13.42578125" style="118" bestFit="1" customWidth="1"/>
    <col min="8975" max="8975" width="13" style="118" bestFit="1" customWidth="1"/>
    <col min="8976" max="8976" width="17" style="118" bestFit="1" customWidth="1"/>
    <col min="8977" max="8977" width="0" style="118" hidden="1" customWidth="1"/>
    <col min="8978" max="8978" width="13.140625" style="118" customWidth="1"/>
    <col min="8979" max="8979" width="17" style="118" bestFit="1" customWidth="1"/>
    <col min="8980" max="8980" width="12.5703125" style="118" bestFit="1" customWidth="1"/>
    <col min="8981" max="8981" width="11.42578125" style="118" bestFit="1" customWidth="1"/>
    <col min="8982" max="9217" width="8.85546875" style="118"/>
    <col min="9218" max="9218" width="5.85546875" style="118" customWidth="1"/>
    <col min="9219" max="9219" width="41.28515625" style="118" customWidth="1"/>
    <col min="9220" max="9220" width="13.85546875" style="118" customWidth="1"/>
    <col min="9221" max="9221" width="14.140625" style="118" bestFit="1" customWidth="1"/>
    <col min="9222" max="9222" width="15.7109375" style="118" customWidth="1"/>
    <col min="9223" max="9223" width="14.42578125" style="118" bestFit="1" customWidth="1"/>
    <col min="9224" max="9224" width="15.42578125" style="118" bestFit="1" customWidth="1"/>
    <col min="9225" max="9225" width="14.140625" style="118" customWidth="1"/>
    <col min="9226" max="9226" width="13.5703125" style="118" customWidth="1"/>
    <col min="9227" max="9227" width="13" style="118" customWidth="1"/>
    <col min="9228" max="9228" width="14.140625" style="118" customWidth="1"/>
    <col min="9229" max="9230" width="13.42578125" style="118" bestFit="1" customWidth="1"/>
    <col min="9231" max="9231" width="13" style="118" bestFit="1" customWidth="1"/>
    <col min="9232" max="9232" width="17" style="118" bestFit="1" customWidth="1"/>
    <col min="9233" max="9233" width="0" style="118" hidden="1" customWidth="1"/>
    <col min="9234" max="9234" width="13.140625" style="118" customWidth="1"/>
    <col min="9235" max="9235" width="17" style="118" bestFit="1" customWidth="1"/>
    <col min="9236" max="9236" width="12.5703125" style="118" bestFit="1" customWidth="1"/>
    <col min="9237" max="9237" width="11.42578125" style="118" bestFit="1" customWidth="1"/>
    <col min="9238" max="9473" width="8.85546875" style="118"/>
    <col min="9474" max="9474" width="5.85546875" style="118" customWidth="1"/>
    <col min="9475" max="9475" width="41.28515625" style="118" customWidth="1"/>
    <col min="9476" max="9476" width="13.85546875" style="118" customWidth="1"/>
    <col min="9477" max="9477" width="14.140625" style="118" bestFit="1" customWidth="1"/>
    <col min="9478" max="9478" width="15.7109375" style="118" customWidth="1"/>
    <col min="9479" max="9479" width="14.42578125" style="118" bestFit="1" customWidth="1"/>
    <col min="9480" max="9480" width="15.42578125" style="118" bestFit="1" customWidth="1"/>
    <col min="9481" max="9481" width="14.140625" style="118" customWidth="1"/>
    <col min="9482" max="9482" width="13.5703125" style="118" customWidth="1"/>
    <col min="9483" max="9483" width="13" style="118" customWidth="1"/>
    <col min="9484" max="9484" width="14.140625" style="118" customWidth="1"/>
    <col min="9485" max="9486" width="13.42578125" style="118" bestFit="1" customWidth="1"/>
    <col min="9487" max="9487" width="13" style="118" bestFit="1" customWidth="1"/>
    <col min="9488" max="9488" width="17" style="118" bestFit="1" customWidth="1"/>
    <col min="9489" max="9489" width="0" style="118" hidden="1" customWidth="1"/>
    <col min="9490" max="9490" width="13.140625" style="118" customWidth="1"/>
    <col min="9491" max="9491" width="17" style="118" bestFit="1" customWidth="1"/>
    <col min="9492" max="9492" width="12.5703125" style="118" bestFit="1" customWidth="1"/>
    <col min="9493" max="9493" width="11.42578125" style="118" bestFit="1" customWidth="1"/>
    <col min="9494" max="9729" width="8.85546875" style="118"/>
    <col min="9730" max="9730" width="5.85546875" style="118" customWidth="1"/>
    <col min="9731" max="9731" width="41.28515625" style="118" customWidth="1"/>
    <col min="9732" max="9732" width="13.85546875" style="118" customWidth="1"/>
    <col min="9733" max="9733" width="14.140625" style="118" bestFit="1" customWidth="1"/>
    <col min="9734" max="9734" width="15.7109375" style="118" customWidth="1"/>
    <col min="9735" max="9735" width="14.42578125" style="118" bestFit="1" customWidth="1"/>
    <col min="9736" max="9736" width="15.42578125" style="118" bestFit="1" customWidth="1"/>
    <col min="9737" max="9737" width="14.140625" style="118" customWidth="1"/>
    <col min="9738" max="9738" width="13.5703125" style="118" customWidth="1"/>
    <col min="9739" max="9739" width="13" style="118" customWidth="1"/>
    <col min="9740" max="9740" width="14.140625" style="118" customWidth="1"/>
    <col min="9741" max="9742" width="13.42578125" style="118" bestFit="1" customWidth="1"/>
    <col min="9743" max="9743" width="13" style="118" bestFit="1" customWidth="1"/>
    <col min="9744" max="9744" width="17" style="118" bestFit="1" customWidth="1"/>
    <col min="9745" max="9745" width="0" style="118" hidden="1" customWidth="1"/>
    <col min="9746" max="9746" width="13.140625" style="118" customWidth="1"/>
    <col min="9747" max="9747" width="17" style="118" bestFit="1" customWidth="1"/>
    <col min="9748" max="9748" width="12.5703125" style="118" bestFit="1" customWidth="1"/>
    <col min="9749" max="9749" width="11.42578125" style="118" bestFit="1" customWidth="1"/>
    <col min="9750" max="9985" width="8.85546875" style="118"/>
    <col min="9986" max="9986" width="5.85546875" style="118" customWidth="1"/>
    <col min="9987" max="9987" width="41.28515625" style="118" customWidth="1"/>
    <col min="9988" max="9988" width="13.85546875" style="118" customWidth="1"/>
    <col min="9989" max="9989" width="14.140625" style="118" bestFit="1" customWidth="1"/>
    <col min="9990" max="9990" width="15.7109375" style="118" customWidth="1"/>
    <col min="9991" max="9991" width="14.42578125" style="118" bestFit="1" customWidth="1"/>
    <col min="9992" max="9992" width="15.42578125" style="118" bestFit="1" customWidth="1"/>
    <col min="9993" max="9993" width="14.140625" style="118" customWidth="1"/>
    <col min="9994" max="9994" width="13.5703125" style="118" customWidth="1"/>
    <col min="9995" max="9995" width="13" style="118" customWidth="1"/>
    <col min="9996" max="9996" width="14.140625" style="118" customWidth="1"/>
    <col min="9997" max="9998" width="13.42578125" style="118" bestFit="1" customWidth="1"/>
    <col min="9999" max="9999" width="13" style="118" bestFit="1" customWidth="1"/>
    <col min="10000" max="10000" width="17" style="118" bestFit="1" customWidth="1"/>
    <col min="10001" max="10001" width="0" style="118" hidden="1" customWidth="1"/>
    <col min="10002" max="10002" width="13.140625" style="118" customWidth="1"/>
    <col min="10003" max="10003" width="17" style="118" bestFit="1" customWidth="1"/>
    <col min="10004" max="10004" width="12.5703125" style="118" bestFit="1" customWidth="1"/>
    <col min="10005" max="10005" width="11.42578125" style="118" bestFit="1" customWidth="1"/>
    <col min="10006" max="10241" width="8.85546875" style="118"/>
    <col min="10242" max="10242" width="5.85546875" style="118" customWidth="1"/>
    <col min="10243" max="10243" width="41.28515625" style="118" customWidth="1"/>
    <col min="10244" max="10244" width="13.85546875" style="118" customWidth="1"/>
    <col min="10245" max="10245" width="14.140625" style="118" bestFit="1" customWidth="1"/>
    <col min="10246" max="10246" width="15.7109375" style="118" customWidth="1"/>
    <col min="10247" max="10247" width="14.42578125" style="118" bestFit="1" customWidth="1"/>
    <col min="10248" max="10248" width="15.42578125" style="118" bestFit="1" customWidth="1"/>
    <col min="10249" max="10249" width="14.140625" style="118" customWidth="1"/>
    <col min="10250" max="10250" width="13.5703125" style="118" customWidth="1"/>
    <col min="10251" max="10251" width="13" style="118" customWidth="1"/>
    <col min="10252" max="10252" width="14.140625" style="118" customWidth="1"/>
    <col min="10253" max="10254" width="13.42578125" style="118" bestFit="1" customWidth="1"/>
    <col min="10255" max="10255" width="13" style="118" bestFit="1" customWidth="1"/>
    <col min="10256" max="10256" width="17" style="118" bestFit="1" customWidth="1"/>
    <col min="10257" max="10257" width="0" style="118" hidden="1" customWidth="1"/>
    <col min="10258" max="10258" width="13.140625" style="118" customWidth="1"/>
    <col min="10259" max="10259" width="17" style="118" bestFit="1" customWidth="1"/>
    <col min="10260" max="10260" width="12.5703125" style="118" bestFit="1" customWidth="1"/>
    <col min="10261" max="10261" width="11.42578125" style="118" bestFit="1" customWidth="1"/>
    <col min="10262" max="10497" width="8.85546875" style="118"/>
    <col min="10498" max="10498" width="5.85546875" style="118" customWidth="1"/>
    <col min="10499" max="10499" width="41.28515625" style="118" customWidth="1"/>
    <col min="10500" max="10500" width="13.85546875" style="118" customWidth="1"/>
    <col min="10501" max="10501" width="14.140625" style="118" bestFit="1" customWidth="1"/>
    <col min="10502" max="10502" width="15.7109375" style="118" customWidth="1"/>
    <col min="10503" max="10503" width="14.42578125" style="118" bestFit="1" customWidth="1"/>
    <col min="10504" max="10504" width="15.42578125" style="118" bestFit="1" customWidth="1"/>
    <col min="10505" max="10505" width="14.140625" style="118" customWidth="1"/>
    <col min="10506" max="10506" width="13.5703125" style="118" customWidth="1"/>
    <col min="10507" max="10507" width="13" style="118" customWidth="1"/>
    <col min="10508" max="10508" width="14.140625" style="118" customWidth="1"/>
    <col min="10509" max="10510" width="13.42578125" style="118" bestFit="1" customWidth="1"/>
    <col min="10511" max="10511" width="13" style="118" bestFit="1" customWidth="1"/>
    <col min="10512" max="10512" width="17" style="118" bestFit="1" customWidth="1"/>
    <col min="10513" max="10513" width="0" style="118" hidden="1" customWidth="1"/>
    <col min="10514" max="10514" width="13.140625" style="118" customWidth="1"/>
    <col min="10515" max="10515" width="17" style="118" bestFit="1" customWidth="1"/>
    <col min="10516" max="10516" width="12.5703125" style="118" bestFit="1" customWidth="1"/>
    <col min="10517" max="10517" width="11.42578125" style="118" bestFit="1" customWidth="1"/>
    <col min="10518" max="10753" width="8.85546875" style="118"/>
    <col min="10754" max="10754" width="5.85546875" style="118" customWidth="1"/>
    <col min="10755" max="10755" width="41.28515625" style="118" customWidth="1"/>
    <col min="10756" max="10756" width="13.85546875" style="118" customWidth="1"/>
    <col min="10757" max="10757" width="14.140625" style="118" bestFit="1" customWidth="1"/>
    <col min="10758" max="10758" width="15.7109375" style="118" customWidth="1"/>
    <col min="10759" max="10759" width="14.42578125" style="118" bestFit="1" customWidth="1"/>
    <col min="10760" max="10760" width="15.42578125" style="118" bestFit="1" customWidth="1"/>
    <col min="10761" max="10761" width="14.140625" style="118" customWidth="1"/>
    <col min="10762" max="10762" width="13.5703125" style="118" customWidth="1"/>
    <col min="10763" max="10763" width="13" style="118" customWidth="1"/>
    <col min="10764" max="10764" width="14.140625" style="118" customWidth="1"/>
    <col min="10765" max="10766" width="13.42578125" style="118" bestFit="1" customWidth="1"/>
    <col min="10767" max="10767" width="13" style="118" bestFit="1" customWidth="1"/>
    <col min="10768" max="10768" width="17" style="118" bestFit="1" customWidth="1"/>
    <col min="10769" max="10769" width="0" style="118" hidden="1" customWidth="1"/>
    <col min="10770" max="10770" width="13.140625" style="118" customWidth="1"/>
    <col min="10771" max="10771" width="17" style="118" bestFit="1" customWidth="1"/>
    <col min="10772" max="10772" width="12.5703125" style="118" bestFit="1" customWidth="1"/>
    <col min="10773" max="10773" width="11.42578125" style="118" bestFit="1" customWidth="1"/>
    <col min="10774" max="11009" width="8.85546875" style="118"/>
    <col min="11010" max="11010" width="5.85546875" style="118" customWidth="1"/>
    <col min="11011" max="11011" width="41.28515625" style="118" customWidth="1"/>
    <col min="11012" max="11012" width="13.85546875" style="118" customWidth="1"/>
    <col min="11013" max="11013" width="14.140625" style="118" bestFit="1" customWidth="1"/>
    <col min="11014" max="11014" width="15.7109375" style="118" customWidth="1"/>
    <col min="11015" max="11015" width="14.42578125" style="118" bestFit="1" customWidth="1"/>
    <col min="11016" max="11016" width="15.42578125" style="118" bestFit="1" customWidth="1"/>
    <col min="11017" max="11017" width="14.140625" style="118" customWidth="1"/>
    <col min="11018" max="11018" width="13.5703125" style="118" customWidth="1"/>
    <col min="11019" max="11019" width="13" style="118" customWidth="1"/>
    <col min="11020" max="11020" width="14.140625" style="118" customWidth="1"/>
    <col min="11021" max="11022" width="13.42578125" style="118" bestFit="1" customWidth="1"/>
    <col min="11023" max="11023" width="13" style="118" bestFit="1" customWidth="1"/>
    <col min="11024" max="11024" width="17" style="118" bestFit="1" customWidth="1"/>
    <col min="11025" max="11025" width="0" style="118" hidden="1" customWidth="1"/>
    <col min="11026" max="11026" width="13.140625" style="118" customWidth="1"/>
    <col min="11027" max="11027" width="17" style="118" bestFit="1" customWidth="1"/>
    <col min="11028" max="11028" width="12.5703125" style="118" bestFit="1" customWidth="1"/>
    <col min="11029" max="11029" width="11.42578125" style="118" bestFit="1" customWidth="1"/>
    <col min="11030" max="11265" width="8.85546875" style="118"/>
    <col min="11266" max="11266" width="5.85546875" style="118" customWidth="1"/>
    <col min="11267" max="11267" width="41.28515625" style="118" customWidth="1"/>
    <col min="11268" max="11268" width="13.85546875" style="118" customWidth="1"/>
    <col min="11269" max="11269" width="14.140625" style="118" bestFit="1" customWidth="1"/>
    <col min="11270" max="11270" width="15.7109375" style="118" customWidth="1"/>
    <col min="11271" max="11271" width="14.42578125" style="118" bestFit="1" customWidth="1"/>
    <col min="11272" max="11272" width="15.42578125" style="118" bestFit="1" customWidth="1"/>
    <col min="11273" max="11273" width="14.140625" style="118" customWidth="1"/>
    <col min="11274" max="11274" width="13.5703125" style="118" customWidth="1"/>
    <col min="11275" max="11275" width="13" style="118" customWidth="1"/>
    <col min="11276" max="11276" width="14.140625" style="118" customWidth="1"/>
    <col min="11277" max="11278" width="13.42578125" style="118" bestFit="1" customWidth="1"/>
    <col min="11279" max="11279" width="13" style="118" bestFit="1" customWidth="1"/>
    <col min="11280" max="11280" width="17" style="118" bestFit="1" customWidth="1"/>
    <col min="11281" max="11281" width="0" style="118" hidden="1" customWidth="1"/>
    <col min="11282" max="11282" width="13.140625" style="118" customWidth="1"/>
    <col min="11283" max="11283" width="17" style="118" bestFit="1" customWidth="1"/>
    <col min="11284" max="11284" width="12.5703125" style="118" bestFit="1" customWidth="1"/>
    <col min="11285" max="11285" width="11.42578125" style="118" bestFit="1" customWidth="1"/>
    <col min="11286" max="11521" width="8.85546875" style="118"/>
    <col min="11522" max="11522" width="5.85546875" style="118" customWidth="1"/>
    <col min="11523" max="11523" width="41.28515625" style="118" customWidth="1"/>
    <col min="11524" max="11524" width="13.85546875" style="118" customWidth="1"/>
    <col min="11525" max="11525" width="14.140625" style="118" bestFit="1" customWidth="1"/>
    <col min="11526" max="11526" width="15.7109375" style="118" customWidth="1"/>
    <col min="11527" max="11527" width="14.42578125" style="118" bestFit="1" customWidth="1"/>
    <col min="11528" max="11528" width="15.42578125" style="118" bestFit="1" customWidth="1"/>
    <col min="11529" max="11529" width="14.140625" style="118" customWidth="1"/>
    <col min="11530" max="11530" width="13.5703125" style="118" customWidth="1"/>
    <col min="11531" max="11531" width="13" style="118" customWidth="1"/>
    <col min="11532" max="11532" width="14.140625" style="118" customWidth="1"/>
    <col min="11533" max="11534" width="13.42578125" style="118" bestFit="1" customWidth="1"/>
    <col min="11535" max="11535" width="13" style="118" bestFit="1" customWidth="1"/>
    <col min="11536" max="11536" width="17" style="118" bestFit="1" customWidth="1"/>
    <col min="11537" max="11537" width="0" style="118" hidden="1" customWidth="1"/>
    <col min="11538" max="11538" width="13.140625" style="118" customWidth="1"/>
    <col min="11539" max="11539" width="17" style="118" bestFit="1" customWidth="1"/>
    <col min="11540" max="11540" width="12.5703125" style="118" bestFit="1" customWidth="1"/>
    <col min="11541" max="11541" width="11.42578125" style="118" bestFit="1" customWidth="1"/>
    <col min="11542" max="11777" width="8.85546875" style="118"/>
    <col min="11778" max="11778" width="5.85546875" style="118" customWidth="1"/>
    <col min="11779" max="11779" width="41.28515625" style="118" customWidth="1"/>
    <col min="11780" max="11780" width="13.85546875" style="118" customWidth="1"/>
    <col min="11781" max="11781" width="14.140625" style="118" bestFit="1" customWidth="1"/>
    <col min="11782" max="11782" width="15.7109375" style="118" customWidth="1"/>
    <col min="11783" max="11783" width="14.42578125" style="118" bestFit="1" customWidth="1"/>
    <col min="11784" max="11784" width="15.42578125" style="118" bestFit="1" customWidth="1"/>
    <col min="11785" max="11785" width="14.140625" style="118" customWidth="1"/>
    <col min="11786" max="11786" width="13.5703125" style="118" customWidth="1"/>
    <col min="11787" max="11787" width="13" style="118" customWidth="1"/>
    <col min="11788" max="11788" width="14.140625" style="118" customWidth="1"/>
    <col min="11789" max="11790" width="13.42578125" style="118" bestFit="1" customWidth="1"/>
    <col min="11791" max="11791" width="13" style="118" bestFit="1" customWidth="1"/>
    <col min="11792" max="11792" width="17" style="118" bestFit="1" customWidth="1"/>
    <col min="11793" max="11793" width="0" style="118" hidden="1" customWidth="1"/>
    <col min="11794" max="11794" width="13.140625" style="118" customWidth="1"/>
    <col min="11795" max="11795" width="17" style="118" bestFit="1" customWidth="1"/>
    <col min="11796" max="11796" width="12.5703125" style="118" bestFit="1" customWidth="1"/>
    <col min="11797" max="11797" width="11.42578125" style="118" bestFit="1" customWidth="1"/>
    <col min="11798" max="12033" width="8.85546875" style="118"/>
    <col min="12034" max="12034" width="5.85546875" style="118" customWidth="1"/>
    <col min="12035" max="12035" width="41.28515625" style="118" customWidth="1"/>
    <col min="12036" max="12036" width="13.85546875" style="118" customWidth="1"/>
    <col min="12037" max="12037" width="14.140625" style="118" bestFit="1" customWidth="1"/>
    <col min="12038" max="12038" width="15.7109375" style="118" customWidth="1"/>
    <col min="12039" max="12039" width="14.42578125" style="118" bestFit="1" customWidth="1"/>
    <col min="12040" max="12040" width="15.42578125" style="118" bestFit="1" customWidth="1"/>
    <col min="12041" max="12041" width="14.140625" style="118" customWidth="1"/>
    <col min="12042" max="12042" width="13.5703125" style="118" customWidth="1"/>
    <col min="12043" max="12043" width="13" style="118" customWidth="1"/>
    <col min="12044" max="12044" width="14.140625" style="118" customWidth="1"/>
    <col min="12045" max="12046" width="13.42578125" style="118" bestFit="1" customWidth="1"/>
    <col min="12047" max="12047" width="13" style="118" bestFit="1" customWidth="1"/>
    <col min="12048" max="12048" width="17" style="118" bestFit="1" customWidth="1"/>
    <col min="12049" max="12049" width="0" style="118" hidden="1" customWidth="1"/>
    <col min="12050" max="12050" width="13.140625" style="118" customWidth="1"/>
    <col min="12051" max="12051" width="17" style="118" bestFit="1" customWidth="1"/>
    <col min="12052" max="12052" width="12.5703125" style="118" bestFit="1" customWidth="1"/>
    <col min="12053" max="12053" width="11.42578125" style="118" bestFit="1" customWidth="1"/>
    <col min="12054" max="12289" width="8.85546875" style="118"/>
    <col min="12290" max="12290" width="5.85546875" style="118" customWidth="1"/>
    <col min="12291" max="12291" width="41.28515625" style="118" customWidth="1"/>
    <col min="12292" max="12292" width="13.85546875" style="118" customWidth="1"/>
    <col min="12293" max="12293" width="14.140625" style="118" bestFit="1" customWidth="1"/>
    <col min="12294" max="12294" width="15.7109375" style="118" customWidth="1"/>
    <col min="12295" max="12295" width="14.42578125" style="118" bestFit="1" customWidth="1"/>
    <col min="12296" max="12296" width="15.42578125" style="118" bestFit="1" customWidth="1"/>
    <col min="12297" max="12297" width="14.140625" style="118" customWidth="1"/>
    <col min="12298" max="12298" width="13.5703125" style="118" customWidth="1"/>
    <col min="12299" max="12299" width="13" style="118" customWidth="1"/>
    <col min="12300" max="12300" width="14.140625" style="118" customWidth="1"/>
    <col min="12301" max="12302" width="13.42578125" style="118" bestFit="1" customWidth="1"/>
    <col min="12303" max="12303" width="13" style="118" bestFit="1" customWidth="1"/>
    <col min="12304" max="12304" width="17" style="118" bestFit="1" customWidth="1"/>
    <col min="12305" max="12305" width="0" style="118" hidden="1" customWidth="1"/>
    <col min="12306" max="12306" width="13.140625" style="118" customWidth="1"/>
    <col min="12307" max="12307" width="17" style="118" bestFit="1" customWidth="1"/>
    <col min="12308" max="12308" width="12.5703125" style="118" bestFit="1" customWidth="1"/>
    <col min="12309" max="12309" width="11.42578125" style="118" bestFit="1" customWidth="1"/>
    <col min="12310" max="12545" width="8.85546875" style="118"/>
    <col min="12546" max="12546" width="5.85546875" style="118" customWidth="1"/>
    <col min="12547" max="12547" width="41.28515625" style="118" customWidth="1"/>
    <col min="12548" max="12548" width="13.85546875" style="118" customWidth="1"/>
    <col min="12549" max="12549" width="14.140625" style="118" bestFit="1" customWidth="1"/>
    <col min="12550" max="12550" width="15.7109375" style="118" customWidth="1"/>
    <col min="12551" max="12551" width="14.42578125" style="118" bestFit="1" customWidth="1"/>
    <col min="12552" max="12552" width="15.42578125" style="118" bestFit="1" customWidth="1"/>
    <col min="12553" max="12553" width="14.140625" style="118" customWidth="1"/>
    <col min="12554" max="12554" width="13.5703125" style="118" customWidth="1"/>
    <col min="12555" max="12555" width="13" style="118" customWidth="1"/>
    <col min="12556" max="12556" width="14.140625" style="118" customWidth="1"/>
    <col min="12557" max="12558" width="13.42578125" style="118" bestFit="1" customWidth="1"/>
    <col min="12559" max="12559" width="13" style="118" bestFit="1" customWidth="1"/>
    <col min="12560" max="12560" width="17" style="118" bestFit="1" customWidth="1"/>
    <col min="12561" max="12561" width="0" style="118" hidden="1" customWidth="1"/>
    <col min="12562" max="12562" width="13.140625" style="118" customWidth="1"/>
    <col min="12563" max="12563" width="17" style="118" bestFit="1" customWidth="1"/>
    <col min="12564" max="12564" width="12.5703125" style="118" bestFit="1" customWidth="1"/>
    <col min="12565" max="12565" width="11.42578125" style="118" bestFit="1" customWidth="1"/>
    <col min="12566" max="12801" width="8.85546875" style="118"/>
    <col min="12802" max="12802" width="5.85546875" style="118" customWidth="1"/>
    <col min="12803" max="12803" width="41.28515625" style="118" customWidth="1"/>
    <col min="12804" max="12804" width="13.85546875" style="118" customWidth="1"/>
    <col min="12805" max="12805" width="14.140625" style="118" bestFit="1" customWidth="1"/>
    <col min="12806" max="12806" width="15.7109375" style="118" customWidth="1"/>
    <col min="12807" max="12807" width="14.42578125" style="118" bestFit="1" customWidth="1"/>
    <col min="12808" max="12808" width="15.42578125" style="118" bestFit="1" customWidth="1"/>
    <col min="12809" max="12809" width="14.140625" style="118" customWidth="1"/>
    <col min="12810" max="12810" width="13.5703125" style="118" customWidth="1"/>
    <col min="12811" max="12811" width="13" style="118" customWidth="1"/>
    <col min="12812" max="12812" width="14.140625" style="118" customWidth="1"/>
    <col min="12813" max="12814" width="13.42578125" style="118" bestFit="1" customWidth="1"/>
    <col min="12815" max="12815" width="13" style="118" bestFit="1" customWidth="1"/>
    <col min="12816" max="12816" width="17" style="118" bestFit="1" customWidth="1"/>
    <col min="12817" max="12817" width="0" style="118" hidden="1" customWidth="1"/>
    <col min="12818" max="12818" width="13.140625" style="118" customWidth="1"/>
    <col min="12819" max="12819" width="17" style="118" bestFit="1" customWidth="1"/>
    <col min="12820" max="12820" width="12.5703125" style="118" bestFit="1" customWidth="1"/>
    <col min="12821" max="12821" width="11.42578125" style="118" bestFit="1" customWidth="1"/>
    <col min="12822" max="13057" width="8.85546875" style="118"/>
    <col min="13058" max="13058" width="5.85546875" style="118" customWidth="1"/>
    <col min="13059" max="13059" width="41.28515625" style="118" customWidth="1"/>
    <col min="13060" max="13060" width="13.85546875" style="118" customWidth="1"/>
    <col min="13061" max="13061" width="14.140625" style="118" bestFit="1" customWidth="1"/>
    <col min="13062" max="13062" width="15.7109375" style="118" customWidth="1"/>
    <col min="13063" max="13063" width="14.42578125" style="118" bestFit="1" customWidth="1"/>
    <col min="13064" max="13064" width="15.42578125" style="118" bestFit="1" customWidth="1"/>
    <col min="13065" max="13065" width="14.140625" style="118" customWidth="1"/>
    <col min="13066" max="13066" width="13.5703125" style="118" customWidth="1"/>
    <col min="13067" max="13067" width="13" style="118" customWidth="1"/>
    <col min="13068" max="13068" width="14.140625" style="118" customWidth="1"/>
    <col min="13069" max="13070" width="13.42578125" style="118" bestFit="1" customWidth="1"/>
    <col min="13071" max="13071" width="13" style="118" bestFit="1" customWidth="1"/>
    <col min="13072" max="13072" width="17" style="118" bestFit="1" customWidth="1"/>
    <col min="13073" max="13073" width="0" style="118" hidden="1" customWidth="1"/>
    <col min="13074" max="13074" width="13.140625" style="118" customWidth="1"/>
    <col min="13075" max="13075" width="17" style="118" bestFit="1" customWidth="1"/>
    <col min="13076" max="13076" width="12.5703125" style="118" bestFit="1" customWidth="1"/>
    <col min="13077" max="13077" width="11.42578125" style="118" bestFit="1" customWidth="1"/>
    <col min="13078" max="13313" width="8.85546875" style="118"/>
    <col min="13314" max="13314" width="5.85546875" style="118" customWidth="1"/>
    <col min="13315" max="13315" width="41.28515625" style="118" customWidth="1"/>
    <col min="13316" max="13316" width="13.85546875" style="118" customWidth="1"/>
    <col min="13317" max="13317" width="14.140625" style="118" bestFit="1" customWidth="1"/>
    <col min="13318" max="13318" width="15.7109375" style="118" customWidth="1"/>
    <col min="13319" max="13319" width="14.42578125" style="118" bestFit="1" customWidth="1"/>
    <col min="13320" max="13320" width="15.42578125" style="118" bestFit="1" customWidth="1"/>
    <col min="13321" max="13321" width="14.140625" style="118" customWidth="1"/>
    <col min="13322" max="13322" width="13.5703125" style="118" customWidth="1"/>
    <col min="13323" max="13323" width="13" style="118" customWidth="1"/>
    <col min="13324" max="13324" width="14.140625" style="118" customWidth="1"/>
    <col min="13325" max="13326" width="13.42578125" style="118" bestFit="1" customWidth="1"/>
    <col min="13327" max="13327" width="13" style="118" bestFit="1" customWidth="1"/>
    <col min="13328" max="13328" width="17" style="118" bestFit="1" customWidth="1"/>
    <col min="13329" max="13329" width="0" style="118" hidden="1" customWidth="1"/>
    <col min="13330" max="13330" width="13.140625" style="118" customWidth="1"/>
    <col min="13331" max="13331" width="17" style="118" bestFit="1" customWidth="1"/>
    <col min="13332" max="13332" width="12.5703125" style="118" bestFit="1" customWidth="1"/>
    <col min="13333" max="13333" width="11.42578125" style="118" bestFit="1" customWidth="1"/>
    <col min="13334" max="13569" width="8.85546875" style="118"/>
    <col min="13570" max="13570" width="5.85546875" style="118" customWidth="1"/>
    <col min="13571" max="13571" width="41.28515625" style="118" customWidth="1"/>
    <col min="13572" max="13572" width="13.85546875" style="118" customWidth="1"/>
    <col min="13573" max="13573" width="14.140625" style="118" bestFit="1" customWidth="1"/>
    <col min="13574" max="13574" width="15.7109375" style="118" customWidth="1"/>
    <col min="13575" max="13575" width="14.42578125" style="118" bestFit="1" customWidth="1"/>
    <col min="13576" max="13576" width="15.42578125" style="118" bestFit="1" customWidth="1"/>
    <col min="13577" max="13577" width="14.140625" style="118" customWidth="1"/>
    <col min="13578" max="13578" width="13.5703125" style="118" customWidth="1"/>
    <col min="13579" max="13579" width="13" style="118" customWidth="1"/>
    <col min="13580" max="13580" width="14.140625" style="118" customWidth="1"/>
    <col min="13581" max="13582" width="13.42578125" style="118" bestFit="1" customWidth="1"/>
    <col min="13583" max="13583" width="13" style="118" bestFit="1" customWidth="1"/>
    <col min="13584" max="13584" width="17" style="118" bestFit="1" customWidth="1"/>
    <col min="13585" max="13585" width="0" style="118" hidden="1" customWidth="1"/>
    <col min="13586" max="13586" width="13.140625" style="118" customWidth="1"/>
    <col min="13587" max="13587" width="17" style="118" bestFit="1" customWidth="1"/>
    <col min="13588" max="13588" width="12.5703125" style="118" bestFit="1" customWidth="1"/>
    <col min="13589" max="13589" width="11.42578125" style="118" bestFit="1" customWidth="1"/>
    <col min="13590" max="13825" width="8.85546875" style="118"/>
    <col min="13826" max="13826" width="5.85546875" style="118" customWidth="1"/>
    <col min="13827" max="13827" width="41.28515625" style="118" customWidth="1"/>
    <col min="13828" max="13828" width="13.85546875" style="118" customWidth="1"/>
    <col min="13829" max="13829" width="14.140625" style="118" bestFit="1" customWidth="1"/>
    <col min="13830" max="13830" width="15.7109375" style="118" customWidth="1"/>
    <col min="13831" max="13831" width="14.42578125" style="118" bestFit="1" customWidth="1"/>
    <col min="13832" max="13832" width="15.42578125" style="118" bestFit="1" customWidth="1"/>
    <col min="13833" max="13833" width="14.140625" style="118" customWidth="1"/>
    <col min="13834" max="13834" width="13.5703125" style="118" customWidth="1"/>
    <col min="13835" max="13835" width="13" style="118" customWidth="1"/>
    <col min="13836" max="13836" width="14.140625" style="118" customWidth="1"/>
    <col min="13837" max="13838" width="13.42578125" style="118" bestFit="1" customWidth="1"/>
    <col min="13839" max="13839" width="13" style="118" bestFit="1" customWidth="1"/>
    <col min="13840" max="13840" width="17" style="118" bestFit="1" customWidth="1"/>
    <col min="13841" max="13841" width="0" style="118" hidden="1" customWidth="1"/>
    <col min="13842" max="13842" width="13.140625" style="118" customWidth="1"/>
    <col min="13843" max="13843" width="17" style="118" bestFit="1" customWidth="1"/>
    <col min="13844" max="13844" width="12.5703125" style="118" bestFit="1" customWidth="1"/>
    <col min="13845" max="13845" width="11.42578125" style="118" bestFit="1" customWidth="1"/>
    <col min="13846" max="14081" width="8.85546875" style="118"/>
    <col min="14082" max="14082" width="5.85546875" style="118" customWidth="1"/>
    <col min="14083" max="14083" width="41.28515625" style="118" customWidth="1"/>
    <col min="14084" max="14084" width="13.85546875" style="118" customWidth="1"/>
    <col min="14085" max="14085" width="14.140625" style="118" bestFit="1" customWidth="1"/>
    <col min="14086" max="14086" width="15.7109375" style="118" customWidth="1"/>
    <col min="14087" max="14087" width="14.42578125" style="118" bestFit="1" customWidth="1"/>
    <col min="14088" max="14088" width="15.42578125" style="118" bestFit="1" customWidth="1"/>
    <col min="14089" max="14089" width="14.140625" style="118" customWidth="1"/>
    <col min="14090" max="14090" width="13.5703125" style="118" customWidth="1"/>
    <col min="14091" max="14091" width="13" style="118" customWidth="1"/>
    <col min="14092" max="14092" width="14.140625" style="118" customWidth="1"/>
    <col min="14093" max="14094" width="13.42578125" style="118" bestFit="1" customWidth="1"/>
    <col min="14095" max="14095" width="13" style="118" bestFit="1" customWidth="1"/>
    <col min="14096" max="14096" width="17" style="118" bestFit="1" customWidth="1"/>
    <col min="14097" max="14097" width="0" style="118" hidden="1" customWidth="1"/>
    <col min="14098" max="14098" width="13.140625" style="118" customWidth="1"/>
    <col min="14099" max="14099" width="17" style="118" bestFit="1" customWidth="1"/>
    <col min="14100" max="14100" width="12.5703125" style="118" bestFit="1" customWidth="1"/>
    <col min="14101" max="14101" width="11.42578125" style="118" bestFit="1" customWidth="1"/>
    <col min="14102" max="14337" width="8.85546875" style="118"/>
    <col min="14338" max="14338" width="5.85546875" style="118" customWidth="1"/>
    <col min="14339" max="14339" width="41.28515625" style="118" customWidth="1"/>
    <col min="14340" max="14340" width="13.85546875" style="118" customWidth="1"/>
    <col min="14341" max="14341" width="14.140625" style="118" bestFit="1" customWidth="1"/>
    <col min="14342" max="14342" width="15.7109375" style="118" customWidth="1"/>
    <col min="14343" max="14343" width="14.42578125" style="118" bestFit="1" customWidth="1"/>
    <col min="14344" max="14344" width="15.42578125" style="118" bestFit="1" customWidth="1"/>
    <col min="14345" max="14345" width="14.140625" style="118" customWidth="1"/>
    <col min="14346" max="14346" width="13.5703125" style="118" customWidth="1"/>
    <col min="14347" max="14347" width="13" style="118" customWidth="1"/>
    <col min="14348" max="14348" width="14.140625" style="118" customWidth="1"/>
    <col min="14349" max="14350" width="13.42578125" style="118" bestFit="1" customWidth="1"/>
    <col min="14351" max="14351" width="13" style="118" bestFit="1" customWidth="1"/>
    <col min="14352" max="14352" width="17" style="118" bestFit="1" customWidth="1"/>
    <col min="14353" max="14353" width="0" style="118" hidden="1" customWidth="1"/>
    <col min="14354" max="14354" width="13.140625" style="118" customWidth="1"/>
    <col min="14355" max="14355" width="17" style="118" bestFit="1" customWidth="1"/>
    <col min="14356" max="14356" width="12.5703125" style="118" bestFit="1" customWidth="1"/>
    <col min="14357" max="14357" width="11.42578125" style="118" bestFit="1" customWidth="1"/>
    <col min="14358" max="14593" width="8.85546875" style="118"/>
    <col min="14594" max="14594" width="5.85546875" style="118" customWidth="1"/>
    <col min="14595" max="14595" width="41.28515625" style="118" customWidth="1"/>
    <col min="14596" max="14596" width="13.85546875" style="118" customWidth="1"/>
    <col min="14597" max="14597" width="14.140625" style="118" bestFit="1" customWidth="1"/>
    <col min="14598" max="14598" width="15.7109375" style="118" customWidth="1"/>
    <col min="14599" max="14599" width="14.42578125" style="118" bestFit="1" customWidth="1"/>
    <col min="14600" max="14600" width="15.42578125" style="118" bestFit="1" customWidth="1"/>
    <col min="14601" max="14601" width="14.140625" style="118" customWidth="1"/>
    <col min="14602" max="14602" width="13.5703125" style="118" customWidth="1"/>
    <col min="14603" max="14603" width="13" style="118" customWidth="1"/>
    <col min="14604" max="14604" width="14.140625" style="118" customWidth="1"/>
    <col min="14605" max="14606" width="13.42578125" style="118" bestFit="1" customWidth="1"/>
    <col min="14607" max="14607" width="13" style="118" bestFit="1" customWidth="1"/>
    <col min="14608" max="14608" width="17" style="118" bestFit="1" customWidth="1"/>
    <col min="14609" max="14609" width="0" style="118" hidden="1" customWidth="1"/>
    <col min="14610" max="14610" width="13.140625" style="118" customWidth="1"/>
    <col min="14611" max="14611" width="17" style="118" bestFit="1" customWidth="1"/>
    <col min="14612" max="14612" width="12.5703125" style="118" bestFit="1" customWidth="1"/>
    <col min="14613" max="14613" width="11.42578125" style="118" bestFit="1" customWidth="1"/>
    <col min="14614" max="14849" width="8.85546875" style="118"/>
    <col min="14850" max="14850" width="5.85546875" style="118" customWidth="1"/>
    <col min="14851" max="14851" width="41.28515625" style="118" customWidth="1"/>
    <col min="14852" max="14852" width="13.85546875" style="118" customWidth="1"/>
    <col min="14853" max="14853" width="14.140625" style="118" bestFit="1" customWidth="1"/>
    <col min="14854" max="14854" width="15.7109375" style="118" customWidth="1"/>
    <col min="14855" max="14855" width="14.42578125" style="118" bestFit="1" customWidth="1"/>
    <col min="14856" max="14856" width="15.42578125" style="118" bestFit="1" customWidth="1"/>
    <col min="14857" max="14857" width="14.140625" style="118" customWidth="1"/>
    <col min="14858" max="14858" width="13.5703125" style="118" customWidth="1"/>
    <col min="14859" max="14859" width="13" style="118" customWidth="1"/>
    <col min="14860" max="14860" width="14.140625" style="118" customWidth="1"/>
    <col min="14861" max="14862" width="13.42578125" style="118" bestFit="1" customWidth="1"/>
    <col min="14863" max="14863" width="13" style="118" bestFit="1" customWidth="1"/>
    <col min="14864" max="14864" width="17" style="118" bestFit="1" customWidth="1"/>
    <col min="14865" max="14865" width="0" style="118" hidden="1" customWidth="1"/>
    <col min="14866" max="14866" width="13.140625" style="118" customWidth="1"/>
    <col min="14867" max="14867" width="17" style="118" bestFit="1" customWidth="1"/>
    <col min="14868" max="14868" width="12.5703125" style="118" bestFit="1" customWidth="1"/>
    <col min="14869" max="14869" width="11.42578125" style="118" bestFit="1" customWidth="1"/>
    <col min="14870" max="15105" width="8.85546875" style="118"/>
    <col min="15106" max="15106" width="5.85546875" style="118" customWidth="1"/>
    <col min="15107" max="15107" width="41.28515625" style="118" customWidth="1"/>
    <col min="15108" max="15108" width="13.85546875" style="118" customWidth="1"/>
    <col min="15109" max="15109" width="14.140625" style="118" bestFit="1" customWidth="1"/>
    <col min="15110" max="15110" width="15.7109375" style="118" customWidth="1"/>
    <col min="15111" max="15111" width="14.42578125" style="118" bestFit="1" customWidth="1"/>
    <col min="15112" max="15112" width="15.42578125" style="118" bestFit="1" customWidth="1"/>
    <col min="15113" max="15113" width="14.140625" style="118" customWidth="1"/>
    <col min="15114" max="15114" width="13.5703125" style="118" customWidth="1"/>
    <col min="15115" max="15115" width="13" style="118" customWidth="1"/>
    <col min="15116" max="15116" width="14.140625" style="118" customWidth="1"/>
    <col min="15117" max="15118" width="13.42578125" style="118" bestFit="1" customWidth="1"/>
    <col min="15119" max="15119" width="13" style="118" bestFit="1" customWidth="1"/>
    <col min="15120" max="15120" width="17" style="118" bestFit="1" customWidth="1"/>
    <col min="15121" max="15121" width="0" style="118" hidden="1" customWidth="1"/>
    <col min="15122" max="15122" width="13.140625" style="118" customWidth="1"/>
    <col min="15123" max="15123" width="17" style="118" bestFit="1" customWidth="1"/>
    <col min="15124" max="15124" width="12.5703125" style="118" bestFit="1" customWidth="1"/>
    <col min="15125" max="15125" width="11.42578125" style="118" bestFit="1" customWidth="1"/>
    <col min="15126" max="15361" width="8.85546875" style="118"/>
    <col min="15362" max="15362" width="5.85546875" style="118" customWidth="1"/>
    <col min="15363" max="15363" width="41.28515625" style="118" customWidth="1"/>
    <col min="15364" max="15364" width="13.85546875" style="118" customWidth="1"/>
    <col min="15365" max="15365" width="14.140625" style="118" bestFit="1" customWidth="1"/>
    <col min="15366" max="15366" width="15.7109375" style="118" customWidth="1"/>
    <col min="15367" max="15367" width="14.42578125" style="118" bestFit="1" customWidth="1"/>
    <col min="15368" max="15368" width="15.42578125" style="118" bestFit="1" customWidth="1"/>
    <col min="15369" max="15369" width="14.140625" style="118" customWidth="1"/>
    <col min="15370" max="15370" width="13.5703125" style="118" customWidth="1"/>
    <col min="15371" max="15371" width="13" style="118" customWidth="1"/>
    <col min="15372" max="15372" width="14.140625" style="118" customWidth="1"/>
    <col min="15373" max="15374" width="13.42578125" style="118" bestFit="1" customWidth="1"/>
    <col min="15375" max="15375" width="13" style="118" bestFit="1" customWidth="1"/>
    <col min="15376" max="15376" width="17" style="118" bestFit="1" customWidth="1"/>
    <col min="15377" max="15377" width="0" style="118" hidden="1" customWidth="1"/>
    <col min="15378" max="15378" width="13.140625" style="118" customWidth="1"/>
    <col min="15379" max="15379" width="17" style="118" bestFit="1" customWidth="1"/>
    <col min="15380" max="15380" width="12.5703125" style="118" bestFit="1" customWidth="1"/>
    <col min="15381" max="15381" width="11.42578125" style="118" bestFit="1" customWidth="1"/>
    <col min="15382" max="15617" width="8.85546875" style="118"/>
    <col min="15618" max="15618" width="5.85546875" style="118" customWidth="1"/>
    <col min="15619" max="15619" width="41.28515625" style="118" customWidth="1"/>
    <col min="15620" max="15620" width="13.85546875" style="118" customWidth="1"/>
    <col min="15621" max="15621" width="14.140625" style="118" bestFit="1" customWidth="1"/>
    <col min="15622" max="15622" width="15.7109375" style="118" customWidth="1"/>
    <col min="15623" max="15623" width="14.42578125" style="118" bestFit="1" customWidth="1"/>
    <col min="15624" max="15624" width="15.42578125" style="118" bestFit="1" customWidth="1"/>
    <col min="15625" max="15625" width="14.140625" style="118" customWidth="1"/>
    <col min="15626" max="15626" width="13.5703125" style="118" customWidth="1"/>
    <col min="15627" max="15627" width="13" style="118" customWidth="1"/>
    <col min="15628" max="15628" width="14.140625" style="118" customWidth="1"/>
    <col min="15629" max="15630" width="13.42578125" style="118" bestFit="1" customWidth="1"/>
    <col min="15631" max="15631" width="13" style="118" bestFit="1" customWidth="1"/>
    <col min="15632" max="15632" width="17" style="118" bestFit="1" customWidth="1"/>
    <col min="15633" max="15633" width="0" style="118" hidden="1" customWidth="1"/>
    <col min="15634" max="15634" width="13.140625" style="118" customWidth="1"/>
    <col min="15635" max="15635" width="17" style="118" bestFit="1" customWidth="1"/>
    <col min="15636" max="15636" width="12.5703125" style="118" bestFit="1" customWidth="1"/>
    <col min="15637" max="15637" width="11.42578125" style="118" bestFit="1" customWidth="1"/>
    <col min="15638" max="15873" width="8.85546875" style="118"/>
    <col min="15874" max="15874" width="5.85546875" style="118" customWidth="1"/>
    <col min="15875" max="15875" width="41.28515625" style="118" customWidth="1"/>
    <col min="15876" max="15876" width="13.85546875" style="118" customWidth="1"/>
    <col min="15877" max="15877" width="14.140625" style="118" bestFit="1" customWidth="1"/>
    <col min="15878" max="15878" width="15.7109375" style="118" customWidth="1"/>
    <col min="15879" max="15879" width="14.42578125" style="118" bestFit="1" customWidth="1"/>
    <col min="15880" max="15880" width="15.42578125" style="118" bestFit="1" customWidth="1"/>
    <col min="15881" max="15881" width="14.140625" style="118" customWidth="1"/>
    <col min="15882" max="15882" width="13.5703125" style="118" customWidth="1"/>
    <col min="15883" max="15883" width="13" style="118" customWidth="1"/>
    <col min="15884" max="15884" width="14.140625" style="118" customWidth="1"/>
    <col min="15885" max="15886" width="13.42578125" style="118" bestFit="1" customWidth="1"/>
    <col min="15887" max="15887" width="13" style="118" bestFit="1" customWidth="1"/>
    <col min="15888" max="15888" width="17" style="118" bestFit="1" customWidth="1"/>
    <col min="15889" max="15889" width="0" style="118" hidden="1" customWidth="1"/>
    <col min="15890" max="15890" width="13.140625" style="118" customWidth="1"/>
    <col min="15891" max="15891" width="17" style="118" bestFit="1" customWidth="1"/>
    <col min="15892" max="15892" width="12.5703125" style="118" bestFit="1" customWidth="1"/>
    <col min="15893" max="15893" width="11.42578125" style="118" bestFit="1" customWidth="1"/>
    <col min="15894" max="16129" width="8.85546875" style="118"/>
    <col min="16130" max="16130" width="5.85546875" style="118" customWidth="1"/>
    <col min="16131" max="16131" width="41.28515625" style="118" customWidth="1"/>
    <col min="16132" max="16132" width="13.85546875" style="118" customWidth="1"/>
    <col min="16133" max="16133" width="14.140625" style="118" bestFit="1" customWidth="1"/>
    <col min="16134" max="16134" width="15.7109375" style="118" customWidth="1"/>
    <col min="16135" max="16135" width="14.42578125" style="118" bestFit="1" customWidth="1"/>
    <col min="16136" max="16136" width="15.42578125" style="118" bestFit="1" customWidth="1"/>
    <col min="16137" max="16137" width="14.140625" style="118" customWidth="1"/>
    <col min="16138" max="16138" width="13.5703125" style="118" customWidth="1"/>
    <col min="16139" max="16139" width="13" style="118" customWidth="1"/>
    <col min="16140" max="16140" width="14.140625" style="118" customWidth="1"/>
    <col min="16141" max="16142" width="13.42578125" style="118" bestFit="1" customWidth="1"/>
    <col min="16143" max="16143" width="13" style="118" bestFit="1" customWidth="1"/>
    <col min="16144" max="16144" width="17" style="118" bestFit="1" customWidth="1"/>
    <col min="16145" max="16145" width="0" style="118" hidden="1" customWidth="1"/>
    <col min="16146" max="16146" width="13.140625" style="118" customWidth="1"/>
    <col min="16147" max="16147" width="17" style="118" bestFit="1" customWidth="1"/>
    <col min="16148" max="16148" width="12.5703125" style="118" bestFit="1" customWidth="1"/>
    <col min="16149" max="16149" width="11.42578125" style="118" bestFit="1" customWidth="1"/>
    <col min="16150" max="16384" width="8.85546875" style="118"/>
  </cols>
  <sheetData>
    <row r="1" spans="1:21" ht="18.75" x14ac:dyDescent="0.3">
      <c r="A1" s="142">
        <v>6</v>
      </c>
      <c r="B1" s="143" t="s">
        <v>416</v>
      </c>
      <c r="C1" s="144"/>
      <c r="D1" s="144"/>
      <c r="E1" s="144"/>
      <c r="F1" s="144"/>
      <c r="G1" s="144"/>
      <c r="H1" s="144"/>
      <c r="I1" s="145"/>
      <c r="J1" s="145"/>
      <c r="K1" s="145"/>
      <c r="L1" s="144"/>
      <c r="M1" s="146"/>
      <c r="N1" s="146"/>
      <c r="O1" s="146"/>
      <c r="P1" s="146"/>
      <c r="Q1" s="146"/>
      <c r="R1" s="146"/>
      <c r="S1" s="146"/>
    </row>
    <row r="2" spans="1:21" ht="9.75" customHeight="1" x14ac:dyDescent="0.3">
      <c r="A2" s="144"/>
      <c r="B2" s="144"/>
      <c r="C2" s="144"/>
      <c r="D2" s="144"/>
      <c r="E2" s="147"/>
      <c r="F2" s="147"/>
      <c r="G2" s="146"/>
      <c r="H2" s="146"/>
      <c r="I2" s="146"/>
      <c r="J2" s="146"/>
      <c r="K2" s="146"/>
      <c r="L2" s="144"/>
      <c r="M2" s="146"/>
      <c r="N2" s="146"/>
      <c r="O2" s="146"/>
      <c r="P2" s="146"/>
      <c r="Q2" s="146"/>
      <c r="R2" s="146"/>
      <c r="S2" s="146"/>
    </row>
    <row r="3" spans="1:21" ht="18" x14ac:dyDescent="0.25">
      <c r="A3" s="148">
        <f>A1+0.1</f>
        <v>6.1</v>
      </c>
      <c r="B3" s="149" t="s">
        <v>417</v>
      </c>
      <c r="C3" s="144"/>
      <c r="D3" s="144"/>
      <c r="E3" s="150"/>
      <c r="F3" s="150"/>
      <c r="G3" s="150"/>
      <c r="H3" s="150"/>
      <c r="I3" s="144"/>
      <c r="J3" s="144"/>
      <c r="K3" s="144"/>
      <c r="L3" s="144"/>
      <c r="M3" s="146"/>
      <c r="N3" s="146"/>
      <c r="O3" s="146"/>
      <c r="P3" s="146"/>
      <c r="Q3" s="146"/>
      <c r="R3" s="146"/>
      <c r="S3" s="146"/>
    </row>
    <row r="4" spans="1:21" x14ac:dyDescent="0.2">
      <c r="A4" s="151"/>
      <c r="B4" s="152"/>
      <c r="C4" s="140"/>
      <c r="D4" s="140"/>
      <c r="E4" s="153"/>
      <c r="F4" s="153"/>
      <c r="G4" s="153"/>
      <c r="H4" s="153"/>
      <c r="I4" s="140"/>
      <c r="J4" s="140"/>
      <c r="K4" s="140"/>
      <c r="L4" s="140"/>
    </row>
    <row r="5" spans="1:21" ht="14.25" x14ac:dyDescent="0.2">
      <c r="A5" s="151"/>
      <c r="B5" s="122" t="s">
        <v>418</v>
      </c>
      <c r="C5" s="140"/>
      <c r="D5" s="140"/>
      <c r="E5" s="153"/>
      <c r="F5" s="153"/>
      <c r="G5" s="153"/>
      <c r="H5" s="153"/>
      <c r="I5" s="140"/>
      <c r="J5" s="140"/>
      <c r="K5" s="140"/>
      <c r="L5" s="140"/>
    </row>
    <row r="6" spans="1:21" ht="13.5" thickBot="1" x14ac:dyDescent="0.25">
      <c r="A6" s="151"/>
      <c r="B6" s="140"/>
      <c r="C6" s="140"/>
      <c r="D6" s="140"/>
      <c r="E6" s="153"/>
      <c r="F6" s="153"/>
      <c r="G6" s="153"/>
      <c r="H6" s="153"/>
      <c r="I6" s="140"/>
      <c r="J6" s="140"/>
      <c r="K6" s="140"/>
      <c r="L6" s="140"/>
    </row>
    <row r="7" spans="1:21" ht="56.45" customHeight="1" thickBot="1" x14ac:dyDescent="0.25">
      <c r="A7" s="140"/>
      <c r="B7" s="154"/>
      <c r="C7" s="155" t="s">
        <v>419</v>
      </c>
      <c r="D7" s="155" t="s">
        <v>420</v>
      </c>
      <c r="E7" s="155" t="s">
        <v>421</v>
      </c>
      <c r="F7" s="155" t="s">
        <v>422</v>
      </c>
      <c r="G7" s="155" t="s">
        <v>423</v>
      </c>
      <c r="H7" s="155" t="s">
        <v>461</v>
      </c>
      <c r="I7" s="155" t="s">
        <v>425</v>
      </c>
      <c r="J7" s="155" t="s">
        <v>426</v>
      </c>
      <c r="K7" s="155" t="s">
        <v>427</v>
      </c>
      <c r="L7" s="155" t="s">
        <v>428</v>
      </c>
      <c r="M7" s="155" t="s">
        <v>429</v>
      </c>
      <c r="N7" s="155" t="s">
        <v>430</v>
      </c>
      <c r="O7" s="155" t="s">
        <v>431</v>
      </c>
      <c r="P7" s="155" t="s">
        <v>432</v>
      </c>
      <c r="Q7" s="155" t="s">
        <v>433</v>
      </c>
      <c r="R7" s="155" t="s">
        <v>434</v>
      </c>
      <c r="S7" s="156" t="s">
        <v>3</v>
      </c>
    </row>
    <row r="8" spans="1:21" x14ac:dyDescent="0.2">
      <c r="A8" s="140"/>
      <c r="B8" s="140"/>
      <c r="C8" s="209" t="s">
        <v>435</v>
      </c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</row>
    <row r="9" spans="1:21" s="139" customFormat="1" ht="15" hidden="1" customHeight="1" x14ac:dyDescent="0.25">
      <c r="A9" s="122"/>
      <c r="B9" s="157" t="s">
        <v>436</v>
      </c>
      <c r="C9" s="122"/>
      <c r="D9" s="122"/>
      <c r="E9" s="122"/>
      <c r="F9" s="122"/>
      <c r="G9" s="122"/>
      <c r="H9" s="122"/>
      <c r="I9" s="158"/>
      <c r="J9" s="158"/>
      <c r="K9" s="122"/>
      <c r="L9" s="158"/>
    </row>
    <row r="10" spans="1:21" s="139" customFormat="1" ht="15" hidden="1" customHeight="1" x14ac:dyDescent="0.2">
      <c r="A10" s="122"/>
      <c r="B10" s="122"/>
      <c r="C10" s="122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</row>
    <row r="11" spans="1:21" s="139" customFormat="1" ht="15" hidden="1" customHeight="1" x14ac:dyDescent="0.2">
      <c r="A11" s="122"/>
      <c r="B11" s="128" t="s">
        <v>414</v>
      </c>
      <c r="C11" s="159">
        <v>466666</v>
      </c>
      <c r="D11" s="159">
        <v>30936638</v>
      </c>
      <c r="E11" s="159">
        <v>1574020</v>
      </c>
      <c r="F11" s="159">
        <v>1544550</v>
      </c>
      <c r="G11" s="159">
        <v>1386995</v>
      </c>
      <c r="H11" s="159"/>
      <c r="I11" s="159">
        <v>194222</v>
      </c>
      <c r="J11" s="159">
        <v>1725000</v>
      </c>
      <c r="K11" s="159">
        <v>439400</v>
      </c>
      <c r="L11" s="159">
        <v>629181</v>
      </c>
      <c r="M11" s="159">
        <v>54180</v>
      </c>
      <c r="N11" s="159">
        <v>2100</v>
      </c>
      <c r="O11" s="159">
        <v>50500</v>
      </c>
      <c r="P11" s="159">
        <v>19420360</v>
      </c>
      <c r="Q11" s="159">
        <v>0</v>
      </c>
      <c r="R11" s="159">
        <v>443146</v>
      </c>
      <c r="S11" s="159">
        <f>SUM(C11:R11)</f>
        <v>58866958</v>
      </c>
    </row>
    <row r="12" spans="1:21" s="139" customFormat="1" ht="15" hidden="1" customHeight="1" x14ac:dyDescent="0.2">
      <c r="A12" s="122"/>
      <c r="B12" s="128"/>
      <c r="C12" s="159"/>
      <c r="D12" s="160"/>
      <c r="E12" s="160"/>
      <c r="F12" s="159"/>
      <c r="G12" s="159"/>
      <c r="H12" s="159"/>
      <c r="I12" s="159"/>
      <c r="J12" s="161"/>
      <c r="K12" s="161"/>
      <c r="L12" s="159"/>
      <c r="M12" s="161"/>
      <c r="N12" s="159"/>
      <c r="O12" s="159"/>
      <c r="P12" s="159"/>
      <c r="Q12" s="159"/>
      <c r="R12" s="159"/>
      <c r="S12" s="159"/>
    </row>
    <row r="13" spans="1:21" s="139" customFormat="1" ht="15" hidden="1" customHeight="1" x14ac:dyDescent="0.2">
      <c r="A13" s="122"/>
      <c r="B13" s="128" t="s">
        <v>410</v>
      </c>
      <c r="C13" s="159">
        <v>0</v>
      </c>
      <c r="D13" s="159">
        <v>24877644</v>
      </c>
      <c r="E13" s="159">
        <v>598857</v>
      </c>
      <c r="F13" s="159">
        <v>1294656</v>
      </c>
      <c r="G13" s="159">
        <v>448667</v>
      </c>
      <c r="H13" s="159"/>
      <c r="I13" s="159">
        <v>91234</v>
      </c>
      <c r="J13" s="159">
        <v>1509977</v>
      </c>
      <c r="K13" s="159">
        <v>290461</v>
      </c>
      <c r="L13" s="159">
        <v>332160</v>
      </c>
      <c r="M13" s="159">
        <v>30846</v>
      </c>
      <c r="N13" s="159">
        <v>1250</v>
      </c>
      <c r="O13" s="159">
        <v>27635</v>
      </c>
      <c r="P13" s="159">
        <v>13731418</v>
      </c>
      <c r="Q13" s="159">
        <v>0</v>
      </c>
      <c r="R13" s="159">
        <v>387908</v>
      </c>
      <c r="S13" s="159">
        <f>SUM(C13:R13)</f>
        <v>43622713</v>
      </c>
    </row>
    <row r="14" spans="1:21" s="139" customFormat="1" ht="15" hidden="1" customHeight="1" x14ac:dyDescent="0.2">
      <c r="A14" s="122"/>
      <c r="B14" s="128" t="s">
        <v>437</v>
      </c>
      <c r="C14" s="134">
        <f t="shared" ref="C14:S14" si="0">C11-C13</f>
        <v>466666</v>
      </c>
      <c r="D14" s="134">
        <f t="shared" si="0"/>
        <v>6058994</v>
      </c>
      <c r="E14" s="134">
        <f t="shared" si="0"/>
        <v>975163</v>
      </c>
      <c r="F14" s="134">
        <f t="shared" si="0"/>
        <v>249894</v>
      </c>
      <c r="G14" s="134">
        <f t="shared" si="0"/>
        <v>938328</v>
      </c>
      <c r="H14" s="134"/>
      <c r="I14" s="134">
        <f t="shared" si="0"/>
        <v>102988</v>
      </c>
      <c r="J14" s="134">
        <f t="shared" si="0"/>
        <v>215023</v>
      </c>
      <c r="K14" s="134">
        <f t="shared" si="0"/>
        <v>148939</v>
      </c>
      <c r="L14" s="134">
        <f t="shared" si="0"/>
        <v>297021</v>
      </c>
      <c r="M14" s="134">
        <f t="shared" si="0"/>
        <v>23334</v>
      </c>
      <c r="N14" s="134">
        <f t="shared" si="0"/>
        <v>850</v>
      </c>
      <c r="O14" s="134">
        <f t="shared" si="0"/>
        <v>22865</v>
      </c>
      <c r="P14" s="134">
        <f t="shared" si="0"/>
        <v>5688942</v>
      </c>
      <c r="Q14" s="134">
        <f t="shared" si="0"/>
        <v>0</v>
      </c>
      <c r="R14" s="134">
        <f t="shared" si="0"/>
        <v>55238</v>
      </c>
      <c r="S14" s="134">
        <f t="shared" si="0"/>
        <v>15244245</v>
      </c>
    </row>
    <row r="15" spans="1:21" s="139" customFormat="1" ht="15" hidden="1" customHeight="1" x14ac:dyDescent="0.2">
      <c r="A15" s="122"/>
      <c r="B15" s="128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</row>
    <row r="16" spans="1:21" s="139" customFormat="1" ht="15" hidden="1" customHeight="1" x14ac:dyDescent="0.2">
      <c r="A16" s="122"/>
      <c r="B16" s="128" t="s">
        <v>438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59"/>
      <c r="T16" s="133"/>
      <c r="U16" s="133"/>
    </row>
    <row r="17" spans="1:23" s="139" customFormat="1" ht="15" customHeight="1" x14ac:dyDescent="0.2">
      <c r="A17" s="122"/>
      <c r="B17" s="128"/>
      <c r="C17" s="122"/>
      <c r="D17" s="122"/>
      <c r="E17" s="122"/>
      <c r="F17" s="122"/>
      <c r="G17" s="122"/>
      <c r="H17" s="122"/>
      <c r="I17" s="158"/>
      <c r="J17" s="158"/>
      <c r="K17" s="122"/>
      <c r="L17" s="158"/>
      <c r="U17" s="162"/>
    </row>
    <row r="18" spans="1:23" s="139" customFormat="1" ht="15" customHeight="1" x14ac:dyDescent="0.2">
      <c r="A18" s="122"/>
      <c r="B18" s="121" t="s">
        <v>439</v>
      </c>
      <c r="C18" s="122"/>
      <c r="D18" s="122"/>
      <c r="E18" s="122"/>
      <c r="F18" s="122"/>
      <c r="G18" s="122"/>
      <c r="H18" s="122"/>
      <c r="I18" s="158"/>
      <c r="J18" s="158"/>
      <c r="K18" s="122"/>
      <c r="L18" s="158"/>
    </row>
    <row r="19" spans="1:23" s="139" customFormat="1" ht="15" hidden="1" customHeight="1" x14ac:dyDescent="0.2">
      <c r="A19" s="122"/>
      <c r="B19" s="121"/>
      <c r="C19" s="122"/>
      <c r="D19" s="122"/>
      <c r="E19" s="122"/>
      <c r="F19" s="122"/>
      <c r="G19" s="122"/>
      <c r="H19" s="122"/>
      <c r="I19" s="158"/>
      <c r="J19" s="158"/>
      <c r="K19" s="122"/>
      <c r="L19" s="158"/>
    </row>
    <row r="20" spans="1:23" s="139" customFormat="1" ht="15" customHeight="1" x14ac:dyDescent="0.2">
      <c r="A20" s="122"/>
      <c r="B20" s="128" t="s">
        <v>440</v>
      </c>
      <c r="C20" s="129">
        <v>466666</v>
      </c>
      <c r="D20" s="129">
        <v>6058994</v>
      </c>
      <c r="E20" s="129">
        <v>975163</v>
      </c>
      <c r="F20" s="129">
        <v>249894</v>
      </c>
      <c r="G20" s="129">
        <v>938328</v>
      </c>
      <c r="H20" s="130">
        <v>0</v>
      </c>
      <c r="I20" s="129">
        <v>102988</v>
      </c>
      <c r="J20" s="129">
        <v>215023</v>
      </c>
      <c r="K20" s="129">
        <v>148939</v>
      </c>
      <c r="L20" s="129">
        <v>297021</v>
      </c>
      <c r="M20" s="129">
        <v>23334</v>
      </c>
      <c r="N20" s="129">
        <v>850</v>
      </c>
      <c r="O20" s="129">
        <v>22865</v>
      </c>
      <c r="P20" s="129">
        <v>5688942</v>
      </c>
      <c r="Q20" s="129">
        <v>0</v>
      </c>
      <c r="R20" s="129">
        <v>55238</v>
      </c>
      <c r="S20" s="129">
        <f>SUM(C20:R20)</f>
        <v>15244245</v>
      </c>
    </row>
    <row r="21" spans="1:23" s="139" customFormat="1" ht="15" customHeight="1" x14ac:dyDescent="0.2">
      <c r="A21" s="122"/>
      <c r="B21" s="132" t="s">
        <v>408</v>
      </c>
      <c r="C21" s="163">
        <v>0</v>
      </c>
      <c r="D21" s="163">
        <v>0</v>
      </c>
      <c r="E21" s="163">
        <v>313500</v>
      </c>
      <c r="F21" s="163">
        <v>0</v>
      </c>
      <c r="G21" s="163">
        <v>0</v>
      </c>
      <c r="H21" s="163"/>
      <c r="I21" s="163">
        <v>0</v>
      </c>
      <c r="J21" s="163">
        <v>0</v>
      </c>
      <c r="K21" s="163">
        <v>0</v>
      </c>
      <c r="L21" s="163">
        <v>0</v>
      </c>
      <c r="M21" s="163">
        <v>0</v>
      </c>
      <c r="N21" s="163">
        <v>0</v>
      </c>
      <c r="O21" s="163">
        <v>0</v>
      </c>
      <c r="P21" s="163">
        <v>0</v>
      </c>
      <c r="Q21" s="163">
        <v>0</v>
      </c>
      <c r="R21" s="163">
        <v>0</v>
      </c>
      <c r="S21" s="129">
        <f>SUM(C21:R21)</f>
        <v>313500</v>
      </c>
    </row>
    <row r="22" spans="1:23" s="139" customFormat="1" ht="15" customHeight="1" x14ac:dyDescent="0.2">
      <c r="A22" s="122"/>
      <c r="B22" s="210" t="s">
        <v>409</v>
      </c>
      <c r="C22" s="164">
        <v>0</v>
      </c>
      <c r="D22" s="160">
        <v>605900</v>
      </c>
      <c r="E22" s="160">
        <v>100129</v>
      </c>
      <c r="F22" s="159">
        <v>37484</v>
      </c>
      <c r="G22" s="159">
        <v>140749</v>
      </c>
      <c r="H22" s="130">
        <v>0</v>
      </c>
      <c r="I22" s="161">
        <v>30896</v>
      </c>
      <c r="J22" s="161">
        <v>21502</v>
      </c>
      <c r="K22" s="159">
        <v>22341</v>
      </c>
      <c r="L22" s="161">
        <v>44553</v>
      </c>
      <c r="M22" s="159">
        <v>3500</v>
      </c>
      <c r="N22" s="159">
        <v>127</v>
      </c>
      <c r="O22" s="159">
        <v>3430</v>
      </c>
      <c r="P22" s="159">
        <v>1137788</v>
      </c>
      <c r="Q22" s="159"/>
      <c r="R22" s="159">
        <v>5524</v>
      </c>
      <c r="S22" s="129">
        <f>SUM(C22:R22)</f>
        <v>2153923</v>
      </c>
    </row>
    <row r="23" spans="1:23" s="139" customFormat="1" ht="15" customHeight="1" x14ac:dyDescent="0.2">
      <c r="A23" s="122"/>
      <c r="B23" s="210"/>
      <c r="C23" s="159"/>
      <c r="D23" s="160"/>
      <c r="E23" s="160"/>
      <c r="F23" s="159"/>
      <c r="G23" s="159"/>
      <c r="H23" s="159"/>
      <c r="I23" s="161"/>
      <c r="J23" s="161"/>
      <c r="K23" s="159"/>
      <c r="L23" s="161"/>
      <c r="M23" s="159"/>
      <c r="N23" s="159"/>
      <c r="O23" s="159"/>
      <c r="P23" s="159"/>
      <c r="Q23" s="159"/>
      <c r="R23" s="159"/>
      <c r="S23" s="129"/>
      <c r="T23" s="133"/>
    </row>
    <row r="24" spans="1:23" s="139" customFormat="1" ht="15" customHeight="1" thickBot="1" x14ac:dyDescent="0.25">
      <c r="A24" s="122"/>
      <c r="B24" s="128" t="s">
        <v>441</v>
      </c>
      <c r="C24" s="134">
        <f t="shared" ref="C24:S24" si="1">C20+C21-C22</f>
        <v>466666</v>
      </c>
      <c r="D24" s="134">
        <f t="shared" si="1"/>
        <v>5453094</v>
      </c>
      <c r="E24" s="134">
        <f t="shared" si="1"/>
        <v>1188534</v>
      </c>
      <c r="F24" s="134">
        <f t="shared" si="1"/>
        <v>212410</v>
      </c>
      <c r="G24" s="134">
        <f t="shared" si="1"/>
        <v>797579</v>
      </c>
      <c r="H24" s="134"/>
      <c r="I24" s="134">
        <f>I20+I21-I22</f>
        <v>72092</v>
      </c>
      <c r="J24" s="134">
        <f t="shared" si="1"/>
        <v>193521</v>
      </c>
      <c r="K24" s="134">
        <f t="shared" si="1"/>
        <v>126598</v>
      </c>
      <c r="L24" s="134">
        <f t="shared" si="1"/>
        <v>252468</v>
      </c>
      <c r="M24" s="134">
        <f t="shared" si="1"/>
        <v>19834</v>
      </c>
      <c r="N24" s="134">
        <f t="shared" si="1"/>
        <v>723</v>
      </c>
      <c r="O24" s="134">
        <f t="shared" si="1"/>
        <v>19435</v>
      </c>
      <c r="P24" s="134">
        <f t="shared" si="1"/>
        <v>4551154</v>
      </c>
      <c r="Q24" s="134">
        <f t="shared" si="1"/>
        <v>0</v>
      </c>
      <c r="R24" s="134">
        <f t="shared" si="1"/>
        <v>49714</v>
      </c>
      <c r="S24" s="134">
        <f t="shared" si="1"/>
        <v>13403822</v>
      </c>
    </row>
    <row r="25" spans="1:23" s="139" customFormat="1" ht="15" customHeight="1" thickTop="1" x14ac:dyDescent="0.2">
      <c r="A25" s="122"/>
      <c r="B25" s="128"/>
      <c r="C25" s="122"/>
      <c r="D25" s="122"/>
      <c r="E25" s="122"/>
      <c r="F25" s="122"/>
      <c r="G25" s="122"/>
      <c r="H25" s="122"/>
      <c r="I25" s="158"/>
      <c r="J25" s="158"/>
      <c r="K25" s="122"/>
      <c r="L25" s="158"/>
      <c r="S25" s="165"/>
    </row>
    <row r="26" spans="1:23" s="139" customFormat="1" ht="15" customHeight="1" x14ac:dyDescent="0.2">
      <c r="A26" s="122"/>
      <c r="B26" s="121" t="s">
        <v>442</v>
      </c>
      <c r="C26" s="122"/>
      <c r="D26" s="122"/>
      <c r="E26" s="123"/>
      <c r="F26" s="124"/>
      <c r="G26" s="124"/>
      <c r="H26" s="124"/>
      <c r="I26" s="125"/>
      <c r="J26" s="126"/>
      <c r="K26" s="124"/>
      <c r="L26" s="126"/>
      <c r="M26" s="127"/>
      <c r="N26" s="123"/>
      <c r="O26" s="127"/>
      <c r="P26" s="123"/>
      <c r="Q26" s="127"/>
      <c r="R26" s="127"/>
      <c r="S26" s="123"/>
      <c r="T26" s="127"/>
      <c r="U26" s="127"/>
      <c r="V26" s="127"/>
      <c r="W26" s="127"/>
    </row>
    <row r="27" spans="1:23" s="139" customFormat="1" ht="15" customHeight="1" x14ac:dyDescent="0.2">
      <c r="A27" s="122"/>
      <c r="B27" s="128" t="s">
        <v>414</v>
      </c>
      <c r="C27" s="129">
        <v>466666</v>
      </c>
      <c r="D27" s="129">
        <v>30936638</v>
      </c>
      <c r="E27" s="129">
        <v>1887520</v>
      </c>
      <c r="F27" s="129">
        <v>1544550</v>
      </c>
      <c r="G27" s="129">
        <v>1386995</v>
      </c>
      <c r="H27" s="130">
        <v>0</v>
      </c>
      <c r="I27" s="129">
        <v>194222</v>
      </c>
      <c r="J27" s="129">
        <v>1725000</v>
      </c>
      <c r="K27" s="129">
        <v>439400</v>
      </c>
      <c r="L27" s="129">
        <v>629181</v>
      </c>
      <c r="M27" s="129">
        <v>54180</v>
      </c>
      <c r="N27" s="129">
        <v>2100</v>
      </c>
      <c r="O27" s="129">
        <v>50500</v>
      </c>
      <c r="P27" s="129">
        <v>19420360</v>
      </c>
      <c r="Q27" s="129">
        <v>0</v>
      </c>
      <c r="R27" s="129">
        <v>443146</v>
      </c>
      <c r="S27" s="131">
        <f>SUM(C27:R27)</f>
        <v>59180458</v>
      </c>
      <c r="T27" s="127"/>
      <c r="U27" s="127"/>
      <c r="V27" s="127"/>
      <c r="W27" s="127"/>
    </row>
    <row r="28" spans="1:23" s="139" customFormat="1" ht="15" customHeight="1" x14ac:dyDescent="0.2">
      <c r="A28" s="122"/>
      <c r="B28" s="128" t="s">
        <v>410</v>
      </c>
      <c r="C28" s="129">
        <f t="shared" ref="C28:R28" si="2">C13+C22</f>
        <v>0</v>
      </c>
      <c r="D28" s="129">
        <f t="shared" si="2"/>
        <v>25483544</v>
      </c>
      <c r="E28" s="129">
        <f t="shared" si="2"/>
        <v>698986</v>
      </c>
      <c r="F28" s="129">
        <f t="shared" si="2"/>
        <v>1332140</v>
      </c>
      <c r="G28" s="129">
        <f t="shared" si="2"/>
        <v>589416</v>
      </c>
      <c r="H28" s="130">
        <v>0</v>
      </c>
      <c r="I28" s="129">
        <f t="shared" si="2"/>
        <v>122130</v>
      </c>
      <c r="J28" s="129">
        <f t="shared" si="2"/>
        <v>1531479</v>
      </c>
      <c r="K28" s="129">
        <f t="shared" si="2"/>
        <v>312802</v>
      </c>
      <c r="L28" s="129">
        <f t="shared" si="2"/>
        <v>376713</v>
      </c>
      <c r="M28" s="129">
        <f t="shared" si="2"/>
        <v>34346</v>
      </c>
      <c r="N28" s="129">
        <f t="shared" si="2"/>
        <v>1377</v>
      </c>
      <c r="O28" s="129">
        <f t="shared" si="2"/>
        <v>31065</v>
      </c>
      <c r="P28" s="129">
        <f t="shared" si="2"/>
        <v>14869206</v>
      </c>
      <c r="Q28" s="129">
        <f t="shared" si="2"/>
        <v>0</v>
      </c>
      <c r="R28" s="129">
        <f t="shared" si="2"/>
        <v>393432</v>
      </c>
      <c r="S28" s="133">
        <f>SUM(C28:R28)</f>
        <v>45776636</v>
      </c>
    </row>
    <row r="29" spans="1:23" s="139" customFormat="1" ht="15" customHeight="1" thickBot="1" x14ac:dyDescent="0.25">
      <c r="A29" s="122"/>
      <c r="B29" s="128" t="s">
        <v>411</v>
      </c>
      <c r="C29" s="134">
        <f t="shared" ref="C29:S29" si="3">C27-C28</f>
        <v>466666</v>
      </c>
      <c r="D29" s="134">
        <f t="shared" si="3"/>
        <v>5453094</v>
      </c>
      <c r="E29" s="134">
        <f t="shared" si="3"/>
        <v>1188534</v>
      </c>
      <c r="F29" s="134">
        <f t="shared" si="3"/>
        <v>212410</v>
      </c>
      <c r="G29" s="134">
        <f t="shared" si="3"/>
        <v>797579</v>
      </c>
      <c r="H29" s="134"/>
      <c r="I29" s="134">
        <f t="shared" si="3"/>
        <v>72092</v>
      </c>
      <c r="J29" s="134">
        <f t="shared" si="3"/>
        <v>193521</v>
      </c>
      <c r="K29" s="134">
        <f t="shared" si="3"/>
        <v>126598</v>
      </c>
      <c r="L29" s="134">
        <f t="shared" si="3"/>
        <v>252468</v>
      </c>
      <c r="M29" s="134">
        <f t="shared" si="3"/>
        <v>19834</v>
      </c>
      <c r="N29" s="134">
        <f t="shared" si="3"/>
        <v>723</v>
      </c>
      <c r="O29" s="134">
        <f t="shared" si="3"/>
        <v>19435</v>
      </c>
      <c r="P29" s="134">
        <f t="shared" si="3"/>
        <v>4551154</v>
      </c>
      <c r="Q29" s="134">
        <f t="shared" si="3"/>
        <v>0</v>
      </c>
      <c r="R29" s="134">
        <f t="shared" si="3"/>
        <v>49714</v>
      </c>
      <c r="S29" s="134">
        <f t="shared" si="3"/>
        <v>13403822</v>
      </c>
    </row>
    <row r="30" spans="1:23" s="139" customFormat="1" ht="15" thickTop="1" x14ac:dyDescent="0.2">
      <c r="A30" s="122"/>
      <c r="B30" s="128"/>
      <c r="C30" s="122"/>
      <c r="D30" s="122"/>
      <c r="E30" s="122"/>
      <c r="F30" s="122"/>
      <c r="G30" s="122"/>
      <c r="H30" s="122"/>
      <c r="I30" s="158"/>
      <c r="J30" s="158"/>
      <c r="K30" s="122"/>
      <c r="L30" s="158"/>
    </row>
    <row r="31" spans="1:23" s="139" customFormat="1" ht="15" customHeight="1" x14ac:dyDescent="0.2">
      <c r="A31" s="122"/>
      <c r="B31" s="121" t="s">
        <v>443</v>
      </c>
      <c r="C31" s="122"/>
      <c r="D31" s="122"/>
      <c r="E31" s="122"/>
      <c r="F31" s="122"/>
      <c r="G31" s="122"/>
      <c r="H31" s="122"/>
      <c r="I31" s="158"/>
      <c r="J31" s="158"/>
      <c r="K31" s="122"/>
      <c r="L31" s="158"/>
    </row>
    <row r="32" spans="1:23" s="139" customFormat="1" ht="15" hidden="1" customHeight="1" x14ac:dyDescent="0.2">
      <c r="A32" s="122"/>
      <c r="B32" s="121"/>
      <c r="C32" s="122"/>
      <c r="D32" s="122"/>
      <c r="E32" s="122"/>
      <c r="F32" s="122"/>
      <c r="G32" s="122"/>
      <c r="H32" s="122"/>
      <c r="I32" s="158"/>
      <c r="J32" s="158"/>
      <c r="K32" s="122"/>
      <c r="L32" s="158"/>
    </row>
    <row r="33" spans="1:23" s="139" customFormat="1" ht="15" customHeight="1" x14ac:dyDescent="0.2">
      <c r="A33" s="122"/>
      <c r="B33" s="128" t="s">
        <v>444</v>
      </c>
      <c r="C33" s="129">
        <f>C24</f>
        <v>466666</v>
      </c>
      <c r="D33" s="129">
        <f t="shared" ref="D33:R33" si="4">D24</f>
        <v>5453094</v>
      </c>
      <c r="E33" s="129">
        <f t="shared" si="4"/>
        <v>1188534</v>
      </c>
      <c r="F33" s="129">
        <f t="shared" si="4"/>
        <v>212410</v>
      </c>
      <c r="G33" s="129">
        <f t="shared" si="4"/>
        <v>797579</v>
      </c>
      <c r="H33" s="130">
        <v>0</v>
      </c>
      <c r="I33" s="129">
        <f>I24</f>
        <v>72092</v>
      </c>
      <c r="J33" s="129">
        <f t="shared" si="4"/>
        <v>193521</v>
      </c>
      <c r="K33" s="129">
        <f t="shared" si="4"/>
        <v>126598</v>
      </c>
      <c r="L33" s="129">
        <f t="shared" si="4"/>
        <v>252468</v>
      </c>
      <c r="M33" s="129">
        <f t="shared" si="4"/>
        <v>19834</v>
      </c>
      <c r="N33" s="129">
        <f t="shared" si="4"/>
        <v>723</v>
      </c>
      <c r="O33" s="129">
        <f t="shared" si="4"/>
        <v>19435</v>
      </c>
      <c r="P33" s="129">
        <f t="shared" si="4"/>
        <v>4551154</v>
      </c>
      <c r="Q33" s="129">
        <f t="shared" si="4"/>
        <v>0</v>
      </c>
      <c r="R33" s="129">
        <f t="shared" si="4"/>
        <v>49714</v>
      </c>
      <c r="S33" s="129">
        <f>SUM(C33:R33)</f>
        <v>13403822</v>
      </c>
    </row>
    <row r="34" spans="1:23" s="139" customFormat="1" ht="15" customHeight="1" x14ac:dyDescent="0.2">
      <c r="A34" s="122"/>
      <c r="B34" s="132" t="s">
        <v>408</v>
      </c>
      <c r="C34" s="163">
        <v>0</v>
      </c>
      <c r="D34" s="163">
        <v>0</v>
      </c>
      <c r="E34" s="163"/>
      <c r="F34" s="163">
        <v>0</v>
      </c>
      <c r="G34" s="163">
        <v>0</v>
      </c>
      <c r="H34" s="163"/>
      <c r="I34" s="163">
        <v>56880</v>
      </c>
      <c r="J34" s="163">
        <v>0</v>
      </c>
      <c r="K34" s="163">
        <v>0</v>
      </c>
      <c r="L34" s="163">
        <v>0</v>
      </c>
      <c r="M34" s="163">
        <v>0</v>
      </c>
      <c r="N34" s="163">
        <v>10800</v>
      </c>
      <c r="O34" s="163">
        <v>0</v>
      </c>
      <c r="P34" s="163">
        <v>0</v>
      </c>
      <c r="Q34" s="163">
        <v>0</v>
      </c>
      <c r="R34" s="163">
        <v>0</v>
      </c>
      <c r="S34" s="163">
        <f>SUM(C34:R34)</f>
        <v>67680</v>
      </c>
    </row>
    <row r="35" spans="1:23" s="139" customFormat="1" ht="15" customHeight="1" x14ac:dyDescent="0.2">
      <c r="A35" s="122"/>
      <c r="B35" s="210" t="s">
        <v>409</v>
      </c>
      <c r="C35" s="164">
        <v>0</v>
      </c>
      <c r="D35" s="160">
        <f>'[2]FA Summary'!J7</f>
        <v>490778</v>
      </c>
      <c r="E35" s="160">
        <f>'[2]FA Summary'!J8</f>
        <v>106968</v>
      </c>
      <c r="F35" s="159">
        <f>'[2]FA Summary'!J9</f>
        <v>31861</v>
      </c>
      <c r="G35" s="159">
        <f>'[2]FA Summary'!J10</f>
        <v>119637</v>
      </c>
      <c r="H35" s="130">
        <v>0</v>
      </c>
      <c r="I35" s="161">
        <f>'[2]FA Summary'!J11</f>
        <v>34426</v>
      </c>
      <c r="J35" s="161">
        <f>'[2]FA Summary'!J12</f>
        <v>19352</v>
      </c>
      <c r="K35" s="159">
        <f>'[2]FA Summary'!J13</f>
        <v>18988</v>
      </c>
      <c r="L35" s="161">
        <f>'[2]FA Summary'!J14</f>
        <v>37871</v>
      </c>
      <c r="M35" s="159">
        <f>'[2]FA Summary'!J15</f>
        <v>2975</v>
      </c>
      <c r="N35" s="159">
        <f>'[2]FA Summary'!J16</f>
        <v>108</v>
      </c>
      <c r="O35" s="159">
        <f>'[2]FA Summary'!J17</f>
        <v>2916</v>
      </c>
      <c r="P35" s="159">
        <f>'[2]FA Summary'!J18</f>
        <v>910230</v>
      </c>
      <c r="Q35" s="159"/>
      <c r="R35" s="159">
        <f>'[2]FA Summary'!J20</f>
        <v>4971</v>
      </c>
      <c r="S35" s="129">
        <f>SUM(C35:R35)</f>
        <v>1781081</v>
      </c>
    </row>
    <row r="36" spans="1:23" s="139" customFormat="1" ht="15" customHeight="1" x14ac:dyDescent="0.2">
      <c r="A36" s="122"/>
      <c r="B36" s="210"/>
      <c r="C36" s="159"/>
      <c r="D36" s="160"/>
      <c r="E36" s="160"/>
      <c r="F36" s="159"/>
      <c r="G36" s="159"/>
      <c r="H36" s="159"/>
      <c r="I36" s="161"/>
      <c r="J36" s="161"/>
      <c r="K36" s="159"/>
      <c r="L36" s="161"/>
      <c r="M36" s="159"/>
      <c r="N36" s="159"/>
      <c r="O36" s="159"/>
      <c r="P36" s="159"/>
      <c r="Q36" s="159"/>
      <c r="R36" s="159"/>
      <c r="S36" s="129"/>
      <c r="T36" s="133"/>
    </row>
    <row r="37" spans="1:23" s="139" customFormat="1" ht="15" customHeight="1" thickBot="1" x14ac:dyDescent="0.25">
      <c r="A37" s="122"/>
      <c r="B37" s="128" t="s">
        <v>445</v>
      </c>
      <c r="C37" s="134">
        <f>C33+C34-C35</f>
        <v>466666</v>
      </c>
      <c r="D37" s="134">
        <f t="shared" ref="D37:R37" si="5">D33+D34-D35</f>
        <v>4962316</v>
      </c>
      <c r="E37" s="134">
        <f t="shared" si="5"/>
        <v>1081566</v>
      </c>
      <c r="F37" s="134">
        <f t="shared" si="5"/>
        <v>180549</v>
      </c>
      <c r="G37" s="134">
        <f t="shared" si="5"/>
        <v>677942</v>
      </c>
      <c r="H37" s="134"/>
      <c r="I37" s="134">
        <f t="shared" si="5"/>
        <v>94546</v>
      </c>
      <c r="J37" s="134">
        <f t="shared" si="5"/>
        <v>174169</v>
      </c>
      <c r="K37" s="134">
        <f t="shared" si="5"/>
        <v>107610</v>
      </c>
      <c r="L37" s="134">
        <f t="shared" si="5"/>
        <v>214597</v>
      </c>
      <c r="M37" s="134">
        <f t="shared" si="5"/>
        <v>16859</v>
      </c>
      <c r="N37" s="134">
        <f t="shared" si="5"/>
        <v>11415</v>
      </c>
      <c r="O37" s="134">
        <f t="shared" si="5"/>
        <v>16519</v>
      </c>
      <c r="P37" s="134">
        <f t="shared" si="5"/>
        <v>3640924</v>
      </c>
      <c r="Q37" s="134">
        <f t="shared" si="5"/>
        <v>0</v>
      </c>
      <c r="R37" s="134">
        <f t="shared" si="5"/>
        <v>44743</v>
      </c>
      <c r="S37" s="134">
        <f>S33+S34-S35</f>
        <v>11690421</v>
      </c>
    </row>
    <row r="38" spans="1:23" s="139" customFormat="1" ht="15" customHeight="1" thickTop="1" x14ac:dyDescent="0.2">
      <c r="A38" s="122"/>
      <c r="B38" s="128"/>
      <c r="C38" s="122"/>
      <c r="D38" s="122"/>
      <c r="E38" s="122"/>
      <c r="F38" s="122"/>
      <c r="G38" s="122"/>
      <c r="H38" s="122"/>
      <c r="I38" s="158"/>
      <c r="J38" s="158"/>
      <c r="K38" s="122"/>
      <c r="L38" s="158"/>
      <c r="S38" s="165"/>
    </row>
    <row r="39" spans="1:23" s="139" customFormat="1" ht="15" customHeight="1" x14ac:dyDescent="0.2">
      <c r="A39" s="122"/>
      <c r="B39" s="121" t="s">
        <v>446</v>
      </c>
      <c r="C39" s="122"/>
      <c r="D39" s="122"/>
      <c r="E39" s="123"/>
      <c r="F39" s="124"/>
      <c r="G39" s="124"/>
      <c r="H39" s="124"/>
      <c r="I39" s="125"/>
      <c r="J39" s="126"/>
      <c r="K39" s="124"/>
      <c r="L39" s="126"/>
      <c r="M39" s="127"/>
      <c r="N39" s="123"/>
      <c r="O39" s="127"/>
      <c r="P39" s="123"/>
      <c r="Q39" s="127"/>
      <c r="R39" s="127"/>
      <c r="S39" s="123"/>
      <c r="T39" s="127"/>
      <c r="U39" s="127"/>
      <c r="V39" s="127"/>
      <c r="W39" s="127"/>
    </row>
    <row r="40" spans="1:23" s="139" customFormat="1" ht="15" hidden="1" customHeight="1" x14ac:dyDescent="0.2">
      <c r="A40" s="122"/>
      <c r="B40" s="121"/>
      <c r="C40" s="122"/>
      <c r="D40" s="122"/>
      <c r="E40" s="124"/>
      <c r="F40" s="124"/>
      <c r="G40" s="124"/>
      <c r="H40" s="124"/>
      <c r="I40" s="125"/>
      <c r="J40" s="125"/>
      <c r="K40" s="124"/>
      <c r="L40" s="125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</row>
    <row r="41" spans="1:23" s="139" customFormat="1" ht="15" customHeight="1" x14ac:dyDescent="0.2">
      <c r="A41" s="122"/>
      <c r="B41" s="128" t="s">
        <v>414</v>
      </c>
      <c r="C41" s="129">
        <f>C27+C34</f>
        <v>466666</v>
      </c>
      <c r="D41" s="129">
        <f>D27+D34</f>
        <v>30936638</v>
      </c>
      <c r="E41" s="129">
        <f t="shared" ref="E41:R42" si="6">E27+E34</f>
        <v>1887520</v>
      </c>
      <c r="F41" s="129">
        <f t="shared" si="6"/>
        <v>1544550</v>
      </c>
      <c r="G41" s="129">
        <f t="shared" si="6"/>
        <v>1386995</v>
      </c>
      <c r="H41" s="130">
        <v>0</v>
      </c>
      <c r="I41" s="129">
        <f t="shared" si="6"/>
        <v>251102</v>
      </c>
      <c r="J41" s="129">
        <f t="shared" si="6"/>
        <v>1725000</v>
      </c>
      <c r="K41" s="129">
        <f t="shared" si="6"/>
        <v>439400</v>
      </c>
      <c r="L41" s="129">
        <f t="shared" si="6"/>
        <v>629181</v>
      </c>
      <c r="M41" s="129">
        <f t="shared" si="6"/>
        <v>54180</v>
      </c>
      <c r="N41" s="129">
        <f t="shared" si="6"/>
        <v>12900</v>
      </c>
      <c r="O41" s="129">
        <f t="shared" si="6"/>
        <v>50500</v>
      </c>
      <c r="P41" s="129">
        <f t="shared" si="6"/>
        <v>19420360</v>
      </c>
      <c r="Q41" s="129">
        <f t="shared" si="6"/>
        <v>0</v>
      </c>
      <c r="R41" s="129">
        <f t="shared" si="6"/>
        <v>443146</v>
      </c>
      <c r="S41" s="131">
        <f>SUM(C41:R41)</f>
        <v>59248138</v>
      </c>
      <c r="T41" s="127"/>
      <c r="U41" s="127"/>
      <c r="V41" s="127"/>
      <c r="W41" s="127"/>
    </row>
    <row r="42" spans="1:23" s="139" customFormat="1" ht="15" customHeight="1" x14ac:dyDescent="0.2">
      <c r="A42" s="122"/>
      <c r="B42" s="128" t="s">
        <v>410</v>
      </c>
      <c r="C42" s="129">
        <f>C28+C35</f>
        <v>0</v>
      </c>
      <c r="D42" s="129">
        <f>D28+D35</f>
        <v>25974322</v>
      </c>
      <c r="E42" s="129">
        <f t="shared" si="6"/>
        <v>805954</v>
      </c>
      <c r="F42" s="129">
        <f t="shared" si="6"/>
        <v>1364001</v>
      </c>
      <c r="G42" s="129">
        <f t="shared" si="6"/>
        <v>709053</v>
      </c>
      <c r="H42" s="130">
        <v>0</v>
      </c>
      <c r="I42" s="129">
        <f t="shared" si="6"/>
        <v>156556</v>
      </c>
      <c r="J42" s="129">
        <f t="shared" si="6"/>
        <v>1550831</v>
      </c>
      <c r="K42" s="129">
        <f t="shared" si="6"/>
        <v>331790</v>
      </c>
      <c r="L42" s="129">
        <f t="shared" si="6"/>
        <v>414584</v>
      </c>
      <c r="M42" s="129">
        <f t="shared" si="6"/>
        <v>37321</v>
      </c>
      <c r="N42" s="129">
        <f t="shared" si="6"/>
        <v>1485</v>
      </c>
      <c r="O42" s="129">
        <f t="shared" si="6"/>
        <v>33981</v>
      </c>
      <c r="P42" s="129">
        <f t="shared" si="6"/>
        <v>15779436</v>
      </c>
      <c r="Q42" s="129">
        <f t="shared" si="6"/>
        <v>0</v>
      </c>
      <c r="R42" s="129">
        <f t="shared" si="6"/>
        <v>398403</v>
      </c>
      <c r="S42" s="133">
        <f>SUM(C42:R42)</f>
        <v>47557717</v>
      </c>
    </row>
    <row r="43" spans="1:23" s="139" customFormat="1" ht="15" customHeight="1" thickBot="1" x14ac:dyDescent="0.25">
      <c r="A43" s="122"/>
      <c r="B43" s="128" t="s">
        <v>411</v>
      </c>
      <c r="C43" s="134">
        <f t="shared" ref="C43:R43" si="7">C41-C42</f>
        <v>466666</v>
      </c>
      <c r="D43" s="134">
        <f t="shared" si="7"/>
        <v>4962316</v>
      </c>
      <c r="E43" s="134">
        <f t="shared" si="7"/>
        <v>1081566</v>
      </c>
      <c r="F43" s="134">
        <f t="shared" si="7"/>
        <v>180549</v>
      </c>
      <c r="G43" s="134">
        <f t="shared" si="7"/>
        <v>677942</v>
      </c>
      <c r="H43" s="134"/>
      <c r="I43" s="134">
        <f t="shared" si="7"/>
        <v>94546</v>
      </c>
      <c r="J43" s="134">
        <f t="shared" si="7"/>
        <v>174169</v>
      </c>
      <c r="K43" s="134">
        <f t="shared" si="7"/>
        <v>107610</v>
      </c>
      <c r="L43" s="134">
        <f t="shared" si="7"/>
        <v>214597</v>
      </c>
      <c r="M43" s="134">
        <f t="shared" si="7"/>
        <v>16859</v>
      </c>
      <c r="N43" s="134">
        <f t="shared" si="7"/>
        <v>11415</v>
      </c>
      <c r="O43" s="134">
        <f t="shared" si="7"/>
        <v>16519</v>
      </c>
      <c r="P43" s="134">
        <f t="shared" si="7"/>
        <v>3640924</v>
      </c>
      <c r="Q43" s="134">
        <f t="shared" si="7"/>
        <v>0</v>
      </c>
      <c r="R43" s="134">
        <f t="shared" si="7"/>
        <v>44743</v>
      </c>
      <c r="S43" s="134">
        <f>S41-S42</f>
        <v>11690421</v>
      </c>
    </row>
    <row r="44" spans="1:23" s="139" customFormat="1" ht="15" customHeight="1" thickTop="1" thickBot="1" x14ac:dyDescent="0.25">
      <c r="A44" s="122"/>
      <c r="B44" s="128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6"/>
    </row>
    <row r="45" spans="1:23" s="139" customFormat="1" ht="15" customHeight="1" thickTop="1" thickBot="1" x14ac:dyDescent="0.25">
      <c r="A45" s="122"/>
      <c r="B45" s="128" t="s">
        <v>415</v>
      </c>
      <c r="C45" s="137">
        <v>0</v>
      </c>
      <c r="D45" s="138">
        <v>0.1</v>
      </c>
      <c r="E45" s="138">
        <v>0.1</v>
      </c>
      <c r="F45" s="138">
        <v>0.15</v>
      </c>
      <c r="G45" s="138">
        <v>0.15</v>
      </c>
      <c r="H45" s="138"/>
      <c r="I45" s="138">
        <v>0.3</v>
      </c>
      <c r="J45" s="138">
        <v>0.1</v>
      </c>
      <c r="K45" s="138">
        <v>0.15</v>
      </c>
      <c r="L45" s="138">
        <v>0.15</v>
      </c>
      <c r="M45" s="138">
        <v>0.15</v>
      </c>
      <c r="N45" s="138">
        <v>0.15</v>
      </c>
      <c r="O45" s="138">
        <v>0.15</v>
      </c>
      <c r="P45" s="138">
        <v>0.2</v>
      </c>
      <c r="Q45" s="138">
        <v>0.15</v>
      </c>
      <c r="R45" s="138">
        <v>0.1</v>
      </c>
    </row>
    <row r="46" spans="1:23" ht="13.5" thickTop="1" x14ac:dyDescent="0.2">
      <c r="A46" s="140"/>
      <c r="B46" s="140"/>
      <c r="C46" s="140"/>
      <c r="D46" s="140"/>
      <c r="E46" s="140"/>
      <c r="F46" s="140"/>
      <c r="G46" s="140"/>
      <c r="H46" s="140"/>
      <c r="I46" s="141"/>
      <c r="J46" s="141"/>
      <c r="K46" s="140"/>
      <c r="L46" s="141"/>
    </row>
    <row r="47" spans="1:23" hidden="1" x14ac:dyDescent="0.2">
      <c r="A47" s="140"/>
      <c r="B47" s="140"/>
      <c r="C47" s="140"/>
      <c r="D47" s="140"/>
      <c r="E47" s="140"/>
      <c r="F47" s="140"/>
      <c r="G47" s="140"/>
      <c r="H47" s="140"/>
      <c r="I47" s="141"/>
      <c r="J47" s="141"/>
      <c r="K47" s="140"/>
      <c r="L47" s="141"/>
    </row>
    <row r="48" spans="1:23" hidden="1" x14ac:dyDescent="0.2">
      <c r="A48" s="140"/>
      <c r="B48" s="140"/>
      <c r="C48" s="140"/>
      <c r="D48" s="140"/>
      <c r="E48" s="140"/>
      <c r="F48" s="140"/>
      <c r="G48" s="140"/>
      <c r="H48" s="140"/>
      <c r="I48" s="141"/>
      <c r="J48" s="141"/>
      <c r="K48" s="140"/>
      <c r="L48" s="141"/>
    </row>
    <row r="49" spans="2:14" hidden="1" x14ac:dyDescent="0.2">
      <c r="B49" s="140" t="s">
        <v>419</v>
      </c>
      <c r="C49" s="153">
        <v>466666</v>
      </c>
      <c r="D49" s="153"/>
      <c r="E49" s="153">
        <f t="shared" ref="E49:E63" si="8">SUM(C49:D49)</f>
        <v>466666</v>
      </c>
      <c r="F49" s="166">
        <v>0</v>
      </c>
      <c r="G49" s="166">
        <v>0</v>
      </c>
      <c r="H49" s="166"/>
      <c r="I49" s="166">
        <v>0</v>
      </c>
      <c r="J49" s="166"/>
      <c r="K49" s="153">
        <v>466666</v>
      </c>
      <c r="L49" s="140"/>
    </row>
    <row r="50" spans="2:14" hidden="1" x14ac:dyDescent="0.2">
      <c r="B50" s="140" t="s">
        <v>420</v>
      </c>
      <c r="C50" s="153">
        <v>30936638</v>
      </c>
      <c r="D50" s="153"/>
      <c r="E50" s="153">
        <f t="shared" si="8"/>
        <v>30936638</v>
      </c>
      <c r="F50" s="153">
        <v>23493271</v>
      </c>
      <c r="G50" s="153">
        <v>643207</v>
      </c>
      <c r="H50" s="153"/>
      <c r="I50" s="153" t="e">
        <f>+F50+#REF!+G50</f>
        <v>#REF!</v>
      </c>
      <c r="J50" s="153"/>
      <c r="K50" s="153" t="e">
        <f t="shared" ref="K50:K63" si="9">E50-I50</f>
        <v>#REF!</v>
      </c>
      <c r="L50" s="141">
        <v>10</v>
      </c>
    </row>
    <row r="51" spans="2:14" hidden="1" x14ac:dyDescent="0.2">
      <c r="B51" s="140" t="s">
        <v>447</v>
      </c>
      <c r="C51" s="153">
        <v>1557020</v>
      </c>
      <c r="D51" s="153">
        <v>17000</v>
      </c>
      <c r="E51" s="153">
        <f t="shared" si="8"/>
        <v>1574020</v>
      </c>
      <c r="F51" s="153">
        <v>376049.70724669745</v>
      </c>
      <c r="G51" s="153">
        <v>103521</v>
      </c>
      <c r="H51" s="153"/>
      <c r="I51" s="153" t="e">
        <f>+F51+#REF!+G51</f>
        <v>#REF!</v>
      </c>
      <c r="J51" s="153"/>
      <c r="K51" s="153" t="e">
        <f t="shared" si="9"/>
        <v>#REF!</v>
      </c>
      <c r="L51" s="141">
        <v>10</v>
      </c>
    </row>
    <row r="52" spans="2:14" hidden="1" x14ac:dyDescent="0.2">
      <c r="B52" s="140" t="s">
        <v>422</v>
      </c>
      <c r="C52" s="153">
        <v>1544550</v>
      </c>
      <c r="D52" s="153"/>
      <c r="E52" s="153">
        <f t="shared" si="8"/>
        <v>1544550</v>
      </c>
      <c r="F52" s="153">
        <v>1181624</v>
      </c>
      <c r="G52" s="153">
        <v>43724</v>
      </c>
      <c r="H52" s="153"/>
      <c r="I52" s="153" t="e">
        <f>+F52+#REF!+G52</f>
        <v>#REF!</v>
      </c>
      <c r="J52" s="153"/>
      <c r="K52" s="153" t="e">
        <f t="shared" si="9"/>
        <v>#REF!</v>
      </c>
      <c r="L52" s="141">
        <v>15</v>
      </c>
    </row>
    <row r="53" spans="2:14" hidden="1" x14ac:dyDescent="0.2">
      <c r="B53" s="140" t="s">
        <v>423</v>
      </c>
      <c r="C53" s="153">
        <v>1749329</v>
      </c>
      <c r="D53" s="153"/>
      <c r="E53" s="153">
        <f t="shared" si="8"/>
        <v>1749329</v>
      </c>
      <c r="F53" s="153">
        <v>1053960</v>
      </c>
      <c r="G53" s="153">
        <v>87573</v>
      </c>
      <c r="H53" s="153"/>
      <c r="I53" s="153" t="e">
        <f>+F53+#REF!+G53</f>
        <v>#REF!</v>
      </c>
      <c r="J53" s="153"/>
      <c r="K53" s="153" t="e">
        <f t="shared" si="9"/>
        <v>#REF!</v>
      </c>
      <c r="L53" s="141">
        <v>15</v>
      </c>
      <c r="M53" s="167"/>
    </row>
    <row r="54" spans="2:14" hidden="1" x14ac:dyDescent="0.2">
      <c r="B54" s="140" t="s">
        <v>425</v>
      </c>
      <c r="C54" s="153">
        <v>454622</v>
      </c>
      <c r="D54" s="153"/>
      <c r="E54" s="153">
        <f t="shared" si="8"/>
        <v>454622</v>
      </c>
      <c r="F54" s="153">
        <v>249215</v>
      </c>
      <c r="G54" s="153">
        <v>27323</v>
      </c>
      <c r="H54" s="153"/>
      <c r="I54" s="153" t="e">
        <f>+F54+#REF!+G54</f>
        <v>#REF!</v>
      </c>
      <c r="J54" s="153"/>
      <c r="K54" s="153" t="e">
        <f t="shared" si="9"/>
        <v>#REF!</v>
      </c>
      <c r="L54" s="141">
        <v>15</v>
      </c>
    </row>
    <row r="55" spans="2:14" hidden="1" x14ac:dyDescent="0.2">
      <c r="B55" s="140" t="s">
        <v>448</v>
      </c>
      <c r="C55" s="153">
        <v>1711717</v>
      </c>
      <c r="D55" s="153"/>
      <c r="E55" s="153">
        <f t="shared" si="8"/>
        <v>1711717</v>
      </c>
      <c r="F55" s="153">
        <v>1454785</v>
      </c>
      <c r="G55" s="153">
        <v>30954</v>
      </c>
      <c r="H55" s="153"/>
      <c r="I55" s="153" t="e">
        <f>+F55+#REF!+G55</f>
        <v>#REF!</v>
      </c>
      <c r="J55" s="153"/>
      <c r="K55" s="153" t="e">
        <f t="shared" si="9"/>
        <v>#REF!</v>
      </c>
      <c r="L55" s="141">
        <v>15</v>
      </c>
    </row>
    <row r="56" spans="2:14" hidden="1" x14ac:dyDescent="0.2">
      <c r="B56" s="140" t="s">
        <v>427</v>
      </c>
      <c r="C56" s="153">
        <v>706100</v>
      </c>
      <c r="D56" s="153">
        <v>67500</v>
      </c>
      <c r="E56" s="153">
        <f t="shared" si="8"/>
        <v>773600</v>
      </c>
      <c r="F56" s="153">
        <v>535483</v>
      </c>
      <c r="G56" s="153">
        <v>30655</v>
      </c>
      <c r="H56" s="153"/>
      <c r="I56" s="153" t="e">
        <f>+F56+#REF!+G56</f>
        <v>#REF!</v>
      </c>
      <c r="J56" s="153"/>
      <c r="K56" s="153" t="e">
        <f t="shared" si="9"/>
        <v>#REF!</v>
      </c>
      <c r="L56" s="141">
        <v>15</v>
      </c>
    </row>
    <row r="57" spans="2:14" hidden="1" x14ac:dyDescent="0.2">
      <c r="B57" s="140" t="s">
        <v>428</v>
      </c>
      <c r="C57" s="153">
        <v>1001096</v>
      </c>
      <c r="D57" s="153"/>
      <c r="E57" s="153">
        <f t="shared" si="8"/>
        <v>1001096</v>
      </c>
      <c r="F57" s="153">
        <v>486316</v>
      </c>
      <c r="G57" s="119">
        <v>62497</v>
      </c>
      <c r="H57" s="119"/>
      <c r="I57" s="153" t="e">
        <f>+F57+#REF!+G57</f>
        <v>#REF!</v>
      </c>
      <c r="J57" s="153"/>
      <c r="K57" s="153" t="e">
        <f t="shared" si="9"/>
        <v>#REF!</v>
      </c>
      <c r="L57" s="141">
        <v>15</v>
      </c>
    </row>
    <row r="58" spans="2:14" hidden="1" x14ac:dyDescent="0.2">
      <c r="B58" s="140" t="s">
        <v>429</v>
      </c>
      <c r="C58" s="153">
        <v>502458</v>
      </c>
      <c r="D58" s="153"/>
      <c r="E58" s="153">
        <f t="shared" si="8"/>
        <v>502458</v>
      </c>
      <c r="F58" s="153">
        <v>352562</v>
      </c>
      <c r="G58" s="119">
        <v>18059</v>
      </c>
      <c r="H58" s="119"/>
      <c r="I58" s="153" t="e">
        <f>+F58+#REF!+G58</f>
        <v>#REF!</v>
      </c>
      <c r="J58" s="153"/>
      <c r="K58" s="153" t="e">
        <f t="shared" si="9"/>
        <v>#REF!</v>
      </c>
      <c r="L58" s="141">
        <v>15</v>
      </c>
    </row>
    <row r="59" spans="2:14" hidden="1" x14ac:dyDescent="0.2">
      <c r="B59" s="140" t="s">
        <v>430</v>
      </c>
      <c r="C59" s="153">
        <v>760014</v>
      </c>
      <c r="D59" s="153"/>
      <c r="E59" s="153">
        <f t="shared" si="8"/>
        <v>760014</v>
      </c>
      <c r="F59" s="153">
        <v>657855.07490257861</v>
      </c>
      <c r="G59" s="119">
        <v>12308</v>
      </c>
      <c r="H59" s="119"/>
      <c r="I59" s="153" t="e">
        <f>+F59+#REF!+G59</f>
        <v>#REF!</v>
      </c>
      <c r="J59" s="153"/>
      <c r="K59" s="153" t="e">
        <f t="shared" si="9"/>
        <v>#REF!</v>
      </c>
      <c r="L59" s="141">
        <v>15</v>
      </c>
    </row>
    <row r="60" spans="2:14" hidden="1" x14ac:dyDescent="0.2">
      <c r="B60" s="140" t="s">
        <v>431</v>
      </c>
      <c r="C60" s="153">
        <v>2184693</v>
      </c>
      <c r="D60" s="153"/>
      <c r="E60" s="153">
        <f t="shared" si="8"/>
        <v>2184693</v>
      </c>
      <c r="F60" s="153">
        <v>1686642</v>
      </c>
      <c r="G60" s="153">
        <v>60003</v>
      </c>
      <c r="H60" s="153"/>
      <c r="I60" s="153" t="e">
        <f>+F60+#REF!+G60</f>
        <v>#REF!</v>
      </c>
      <c r="J60" s="153"/>
      <c r="K60" s="153" t="e">
        <f t="shared" si="9"/>
        <v>#REF!</v>
      </c>
      <c r="L60" s="141">
        <v>15</v>
      </c>
      <c r="M60" s="120"/>
    </row>
    <row r="61" spans="2:14" ht="15" hidden="1" x14ac:dyDescent="0.25">
      <c r="B61" s="140" t="s">
        <v>432</v>
      </c>
      <c r="C61" s="153">
        <v>19274170</v>
      </c>
      <c r="D61" s="153">
        <v>80100</v>
      </c>
      <c r="E61" s="153">
        <f t="shared" si="8"/>
        <v>19354270</v>
      </c>
      <c r="F61" s="153">
        <v>11184189.037056616</v>
      </c>
      <c r="G61" s="153">
        <v>985054</v>
      </c>
      <c r="H61" s="153"/>
      <c r="I61" s="153" t="e">
        <f>+F61+#REF!+G61</f>
        <v>#REF!</v>
      </c>
      <c r="J61" s="153"/>
      <c r="K61" s="153" t="e">
        <f t="shared" si="9"/>
        <v>#REF!</v>
      </c>
      <c r="L61" s="141">
        <v>15</v>
      </c>
      <c r="M61" s="168" t="e">
        <f>+#REF!-#REF!</f>
        <v>#REF!</v>
      </c>
      <c r="N61" s="168"/>
    </row>
    <row r="62" spans="2:14" ht="15" hidden="1" x14ac:dyDescent="0.25">
      <c r="B62" s="140" t="s">
        <v>433</v>
      </c>
      <c r="C62" s="153">
        <v>464990</v>
      </c>
      <c r="D62" s="153"/>
      <c r="E62" s="153">
        <f t="shared" si="8"/>
        <v>464990</v>
      </c>
      <c r="F62" s="153">
        <v>413345</v>
      </c>
      <c r="G62" s="153">
        <v>6222</v>
      </c>
      <c r="H62" s="153"/>
      <c r="I62" s="153" t="e">
        <f>+F62+#REF!+G62</f>
        <v>#REF!</v>
      </c>
      <c r="J62" s="153"/>
      <c r="K62" s="153" t="e">
        <f t="shared" si="9"/>
        <v>#REF!</v>
      </c>
      <c r="L62" s="141">
        <v>15</v>
      </c>
      <c r="M62" s="168"/>
      <c r="N62" s="168" t="e">
        <f>+#REF!*-1</f>
        <v>#REF!</v>
      </c>
    </row>
    <row r="63" spans="2:14" ht="15" hidden="1" x14ac:dyDescent="0.25">
      <c r="B63" s="140" t="s">
        <v>434</v>
      </c>
      <c r="C63" s="153">
        <v>443146</v>
      </c>
      <c r="D63" s="153"/>
      <c r="E63" s="153">
        <f t="shared" si="8"/>
        <v>443146</v>
      </c>
      <c r="F63" s="153">
        <v>369945</v>
      </c>
      <c r="G63" s="153">
        <v>8819</v>
      </c>
      <c r="H63" s="153"/>
      <c r="I63" s="153" t="e">
        <f>+F63+#REF!+G63</f>
        <v>#REF!</v>
      </c>
      <c r="J63" s="153"/>
      <c r="K63" s="153" t="e">
        <f t="shared" si="9"/>
        <v>#REF!</v>
      </c>
      <c r="L63" s="141">
        <v>15</v>
      </c>
      <c r="M63" s="168"/>
      <c r="N63" s="168" t="e">
        <f>+N62+#REF!</f>
        <v>#REF!</v>
      </c>
    </row>
    <row r="64" spans="2:14" ht="13.5" hidden="1" thickBot="1" x14ac:dyDescent="0.25">
      <c r="B64" s="140" t="s">
        <v>449</v>
      </c>
      <c r="C64" s="169">
        <f>SUM(C49:C63)</f>
        <v>63757209</v>
      </c>
      <c r="D64" s="169">
        <f>SUM(D50:D63)</f>
        <v>164600</v>
      </c>
      <c r="E64" s="169">
        <f>SUM(E49:E63)</f>
        <v>63921809</v>
      </c>
      <c r="F64" s="169">
        <f>SUM(F49:F63)</f>
        <v>43495241.819205895</v>
      </c>
      <c r="G64" s="169">
        <f>SUM(G49:G63)</f>
        <v>2119919</v>
      </c>
      <c r="H64" s="169"/>
      <c r="I64" s="169" t="e">
        <f>SUM(I49:I63)</f>
        <v>#REF!</v>
      </c>
      <c r="J64" s="153"/>
      <c r="K64" s="169" t="e">
        <f>SUM(K49:K63)</f>
        <v>#REF!</v>
      </c>
      <c r="L64" s="153"/>
    </row>
    <row r="65" spans="2:21" hidden="1" x14ac:dyDescent="0.2">
      <c r="B65" s="140"/>
      <c r="C65" s="153"/>
      <c r="D65" s="153"/>
      <c r="E65" s="153"/>
      <c r="F65" s="153"/>
      <c r="G65" s="153"/>
      <c r="H65" s="153"/>
      <c r="I65" s="153"/>
      <c r="J65" s="153"/>
      <c r="K65" s="153"/>
      <c r="L65" s="140"/>
    </row>
    <row r="66" spans="2:21" ht="13.5" hidden="1" customHeight="1" x14ac:dyDescent="0.2">
      <c r="B66" s="170" t="s">
        <v>450</v>
      </c>
      <c r="C66" s="169">
        <v>63482605</v>
      </c>
      <c r="D66" s="169">
        <v>274604</v>
      </c>
      <c r="E66" s="169">
        <v>63757209</v>
      </c>
      <c r="F66" s="169">
        <v>40774853</v>
      </c>
      <c r="G66" s="169">
        <v>2720388.8192058913</v>
      </c>
      <c r="H66" s="169"/>
      <c r="I66" s="169">
        <v>43495241.819205895</v>
      </c>
      <c r="J66" s="153"/>
      <c r="K66" s="169">
        <v>20261967.180794105</v>
      </c>
      <c r="L66" s="140"/>
    </row>
    <row r="67" spans="2:21" hidden="1" x14ac:dyDescent="0.2">
      <c r="B67" s="140"/>
      <c r="C67" s="153"/>
      <c r="D67" s="153"/>
      <c r="E67" s="153"/>
      <c r="F67" s="153"/>
      <c r="G67" s="153"/>
      <c r="H67" s="153"/>
      <c r="I67" s="153"/>
      <c r="J67" s="153"/>
      <c r="K67" s="153"/>
      <c r="L67" s="140"/>
    </row>
    <row r="68" spans="2:21" hidden="1" x14ac:dyDescent="0.2"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71" t="s">
        <v>451</v>
      </c>
    </row>
    <row r="69" spans="2:21" ht="15" hidden="1" x14ac:dyDescent="0.25">
      <c r="C69" s="168"/>
      <c r="G69" s="120">
        <v>2400657.1263036174</v>
      </c>
      <c r="H69" s="120"/>
      <c r="K69" s="118">
        <v>18025907</v>
      </c>
    </row>
    <row r="70" spans="2:21" hidden="1" x14ac:dyDescent="0.2">
      <c r="G70" s="120">
        <f>G64-G69</f>
        <v>-280738.12630361738</v>
      </c>
      <c r="H70" s="120"/>
    </row>
    <row r="71" spans="2:21" hidden="1" x14ac:dyDescent="0.2">
      <c r="K71" s="120"/>
    </row>
    <row r="72" spans="2:21" x14ac:dyDescent="0.2">
      <c r="C72" s="119"/>
      <c r="K72" s="120"/>
    </row>
    <row r="73" spans="2:21" ht="15" x14ac:dyDescent="0.2">
      <c r="B73" s="121" t="s">
        <v>406</v>
      </c>
      <c r="C73" s="122"/>
      <c r="D73" s="122"/>
      <c r="E73" s="123"/>
      <c r="F73" s="124"/>
      <c r="G73" s="124"/>
      <c r="H73" s="124"/>
      <c r="I73" s="124"/>
      <c r="J73" s="125"/>
      <c r="K73" s="126"/>
      <c r="L73" s="124"/>
      <c r="M73" s="126"/>
      <c r="N73" s="127"/>
      <c r="O73" s="123"/>
      <c r="P73" s="127"/>
      <c r="Q73" s="123"/>
      <c r="R73" s="127"/>
      <c r="S73" s="127"/>
      <c r="T73" s="123"/>
      <c r="U73" s="127"/>
    </row>
    <row r="74" spans="2:21" ht="15" x14ac:dyDescent="0.2">
      <c r="B74" s="121"/>
      <c r="C74" s="122"/>
      <c r="D74" s="122"/>
      <c r="E74" s="124"/>
      <c r="F74" s="124"/>
      <c r="G74" s="124"/>
      <c r="H74" s="124"/>
      <c r="I74" s="124"/>
      <c r="J74" s="125"/>
      <c r="K74" s="125"/>
      <c r="L74" s="124"/>
      <c r="M74" s="125"/>
      <c r="N74" s="127"/>
      <c r="O74" s="127"/>
      <c r="P74" s="127"/>
      <c r="Q74" s="127"/>
      <c r="R74" s="127"/>
      <c r="S74" s="127"/>
      <c r="T74" s="127"/>
      <c r="U74" s="127"/>
    </row>
    <row r="75" spans="2:21" ht="14.25" x14ac:dyDescent="0.2">
      <c r="B75" s="128" t="s">
        <v>407</v>
      </c>
      <c r="C75" s="181">
        <v>466666</v>
      </c>
      <c r="D75" s="181">
        <v>4962316</v>
      </c>
      <c r="E75" s="181">
        <v>1081566</v>
      </c>
      <c r="F75" s="181">
        <v>180549</v>
      </c>
      <c r="G75" s="181">
        <v>677942</v>
      </c>
      <c r="H75" s="129"/>
      <c r="I75" s="181">
        <v>94546</v>
      </c>
      <c r="J75" s="181">
        <v>174169</v>
      </c>
      <c r="K75" s="181">
        <v>107610</v>
      </c>
      <c r="L75" s="181">
        <v>214597</v>
      </c>
      <c r="M75" s="181">
        <v>16859</v>
      </c>
      <c r="N75" s="181">
        <v>11415</v>
      </c>
      <c r="O75" s="181">
        <v>16519</v>
      </c>
      <c r="P75" s="181">
        <v>3640924</v>
      </c>
      <c r="Q75" s="129"/>
      <c r="R75" s="181">
        <v>44743</v>
      </c>
      <c r="S75" s="129">
        <f>SUM(C75:R75)</f>
        <v>11690421</v>
      </c>
      <c r="T75" s="131"/>
      <c r="U75" s="127"/>
    </row>
    <row r="76" spans="2:21" ht="14.25" x14ac:dyDescent="0.2">
      <c r="B76" s="132" t="s">
        <v>408</v>
      </c>
      <c r="C76" s="129"/>
      <c r="D76" s="129"/>
      <c r="E76" s="129"/>
      <c r="F76" s="129"/>
      <c r="G76" s="129">
        <f>126984+30000</f>
        <v>156984</v>
      </c>
      <c r="H76" s="129">
        <f>594000+1012680+398200</f>
        <v>2004880</v>
      </c>
      <c r="I76" s="129">
        <v>102510</v>
      </c>
      <c r="J76" s="129">
        <v>64550</v>
      </c>
      <c r="K76" s="129">
        <v>235204</v>
      </c>
      <c r="L76" s="129">
        <v>95798</v>
      </c>
      <c r="M76" s="129"/>
      <c r="N76" s="129"/>
      <c r="O76" s="129"/>
      <c r="P76" s="129">
        <v>2013200</v>
      </c>
      <c r="Q76" s="129"/>
      <c r="R76" s="129"/>
      <c r="S76" s="129">
        <f t="shared" ref="S76:S77" si="10">SUM(C76:R76)</f>
        <v>4673126</v>
      </c>
      <c r="T76" s="131"/>
      <c r="U76" s="127"/>
    </row>
    <row r="77" spans="2:21" ht="14.25" x14ac:dyDescent="0.2">
      <c r="B77" s="210" t="s">
        <v>409</v>
      </c>
      <c r="C77" s="129"/>
      <c r="D77" s="129">
        <v>446608</v>
      </c>
      <c r="E77" s="129">
        <v>97341</v>
      </c>
      <c r="F77" s="129">
        <v>27082</v>
      </c>
      <c r="G77" s="129">
        <f>11111+1875+101691</f>
        <v>114677</v>
      </c>
      <c r="H77" s="129">
        <f>100244</f>
        <v>100244</v>
      </c>
      <c r="I77" s="129">
        <v>46303</v>
      </c>
      <c r="J77" s="129">
        <v>21182</v>
      </c>
      <c r="K77" s="129">
        <v>22022</v>
      </c>
      <c r="L77" s="129">
        <v>40572</v>
      </c>
      <c r="M77" s="129">
        <v>2529</v>
      </c>
      <c r="N77" s="129">
        <v>1712</v>
      </c>
      <c r="O77" s="129">
        <v>2478</v>
      </c>
      <c r="P77" s="129">
        <v>893512</v>
      </c>
      <c r="Q77" s="129"/>
      <c r="R77" s="129">
        <v>4474</v>
      </c>
      <c r="S77" s="129">
        <f t="shared" si="10"/>
        <v>1820736</v>
      </c>
      <c r="T77" s="131"/>
      <c r="U77" s="127"/>
    </row>
    <row r="78" spans="2:21" ht="14.25" x14ac:dyDescent="0.2">
      <c r="B78" s="210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31"/>
      <c r="U78" s="127"/>
    </row>
    <row r="79" spans="2:21" ht="14.25" x14ac:dyDescent="0.2">
      <c r="B79" s="128" t="s">
        <v>410</v>
      </c>
      <c r="C79" s="129">
        <v>0</v>
      </c>
      <c r="D79" s="129">
        <f>D62+D69</f>
        <v>0</v>
      </c>
      <c r="E79" s="129">
        <v>0</v>
      </c>
      <c r="F79" s="129">
        <v>0</v>
      </c>
      <c r="G79" s="129">
        <v>0</v>
      </c>
      <c r="H79" s="129"/>
      <c r="I79" s="129"/>
      <c r="J79" s="129">
        <v>0</v>
      </c>
      <c r="K79" s="129">
        <v>0</v>
      </c>
      <c r="L79" s="129">
        <v>0</v>
      </c>
      <c r="M79" s="129">
        <v>0</v>
      </c>
      <c r="N79" s="129">
        <v>0</v>
      </c>
      <c r="O79" s="129">
        <v>0</v>
      </c>
      <c r="P79" s="129">
        <f>P62+P69</f>
        <v>0</v>
      </c>
      <c r="Q79" s="129">
        <f>Q62+Q69</f>
        <v>0</v>
      </c>
      <c r="R79" s="129">
        <f>R62+R69</f>
        <v>0</v>
      </c>
      <c r="S79" s="129">
        <f>S62+S69</f>
        <v>0</v>
      </c>
      <c r="T79" s="133"/>
      <c r="U79" s="139"/>
    </row>
    <row r="80" spans="2:21" ht="15" thickBot="1" x14ac:dyDescent="0.25">
      <c r="B80" s="128" t="s">
        <v>411</v>
      </c>
      <c r="C80" s="134">
        <f>C75+C76-C77</f>
        <v>466666</v>
      </c>
      <c r="D80" s="134">
        <f>D75+D76-D77</f>
        <v>4515708</v>
      </c>
      <c r="E80" s="134">
        <f t="shared" ref="E80:R80" si="11">E75+E76-E77</f>
        <v>984225</v>
      </c>
      <c r="F80" s="134">
        <f t="shared" si="11"/>
        <v>153467</v>
      </c>
      <c r="G80" s="134">
        <f t="shared" si="11"/>
        <v>720249</v>
      </c>
      <c r="H80" s="134">
        <f t="shared" si="11"/>
        <v>1904636</v>
      </c>
      <c r="I80" s="134">
        <f t="shared" si="11"/>
        <v>150753</v>
      </c>
      <c r="J80" s="134">
        <f t="shared" si="11"/>
        <v>217537</v>
      </c>
      <c r="K80" s="134">
        <f t="shared" si="11"/>
        <v>320792</v>
      </c>
      <c r="L80" s="134">
        <f t="shared" si="11"/>
        <v>269823</v>
      </c>
      <c r="M80" s="134">
        <f t="shared" si="11"/>
        <v>14330</v>
      </c>
      <c r="N80" s="134">
        <f t="shared" si="11"/>
        <v>9703</v>
      </c>
      <c r="O80" s="134">
        <f t="shared" si="11"/>
        <v>14041</v>
      </c>
      <c r="P80" s="134">
        <f t="shared" si="11"/>
        <v>4760612</v>
      </c>
      <c r="Q80" s="134">
        <f t="shared" si="11"/>
        <v>0</v>
      </c>
      <c r="R80" s="134">
        <f t="shared" si="11"/>
        <v>40269</v>
      </c>
      <c r="S80" s="134">
        <f>S75+S76-S77</f>
        <v>14542811</v>
      </c>
      <c r="T80" s="134">
        <f>T75+T76-T77</f>
        <v>0</v>
      </c>
      <c r="U80" s="139"/>
    </row>
    <row r="81" spans="2:21" ht="15.75" thickTop="1" thickBot="1" x14ac:dyDescent="0.25">
      <c r="B81" s="128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6"/>
      <c r="U81" s="139"/>
    </row>
    <row r="82" spans="2:21" ht="15.75" thickTop="1" thickBot="1" x14ac:dyDescent="0.25">
      <c r="B82" s="128" t="s">
        <v>412</v>
      </c>
      <c r="C82" s="137">
        <v>0</v>
      </c>
      <c r="D82" s="138">
        <v>0.1</v>
      </c>
      <c r="E82" s="138">
        <v>0.1</v>
      </c>
      <c r="F82" s="138">
        <v>0.15</v>
      </c>
      <c r="G82" s="138">
        <v>0.15</v>
      </c>
      <c r="H82" s="138"/>
      <c r="I82" s="138"/>
      <c r="J82" s="138">
        <v>0.3</v>
      </c>
      <c r="K82" s="138">
        <v>0.1</v>
      </c>
      <c r="L82" s="138">
        <v>0.15</v>
      </c>
      <c r="M82" s="138">
        <v>0.15</v>
      </c>
      <c r="N82" s="138">
        <v>0.15</v>
      </c>
      <c r="O82" s="138">
        <v>0.15</v>
      </c>
      <c r="P82" s="138">
        <v>0.15</v>
      </c>
      <c r="Q82" s="138">
        <v>0.2</v>
      </c>
      <c r="R82" s="138">
        <v>0.15</v>
      </c>
      <c r="S82" s="138">
        <v>0.1</v>
      </c>
      <c r="T82" s="139"/>
      <c r="U82" s="139"/>
    </row>
    <row r="83" spans="2:21" ht="13.5" thickTop="1" x14ac:dyDescent="0.2">
      <c r="B83" s="140"/>
      <c r="C83" s="140"/>
      <c r="D83" s="140"/>
      <c r="E83" s="140"/>
      <c r="F83" s="140"/>
      <c r="G83" s="140"/>
      <c r="H83" s="140"/>
      <c r="I83" s="140"/>
      <c r="J83" s="141"/>
      <c r="K83" s="141"/>
      <c r="L83" s="140"/>
      <c r="M83" s="141"/>
    </row>
    <row r="84" spans="2:21" ht="15" x14ac:dyDescent="0.2">
      <c r="B84" s="121" t="s">
        <v>413</v>
      </c>
      <c r="C84" s="122"/>
      <c r="D84" s="122"/>
      <c r="E84" s="123"/>
      <c r="F84" s="124"/>
      <c r="G84" s="124"/>
      <c r="H84" s="124"/>
      <c r="I84" s="124"/>
      <c r="J84" s="125"/>
      <c r="K84" s="126"/>
      <c r="L84" s="124"/>
      <c r="M84" s="126"/>
      <c r="N84" s="127"/>
      <c r="O84" s="123"/>
      <c r="P84" s="127"/>
      <c r="Q84" s="123"/>
      <c r="R84" s="127"/>
      <c r="S84" s="127"/>
      <c r="T84" s="123"/>
      <c r="U84" s="127"/>
    </row>
    <row r="85" spans="2:21" ht="15" x14ac:dyDescent="0.2">
      <c r="B85" s="121"/>
      <c r="C85" s="122"/>
      <c r="D85" s="122"/>
      <c r="E85" s="124"/>
      <c r="F85" s="124"/>
      <c r="G85" s="124"/>
      <c r="H85" s="124"/>
      <c r="I85" s="124"/>
      <c r="J85" s="125"/>
      <c r="K85" s="125"/>
      <c r="L85" s="124"/>
      <c r="M85" s="125"/>
      <c r="N85" s="127"/>
      <c r="O85" s="127"/>
      <c r="P85" s="127"/>
      <c r="Q85" s="127"/>
      <c r="R85" s="127"/>
      <c r="S85" s="127"/>
      <c r="T85" s="127"/>
      <c r="U85" s="127"/>
    </row>
    <row r="86" spans="2:21" ht="14.25" x14ac:dyDescent="0.2">
      <c r="B86" s="128" t="s">
        <v>414</v>
      </c>
      <c r="C86" s="129">
        <f>C41+C76</f>
        <v>466666</v>
      </c>
      <c r="D86" s="129">
        <f>D41+D76</f>
        <v>30936638</v>
      </c>
      <c r="E86" s="129">
        <f>E41+E76</f>
        <v>1887520</v>
      </c>
      <c r="F86" s="129">
        <f t="shared" ref="F86:R87" si="12">F41+F76</f>
        <v>1544550</v>
      </c>
      <c r="G86" s="129">
        <f t="shared" si="12"/>
        <v>1543979</v>
      </c>
      <c r="H86" s="129">
        <f t="shared" ref="H86" si="13">H41+H76</f>
        <v>2004880</v>
      </c>
      <c r="I86" s="129">
        <f t="shared" si="12"/>
        <v>353612</v>
      </c>
      <c r="J86" s="129">
        <f t="shared" si="12"/>
        <v>1789550</v>
      </c>
      <c r="K86" s="129">
        <f t="shared" si="12"/>
        <v>674604</v>
      </c>
      <c r="L86" s="129">
        <f t="shared" si="12"/>
        <v>724979</v>
      </c>
      <c r="M86" s="129">
        <f t="shared" si="12"/>
        <v>54180</v>
      </c>
      <c r="N86" s="129">
        <f t="shared" si="12"/>
        <v>12900</v>
      </c>
      <c r="O86" s="129">
        <f t="shared" si="12"/>
        <v>50500</v>
      </c>
      <c r="P86" s="129">
        <f t="shared" si="12"/>
        <v>21433560</v>
      </c>
      <c r="Q86" s="129">
        <f t="shared" si="12"/>
        <v>0</v>
      </c>
      <c r="R86" s="129">
        <f t="shared" si="12"/>
        <v>443146</v>
      </c>
      <c r="S86" s="129">
        <f>SUM(C86:R86)</f>
        <v>63921264</v>
      </c>
      <c r="T86" s="131"/>
      <c r="U86" s="127"/>
    </row>
    <row r="87" spans="2:21" ht="14.25" x14ac:dyDescent="0.2">
      <c r="B87" s="128" t="s">
        <v>410</v>
      </c>
      <c r="C87" s="129"/>
      <c r="D87" s="129">
        <f>D42+D77</f>
        <v>26420930</v>
      </c>
      <c r="E87" s="129">
        <f>E42+E77</f>
        <v>903295</v>
      </c>
      <c r="F87" s="129">
        <f>F42+F77</f>
        <v>1391083</v>
      </c>
      <c r="G87" s="129">
        <f t="shared" si="12"/>
        <v>823730</v>
      </c>
      <c r="H87" s="129">
        <f t="shared" ref="H87" si="14">H42+H77</f>
        <v>100244</v>
      </c>
      <c r="I87" s="129">
        <f t="shared" si="12"/>
        <v>202859</v>
      </c>
      <c r="J87" s="129">
        <f t="shared" si="12"/>
        <v>1572013</v>
      </c>
      <c r="K87" s="129">
        <f t="shared" si="12"/>
        <v>353812</v>
      </c>
      <c r="L87" s="129">
        <f t="shared" si="12"/>
        <v>455156</v>
      </c>
      <c r="M87" s="129">
        <f t="shared" si="12"/>
        <v>39850</v>
      </c>
      <c r="N87" s="129">
        <f t="shared" si="12"/>
        <v>3197</v>
      </c>
      <c r="O87" s="129">
        <f t="shared" si="12"/>
        <v>36459</v>
      </c>
      <c r="P87" s="129">
        <f t="shared" si="12"/>
        <v>16672948</v>
      </c>
      <c r="Q87" s="129">
        <f t="shared" si="12"/>
        <v>0</v>
      </c>
      <c r="R87" s="129">
        <f t="shared" si="12"/>
        <v>402877</v>
      </c>
      <c r="S87" s="129">
        <f>SUM(C87:R87)</f>
        <v>49378453</v>
      </c>
      <c r="T87" s="133"/>
      <c r="U87" s="139"/>
    </row>
    <row r="88" spans="2:21" ht="15" thickBot="1" x14ac:dyDescent="0.25">
      <c r="B88" s="128" t="s">
        <v>411</v>
      </c>
      <c r="C88" s="134">
        <f>C86-C87</f>
        <v>466666</v>
      </c>
      <c r="D88" s="134">
        <f>D86-D87</f>
        <v>4515708</v>
      </c>
      <c r="E88" s="134">
        <f t="shared" ref="E88:R88" si="15">E86-E87</f>
        <v>984225</v>
      </c>
      <c r="F88" s="134">
        <f t="shared" si="15"/>
        <v>153467</v>
      </c>
      <c r="G88" s="134">
        <f t="shared" si="15"/>
        <v>720249</v>
      </c>
      <c r="H88" s="134">
        <f t="shared" ref="H88" si="16">H86-H87</f>
        <v>1904636</v>
      </c>
      <c r="I88" s="134">
        <f t="shared" si="15"/>
        <v>150753</v>
      </c>
      <c r="J88" s="134">
        <f t="shared" si="15"/>
        <v>217537</v>
      </c>
      <c r="K88" s="134">
        <f t="shared" si="15"/>
        <v>320792</v>
      </c>
      <c r="L88" s="134">
        <f t="shared" si="15"/>
        <v>269823</v>
      </c>
      <c r="M88" s="134">
        <f t="shared" si="15"/>
        <v>14330</v>
      </c>
      <c r="N88" s="134">
        <f t="shared" si="15"/>
        <v>9703</v>
      </c>
      <c r="O88" s="134">
        <f t="shared" si="15"/>
        <v>14041</v>
      </c>
      <c r="P88" s="134">
        <f t="shared" si="15"/>
        <v>4760612</v>
      </c>
      <c r="Q88" s="134">
        <f t="shared" si="15"/>
        <v>0</v>
      </c>
      <c r="R88" s="134">
        <f t="shared" si="15"/>
        <v>40269</v>
      </c>
      <c r="S88" s="134">
        <f>S86-S87</f>
        <v>14542811</v>
      </c>
      <c r="T88" s="134">
        <f>T86-T87</f>
        <v>0</v>
      </c>
      <c r="U88" s="133">
        <f>T88-T80</f>
        <v>0</v>
      </c>
    </row>
    <row r="89" spans="2:21" ht="15.75" thickTop="1" thickBot="1" x14ac:dyDescent="0.25">
      <c r="B89" s="128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6"/>
      <c r="U89" s="139"/>
    </row>
    <row r="90" spans="2:21" ht="15.75" thickTop="1" thickBot="1" x14ac:dyDescent="0.25">
      <c r="B90" s="128" t="s">
        <v>415</v>
      </c>
      <c r="C90" s="137">
        <v>0</v>
      </c>
      <c r="D90" s="138">
        <v>0.1</v>
      </c>
      <c r="E90" s="138">
        <v>0.1</v>
      </c>
      <c r="F90" s="138">
        <v>0.15</v>
      </c>
      <c r="G90" s="138">
        <v>0.15</v>
      </c>
      <c r="H90" s="138"/>
      <c r="I90" s="138"/>
      <c r="J90" s="138">
        <v>0.3</v>
      </c>
      <c r="K90" s="138">
        <v>0.1</v>
      </c>
      <c r="L90" s="138">
        <v>0.15</v>
      </c>
      <c r="M90" s="138">
        <v>0.15</v>
      </c>
      <c r="N90" s="138">
        <v>0.15</v>
      </c>
      <c r="O90" s="138">
        <v>0.15</v>
      </c>
      <c r="P90" s="138">
        <v>0.15</v>
      </c>
      <c r="Q90" s="138">
        <v>0.2</v>
      </c>
      <c r="R90" s="138">
        <v>0.15</v>
      </c>
      <c r="S90" s="138">
        <v>0.1</v>
      </c>
      <c r="T90" s="139"/>
      <c r="U90" s="139"/>
    </row>
    <row r="91" spans="2:21" ht="13.5" thickTop="1" x14ac:dyDescent="0.2">
      <c r="B91" s="140"/>
      <c r="C91" s="140"/>
      <c r="D91" s="140"/>
      <c r="E91" s="140"/>
      <c r="F91" s="140"/>
      <c r="G91" s="140"/>
      <c r="H91" s="140"/>
      <c r="I91" s="140"/>
      <c r="J91" s="141"/>
      <c r="K91" s="141"/>
      <c r="L91" s="140"/>
      <c r="M91" s="141"/>
    </row>
    <row r="92" spans="2:21" x14ac:dyDescent="0.2">
      <c r="C92" s="119">
        <f>C88-C80</f>
        <v>0</v>
      </c>
      <c r="D92" s="119">
        <f t="shared" ref="D92:R92" si="17">D88-D80</f>
        <v>0</v>
      </c>
      <c r="E92" s="119">
        <f t="shared" si="17"/>
        <v>0</v>
      </c>
      <c r="F92" s="119">
        <f t="shared" si="17"/>
        <v>0</v>
      </c>
      <c r="G92" s="119">
        <f t="shared" si="17"/>
        <v>0</v>
      </c>
      <c r="H92" s="119">
        <f t="shared" si="17"/>
        <v>0</v>
      </c>
      <c r="I92" s="119">
        <f t="shared" si="17"/>
        <v>0</v>
      </c>
      <c r="J92" s="119">
        <f t="shared" si="17"/>
        <v>0</v>
      </c>
      <c r="K92" s="119">
        <f t="shared" si="17"/>
        <v>0</v>
      </c>
      <c r="L92" s="119">
        <f t="shared" si="17"/>
        <v>0</v>
      </c>
      <c r="M92" s="119">
        <f t="shared" si="17"/>
        <v>0</v>
      </c>
      <c r="N92" s="119">
        <f t="shared" si="17"/>
        <v>0</v>
      </c>
      <c r="O92" s="119">
        <f t="shared" si="17"/>
        <v>0</v>
      </c>
      <c r="P92" s="119">
        <f t="shared" si="17"/>
        <v>0</v>
      </c>
      <c r="Q92" s="119">
        <f t="shared" si="17"/>
        <v>0</v>
      </c>
      <c r="R92" s="119">
        <f t="shared" si="17"/>
        <v>0</v>
      </c>
    </row>
    <row r="97" spans="9:19" ht="17.100000000000001" customHeight="1" x14ac:dyDescent="0.3">
      <c r="S97" s="180">
        <v>466666</v>
      </c>
    </row>
    <row r="98" spans="9:19" ht="18.75" x14ac:dyDescent="0.3">
      <c r="S98" s="180">
        <v>4962316</v>
      </c>
    </row>
    <row r="99" spans="9:19" ht="18.75" x14ac:dyDescent="0.3">
      <c r="S99" s="180">
        <v>1081566</v>
      </c>
    </row>
    <row r="100" spans="9:19" ht="18.75" x14ac:dyDescent="0.3">
      <c r="S100" s="180">
        <v>180549</v>
      </c>
    </row>
    <row r="101" spans="9:19" ht="18.75" x14ac:dyDescent="0.3">
      <c r="S101" s="180">
        <v>677942</v>
      </c>
    </row>
    <row r="102" spans="9:19" ht="18.75" x14ac:dyDescent="0.3">
      <c r="I102" s="180">
        <f>SUM(C75:C106)</f>
        <v>1866664</v>
      </c>
      <c r="S102" s="180">
        <v>94546</v>
      </c>
    </row>
    <row r="103" spans="9:19" ht="18.75" x14ac:dyDescent="0.3">
      <c r="S103" s="180">
        <v>174169</v>
      </c>
    </row>
    <row r="104" spans="9:19" ht="18.75" x14ac:dyDescent="0.3">
      <c r="S104" s="180">
        <v>107610</v>
      </c>
    </row>
    <row r="105" spans="9:19" ht="18.75" x14ac:dyDescent="0.3">
      <c r="S105" s="180">
        <v>214597</v>
      </c>
    </row>
    <row r="106" spans="9:19" ht="18.75" x14ac:dyDescent="0.3">
      <c r="S106" s="180">
        <v>16859</v>
      </c>
    </row>
    <row r="107" spans="9:19" ht="18.75" x14ac:dyDescent="0.3">
      <c r="S107" s="180">
        <v>11415</v>
      </c>
    </row>
    <row r="108" spans="9:19" ht="18.75" x14ac:dyDescent="0.3">
      <c r="I108" s="180"/>
      <c r="S108" s="180">
        <v>16519</v>
      </c>
    </row>
    <row r="109" spans="9:19" ht="18.75" x14ac:dyDescent="0.3">
      <c r="S109" s="180">
        <v>3640924</v>
      </c>
    </row>
    <row r="110" spans="9:19" ht="18.75" x14ac:dyDescent="0.3">
      <c r="S110" s="180">
        <v>44743</v>
      </c>
    </row>
    <row r="111" spans="9:19" ht="18.75" x14ac:dyDescent="0.3">
      <c r="S111" s="180">
        <f>SUM(S97:S110)</f>
        <v>11690421</v>
      </c>
    </row>
    <row r="112" spans="9:19" ht="18.75" x14ac:dyDescent="0.3">
      <c r="S112" s="180"/>
    </row>
    <row r="113" spans="19:19" ht="18.75" x14ac:dyDescent="0.3">
      <c r="S113" s="180">
        <f>S111-S75</f>
        <v>0</v>
      </c>
    </row>
    <row r="114" spans="19:19" ht="18.75" x14ac:dyDescent="0.3">
      <c r="S114" s="180"/>
    </row>
    <row r="115" spans="19:19" ht="18.75" x14ac:dyDescent="0.3">
      <c r="S115" s="180"/>
    </row>
    <row r="116" spans="19:19" ht="18.75" x14ac:dyDescent="0.3">
      <c r="S116" s="180"/>
    </row>
    <row r="117" spans="19:19" ht="18.75" x14ac:dyDescent="0.3">
      <c r="S117" s="180"/>
    </row>
    <row r="118" spans="19:19" ht="18.75" x14ac:dyDescent="0.3">
      <c r="S118" s="180"/>
    </row>
    <row r="119" spans="19:19" ht="18.75" x14ac:dyDescent="0.3">
      <c r="S119" s="180"/>
    </row>
    <row r="120" spans="19:19" ht="18.75" x14ac:dyDescent="0.3">
      <c r="S120" s="180"/>
    </row>
    <row r="121" spans="19:19" ht="18.75" x14ac:dyDescent="0.3">
      <c r="S121" s="180"/>
    </row>
    <row r="122" spans="19:19" ht="18.75" x14ac:dyDescent="0.3">
      <c r="S122" s="180"/>
    </row>
    <row r="123" spans="19:19" ht="18.75" x14ac:dyDescent="0.3">
      <c r="S123" s="180"/>
    </row>
    <row r="124" spans="19:19" ht="18.75" x14ac:dyDescent="0.3">
      <c r="S124" s="180"/>
    </row>
    <row r="125" spans="19:19" ht="18.75" x14ac:dyDescent="0.3">
      <c r="S125" s="180"/>
    </row>
    <row r="126" spans="19:19" ht="18.75" x14ac:dyDescent="0.3">
      <c r="S126" s="180"/>
    </row>
    <row r="127" spans="19:19" ht="18.75" x14ac:dyDescent="0.3">
      <c r="S127" s="180"/>
    </row>
    <row r="128" spans="19:19" ht="18.75" x14ac:dyDescent="0.3">
      <c r="S128" s="180"/>
    </row>
  </sheetData>
  <mergeCells count="4">
    <mergeCell ref="C8:S8"/>
    <mergeCell ref="B22:B23"/>
    <mergeCell ref="B35:B36"/>
    <mergeCell ref="B77:B7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8"/>
  <sheetViews>
    <sheetView topLeftCell="A4" workbookViewId="0">
      <selection activeCell="D20" sqref="D20"/>
    </sheetView>
  </sheetViews>
  <sheetFormatPr defaultRowHeight="15" x14ac:dyDescent="0.25"/>
  <cols>
    <col min="3" max="3" width="20.85546875" customWidth="1"/>
    <col min="4" max="4" width="15.28515625" bestFit="1" customWidth="1"/>
  </cols>
  <sheetData>
    <row r="3" spans="2:4" x14ac:dyDescent="0.25">
      <c r="D3" t="s">
        <v>499</v>
      </c>
    </row>
    <row r="4" spans="2:4" x14ac:dyDescent="0.25">
      <c r="B4">
        <v>2020</v>
      </c>
      <c r="C4" t="s">
        <v>498</v>
      </c>
      <c r="D4" s="56">
        <v>1462763</v>
      </c>
    </row>
    <row r="5" spans="2:4" x14ac:dyDescent="0.25">
      <c r="B5">
        <v>2021</v>
      </c>
      <c r="C5" t="s">
        <v>500</v>
      </c>
      <c r="D5" s="56">
        <v>94370</v>
      </c>
    </row>
    <row r="6" spans="2:4" x14ac:dyDescent="0.25">
      <c r="B6">
        <v>2021</v>
      </c>
      <c r="C6" s="200" t="s">
        <v>501</v>
      </c>
      <c r="D6" s="56"/>
    </row>
    <row r="7" spans="2:4" x14ac:dyDescent="0.25">
      <c r="B7">
        <v>2021</v>
      </c>
      <c r="C7" t="s">
        <v>414</v>
      </c>
      <c r="D7" s="56">
        <f>-90760</f>
        <v>-90760</v>
      </c>
    </row>
    <row r="8" spans="2:4" x14ac:dyDescent="0.25">
      <c r="B8">
        <v>2021</v>
      </c>
      <c r="C8" t="s">
        <v>502</v>
      </c>
      <c r="D8" s="56">
        <v>61222</v>
      </c>
    </row>
    <row r="9" spans="2:4" x14ac:dyDescent="0.25">
      <c r="B9">
        <v>2021</v>
      </c>
      <c r="C9" t="s">
        <v>503</v>
      </c>
      <c r="D9" s="56">
        <f>-285754</f>
        <v>-285754</v>
      </c>
    </row>
    <row r="10" spans="2:4" x14ac:dyDescent="0.25">
      <c r="B10">
        <v>2021</v>
      </c>
      <c r="C10" t="s">
        <v>498</v>
      </c>
      <c r="D10" s="56">
        <f>SUM(D4:D9)</f>
        <v>1241841</v>
      </c>
    </row>
    <row r="11" spans="2:4" x14ac:dyDescent="0.25">
      <c r="D11" s="56"/>
    </row>
    <row r="12" spans="2:4" x14ac:dyDescent="0.25">
      <c r="B12">
        <v>2022</v>
      </c>
      <c r="C12" t="s">
        <v>500</v>
      </c>
      <c r="D12" s="56">
        <v>830662</v>
      </c>
    </row>
    <row r="13" spans="2:4" x14ac:dyDescent="0.25">
      <c r="B13">
        <v>2022</v>
      </c>
      <c r="C13" s="200" t="s">
        <v>501</v>
      </c>
    </row>
    <row r="14" spans="2:4" x14ac:dyDescent="0.25">
      <c r="B14">
        <v>2022</v>
      </c>
      <c r="C14" t="s">
        <v>414</v>
      </c>
      <c r="D14" s="56">
        <f>-216613</f>
        <v>-216613</v>
      </c>
    </row>
    <row r="15" spans="2:4" x14ac:dyDescent="0.25">
      <c r="B15">
        <v>2022</v>
      </c>
      <c r="C15" t="s">
        <v>502</v>
      </c>
      <c r="D15" s="56">
        <v>128206</v>
      </c>
    </row>
    <row r="16" spans="2:4" x14ac:dyDescent="0.25">
      <c r="B16">
        <v>2022</v>
      </c>
      <c r="C16" t="s">
        <v>503</v>
      </c>
      <c r="D16" s="56">
        <f>-299843</f>
        <v>-299843</v>
      </c>
    </row>
    <row r="17" spans="2:4" x14ac:dyDescent="0.25">
      <c r="B17">
        <v>2022</v>
      </c>
      <c r="C17" t="s">
        <v>498</v>
      </c>
      <c r="D17" s="56">
        <f>SUM(D10:D16)</f>
        <v>1684253</v>
      </c>
    </row>
    <row r="18" spans="2:4" x14ac:dyDescent="0.25">
      <c r="D18" s="56"/>
    </row>
    <row r="19" spans="2:4" x14ac:dyDescent="0.25">
      <c r="D19" s="56"/>
    </row>
    <row r="20" spans="2:4" x14ac:dyDescent="0.25">
      <c r="D20" s="56"/>
    </row>
    <row r="21" spans="2:4" x14ac:dyDescent="0.25">
      <c r="D21" s="56"/>
    </row>
    <row r="22" spans="2:4" x14ac:dyDescent="0.25">
      <c r="D22" s="56"/>
    </row>
    <row r="23" spans="2:4" x14ac:dyDescent="0.25">
      <c r="D23" s="56"/>
    </row>
    <row r="24" spans="2:4" x14ac:dyDescent="0.25">
      <c r="D24" s="56"/>
    </row>
    <row r="25" spans="2:4" x14ac:dyDescent="0.25">
      <c r="D25" s="56"/>
    </row>
    <row r="26" spans="2:4" x14ac:dyDescent="0.25">
      <c r="D26" s="56"/>
    </row>
    <row r="27" spans="2:4" x14ac:dyDescent="0.25">
      <c r="D27" s="56"/>
    </row>
    <row r="28" spans="2:4" x14ac:dyDescent="0.25">
      <c r="D28" s="56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Fee Due</vt:lpstr>
      <vt:lpstr>Salary</vt:lpstr>
      <vt:lpstr>TB</vt:lpstr>
      <vt:lpstr>P &amp; L</vt:lpstr>
      <vt:lpstr>Sheet2</vt:lpstr>
      <vt:lpstr>BS</vt:lpstr>
      <vt:lpstr>Dep</vt:lpstr>
      <vt:lpstr>Dep Detail</vt:lpstr>
      <vt:lpstr>Depreciation 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2024-09-12T09:07:31Z</dcterms:modified>
</cp:coreProperties>
</file>