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ty/projects/Finance/bond-calculator/"/>
    </mc:Choice>
  </mc:AlternateContent>
  <xr:revisionPtr revIDLastSave="0" documentId="13_ncr:1_{FC1A2D50-F6E8-814B-9545-8B0C595C1593}" xr6:coauthVersionLast="47" xr6:coauthVersionMax="47" xr10:uidLastSave="{00000000-0000-0000-0000-000000000000}"/>
  <bookViews>
    <workbookView xWindow="0" yWindow="500" windowWidth="33600" windowHeight="18820" activeTab="1" xr2:uid="{A9929AB1-C006-EC48-9772-E431D1BA52C8}"/>
  </bookViews>
  <sheets>
    <sheet name="bond_calculator" sheetId="1" r:id="rId1"/>
    <sheet name="loan_calcula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" i="1" l="1"/>
  <c r="F2" i="2"/>
  <c r="E2" i="2"/>
  <c r="L2" i="2"/>
  <c r="H3" i="2"/>
  <c r="Q2" i="1"/>
  <c r="Q4" i="1"/>
  <c r="Q5" i="1"/>
  <c r="Q3" i="1"/>
  <c r="M2" i="1"/>
  <c r="M3" i="1" a="1"/>
  <c r="M3" i="1" s="1"/>
  <c r="M4" i="1" a="1"/>
  <c r="M4" i="1" s="1"/>
  <c r="M5" i="1" a="1"/>
  <c r="M5" i="1" s="1"/>
  <c r="I3" i="2" l="1"/>
  <c r="H4" i="2" s="1"/>
  <c r="L3" i="2" l="1"/>
  <c r="I4" i="2"/>
  <c r="H5" i="2" s="1"/>
  <c r="L4" i="2" l="1"/>
  <c r="I5" i="2"/>
  <c r="H6" i="2" s="1"/>
  <c r="L5" i="2" l="1"/>
  <c r="I6" i="2"/>
  <c r="H7" i="2" s="1"/>
  <c r="L6" i="2" l="1"/>
  <c r="I7" i="2"/>
  <c r="H8" i="2" s="1"/>
  <c r="L7" i="2" l="1"/>
  <c r="I8" i="2"/>
  <c r="H9" i="2" s="1"/>
  <c r="L8" i="2" l="1"/>
  <c r="I9" i="2"/>
  <c r="H10" i="2" s="1"/>
  <c r="L9" i="2" l="1"/>
  <c r="I10" i="2"/>
  <c r="H11" i="2" s="1"/>
  <c r="L10" i="2" l="1"/>
  <c r="I11" i="2"/>
  <c r="L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<sst xmlns="http://schemas.openxmlformats.org/spreadsheetml/2006/main" count="21" uniqueCount="19">
  <si>
    <t>Amount</t>
  </si>
  <si>
    <t>Coupon Rate</t>
  </si>
  <si>
    <t>Term (years)</t>
  </si>
  <si>
    <t>T</t>
  </si>
  <si>
    <t>Spot Rate</t>
  </si>
  <si>
    <t>Quarter</t>
  </si>
  <si>
    <t>Coupon Payment</t>
  </si>
  <si>
    <t>Value</t>
  </si>
  <si>
    <t>Total</t>
  </si>
  <si>
    <t>Loan Amount</t>
  </si>
  <si>
    <t>interest Rate</t>
  </si>
  <si>
    <t>term (years)</t>
  </si>
  <si>
    <t>Payments per year</t>
  </si>
  <si>
    <t>Interest added</t>
  </si>
  <si>
    <t>Term</t>
  </si>
  <si>
    <t>To pay</t>
  </si>
  <si>
    <t>remaining (eoy)</t>
  </si>
  <si>
    <t>Regular Payment</t>
  </si>
  <si>
    <t>Total to repay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</si>
</sst>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£&quot;#,##0.00_);[Red]\(&quot;£&quot;#,##0.00\)"/>
    <numFmt numFmtId="44" formatCode="_(&quot;£&quot;* #,##0.00_);_(&quot;£&quot;* \(#,##0.00\);_(&quot;£&quot;* &quot;-&quot;??_);_(@_)"/>
    <numFmt numFmtId="164" formatCode="0.0%"/>
    <numFmt numFmtId="165" formatCode="_-[$£-809]* #,##0.00_-;\-[$£-809]* #,##0.00_-;_-[$£-809]* &quot;-&quot;??_-;_-@_-"/>
    <numFmt numFmtId="166" formatCode="_([$$-409]* #,##0.00_);_([$$-409]* \(#,##0.00\);_([$$-409]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Font="1"/>
    <xf numFmtId="164" fontId="0" fillId="0" borderId="0" xfId="1" applyNumberFormat="1" applyFont="1"/>
    <xf numFmtId="8" fontId="0" fillId="0" borderId="0" xfId="0" applyNumberFormat="1"/>
    <xf numFmtId="165" fontId="0" fillId="0" borderId="0" xfId="0" applyNumberFormat="1"/>
    <xf numFmtId="44" fontId="0" fillId="0" borderId="0" xfId="2" applyFont="1"/>
    <xf numFmtId="166" fontId="0" fillId="0" borderId="0" xfId="2" applyNumberFormat="1" applyFont="1"/>
    <xf numFmtId="166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3">
    <cellStyle name="Currency" xfId="2" builtinId="4"/>
    <cellStyle name="Normal" xfId="0" builtinId="0"/>
    <cellStyle name="Per cent" xfId="1" builtinId="5"/>
  </cellStyles>
  <dxfs count="10">
    <dxf>
      <numFmt numFmtId="166" formatCode="_([$$-409]* #,##0.00_);_([$$-409]* \(#,##0.00\);_([$$-409]* &quot;-&quot;??_);_(@_)"/>
    </dxf>
    <dxf>
      <numFmt numFmtId="4" formatCode="#,##0.00"/>
    </dxf>
    <dxf>
      <numFmt numFmtId="2" formatCode="0.00"/>
    </dxf>
    <dxf>
      <numFmt numFmtId="2" formatCode="0.00"/>
    </dxf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1CAED-B75A-514E-A283-6EA601CE5C3A}" name="Table1" displayName="Table1" ref="A1:C2" totalsRowShown="0">
  <autoFilter ref="A1:C2" xr:uid="{0FD1CAED-B75A-514E-A283-6EA601CE5C3A}"/>
  <tableColumns count="3">
    <tableColumn id="1" xr3:uid="{E1B8815E-9D86-B546-B2BB-C46A38CF3AF8}" name="Amount" dataCellStyle="Currency"/>
    <tableColumn id="2" xr3:uid="{D176A60A-D9F5-EA47-83D1-DA32EF23FA18}" name="Coupon Rate" dataDxfId="9" dataCellStyle="Per cent"/>
    <tableColumn id="3" xr3:uid="{0E6607CB-E985-5441-826B-E16538A24534}" name="Term (years)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C2074C-109C-A848-8990-129C122D443F}" name="Table2" displayName="Table2" ref="G1:H5" totalsRowShown="0">
  <autoFilter ref="G1:H5" xr:uid="{4AC2074C-109C-A848-8990-129C122D443F}"/>
  <tableColumns count="2">
    <tableColumn id="1" xr3:uid="{A819BA53-90E9-7844-A5AF-B29612F931E0}" name="T"/>
    <tableColumn id="2" xr3:uid="{49A076FC-D787-1749-8C79-747025603FB7}" name="Spot Rate" dataDxfId="8" dataCellStyle="Per c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52DF8C-2C3F-6C4A-A466-A9D9149660D6}" name="Table3" displayName="Table3" ref="L1:M5" totalsRowShown="0">
  <autoFilter ref="L1:M5" xr:uid="{8752DF8C-2C3F-6C4A-A466-A9D9149660D6}"/>
  <tableColumns count="2">
    <tableColumn id="1" xr3:uid="{F0426631-3E37-F340-A5F4-4E327B469C38}" name="Quarter"/>
    <tableColumn id="2" xr3:uid="{E9490EBF-A564-944B-97A5-FE6DB7FD814F}" name="Coupon Payment" dataCellStyle="Currenc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0CC3E6-83C6-5347-8F3D-3FE742DC1CA7}" name="Table4" displayName="Table4" ref="P1:Q6" totalsRowShown="0">
  <autoFilter ref="P1:Q6" xr:uid="{7F0CC3E6-83C6-5347-8F3D-3FE742DC1CA7}"/>
  <tableColumns count="2">
    <tableColumn id="1" xr3:uid="{32F505D1-2BC9-B342-A709-62306E17C696}" name="Quarter"/>
    <tableColumn id="2" xr3:uid="{EC356778-98EE-5A40-A48C-38844850555A}" name="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470BE7-AE79-C04B-A91A-C3C0DFDEC679}" name="Table7" displayName="Table7" ref="A1:F2" totalsRowShown="0">
  <autoFilter ref="A1:F2" xr:uid="{19470BE7-AE79-C04B-A91A-C3C0DFDEC679}"/>
  <tableColumns count="6">
    <tableColumn id="1" xr3:uid="{399432AD-4521-8A46-9232-83B89EA9B45B}" name="Loan Amount" dataDxfId="7" dataCellStyle="Currency"/>
    <tableColumn id="2" xr3:uid="{E4C09BE6-8014-F842-84FE-9122F74A1114}" name="interest Rate" dataDxfId="6" dataCellStyle="Per cent"/>
    <tableColumn id="3" xr3:uid="{840C7BF6-3422-8D45-A0A3-470B1A838007}" name="term (years)"/>
    <tableColumn id="4" xr3:uid="{67C3E3A9-557C-FD44-BACB-8D65F8681C6D}" name="Payments per year"/>
    <tableColumn id="5" xr3:uid="{BFDDE116-7F59-7D42-9938-C87D9509013C}" name="Regular Payment" dataDxfId="5">
      <calculatedColumnFormula>A2*(0.06*(1 + 0.06)^C2)/((1 + 0.06)^C2-1)</calculatedColumnFormula>
    </tableColumn>
    <tableColumn id="6" xr3:uid="{276E4AEA-3197-C34A-BA00-003FA10066ED}" name="Total to repay" dataDxfId="4">
      <calculatedColumnFormula>E2*C2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91B081-8F15-0B4C-843C-0569BD583234}" name="Table8" displayName="Table8" ref="H1:L11" totalsRowShown="0">
  <autoFilter ref="H1:L11" xr:uid="{F191B081-8F15-0B4C-843C-0569BD583234}"/>
  <tableColumns count="5">
    <tableColumn id="1" xr3:uid="{4F3C8E90-B206-AD47-9131-0B85AC55674F}" name="Value" dataDxfId="3">
      <calculatedColumnFormula>H1+I1-K1</calculatedColumnFormula>
    </tableColumn>
    <tableColumn id="2" xr3:uid="{608B2EAF-0E1C-804A-A037-A74D9C185B02}" name="Interest added" dataDxfId="2">
      <calculatedColumnFormula>H2*0.06</calculatedColumnFormula>
    </tableColumn>
    <tableColumn id="3" xr3:uid="{69484A7B-2909-214F-B2E3-5FABBF822205}" name="Term"/>
    <tableColumn id="4" xr3:uid="{AE182752-B85B-FA4E-A90B-A5FCC2E4B50C}" name="To pay" dataDxfId="1"/>
    <tableColumn id="5" xr3:uid="{782E2B87-A696-FA4B-B363-CB0B6A6265AC}" name="remaining (eoy)" dataDxfId="0">
      <calculatedColumnFormula>H2+I2-K2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5F1F-D14E-6A4F-A8C0-54AB624847BA}">
  <dimension ref="A1:Q9"/>
  <sheetViews>
    <sheetView workbookViewId="0">
      <selection activeCell="L22" sqref="L22"/>
    </sheetView>
  </sheetViews>
  <sheetFormatPr baseColWidth="10" defaultRowHeight="16" x14ac:dyDescent="0.2"/>
  <cols>
    <col min="2" max="2" width="13.83203125" customWidth="1"/>
    <col min="3" max="3" width="14" customWidth="1"/>
    <col min="8" max="8" width="11.5" customWidth="1"/>
    <col min="11" max="11" width="10.83203125" customWidth="1"/>
    <col min="13" max="13" width="17.1640625" customWidth="1"/>
    <col min="16" max="16" width="12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G1" t="s">
        <v>3</v>
      </c>
      <c r="H1" t="s">
        <v>4</v>
      </c>
      <c r="L1" t="s">
        <v>5</v>
      </c>
      <c r="M1" t="s">
        <v>6</v>
      </c>
      <c r="P1" t="s">
        <v>5</v>
      </c>
      <c r="Q1" t="s">
        <v>7</v>
      </c>
    </row>
    <row r="2" spans="1:17" x14ac:dyDescent="0.2">
      <c r="A2" s="5">
        <v>1000</v>
      </c>
      <c r="B2" s="2">
        <v>1.4999999999999999E-2</v>
      </c>
      <c r="C2">
        <v>1</v>
      </c>
      <c r="G2">
        <v>1</v>
      </c>
      <c r="H2" s="1">
        <v>0.05</v>
      </c>
      <c r="L2">
        <v>1</v>
      </c>
      <c r="M2" s="5">
        <f>Table1[[#This Row],[Amount]]*Table1[[#This Row],[Coupon Rate]]</f>
        <v>15</v>
      </c>
      <c r="P2">
        <v>1</v>
      </c>
      <c r="Q2" s="4">
        <f>Table3[[#This Row],[Coupon Payment]]/(1 + (0.05/4))^0.25</f>
        <v>14.953487812212206</v>
      </c>
    </row>
    <row r="3" spans="1:17" x14ac:dyDescent="0.2">
      <c r="G3">
        <v>2</v>
      </c>
      <c r="H3" s="1">
        <v>0.06</v>
      </c>
      <c r="L3">
        <v>2</v>
      </c>
      <c r="M3" s="5" cm="1">
        <f t="array" ref="M3">Table1[Amount]*Table1[Coupon Rate]</f>
        <v>15</v>
      </c>
      <c r="P3">
        <v>2</v>
      </c>
      <c r="Q3" s="4">
        <f>Table3[[#This Row],[Coupon Payment]]/(1 + (0.06/4))^0.5</f>
        <v>14.888750009563953</v>
      </c>
    </row>
    <row r="4" spans="1:17" x14ac:dyDescent="0.2">
      <c r="G4">
        <v>3</v>
      </c>
      <c r="H4" s="1">
        <v>7.0000000000000007E-2</v>
      </c>
      <c r="L4">
        <v>3</v>
      </c>
      <c r="M4" s="5" cm="1">
        <f t="array" ref="M4">Table1[Amount]*Table1[Coupon Rate]</f>
        <v>15</v>
      </c>
      <c r="P4">
        <v>3</v>
      </c>
      <c r="Q4" s="4">
        <f>Table3[[#This Row],[Coupon Payment]]/(1 +( 0.07/4))^0.75</f>
        <v>14.806092068885325</v>
      </c>
    </row>
    <row r="5" spans="1:17" x14ac:dyDescent="0.2">
      <c r="G5">
        <v>4</v>
      </c>
      <c r="H5" s="1">
        <v>0.08</v>
      </c>
      <c r="L5">
        <v>4</v>
      </c>
      <c r="M5" s="5" cm="1">
        <f t="array" ref="M5">Table1[Amount]+Table1[Amount]*Table1[Coupon Rate]</f>
        <v>1015</v>
      </c>
      <c r="P5">
        <v>4</v>
      </c>
      <c r="Q5" s="4">
        <f>Table3[[#This Row],[Coupon Payment]]/(1 + (0.08/4))^1</f>
        <v>995.0980392156863</v>
      </c>
    </row>
    <row r="6" spans="1:17" x14ac:dyDescent="0.2">
      <c r="P6" t="s">
        <v>8</v>
      </c>
      <c r="Q6" s="4">
        <f>SUM(Q2:Q5)^1</f>
        <v>1039.7463691063479</v>
      </c>
    </row>
    <row r="8" spans="1:17" x14ac:dyDescent="0.2">
      <c r="A8" s="3"/>
    </row>
    <row r="9" spans="1:17" x14ac:dyDescent="0.2">
      <c r="K9" s="3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FD05-3DD2-124B-B822-E9B14185C242}">
  <dimension ref="A1:L12"/>
  <sheetViews>
    <sheetView tabSelected="1" workbookViewId="0">
      <selection activeCell="E6" sqref="E6"/>
    </sheetView>
  </sheetViews>
  <sheetFormatPr baseColWidth="10" defaultRowHeight="16" x14ac:dyDescent="0.2"/>
  <cols>
    <col min="1" max="1" width="14.33203125" customWidth="1"/>
    <col min="2" max="2" width="14.1640625" customWidth="1"/>
    <col min="3" max="3" width="13.6640625" customWidth="1"/>
    <col min="4" max="4" width="18.6640625" customWidth="1"/>
    <col min="5" max="5" width="17.5" customWidth="1"/>
    <col min="6" max="6" width="14.83203125" customWidth="1"/>
    <col min="7" max="7" width="11.5" bestFit="1" customWidth="1"/>
    <col min="8" max="8" width="14.1640625" bestFit="1" customWidth="1"/>
    <col min="9" max="9" width="15.33203125" customWidth="1"/>
    <col min="12" max="12" width="16.5" customWidth="1"/>
    <col min="15" max="15" width="14.1640625" bestFit="1" customWidth="1"/>
  </cols>
  <sheetData>
    <row r="1" spans="1:12" x14ac:dyDescent="0.2">
      <c r="A1" t="s">
        <v>9</v>
      </c>
      <c r="B1" t="s">
        <v>10</v>
      </c>
      <c r="C1" t="s">
        <v>11</v>
      </c>
      <c r="D1" t="s">
        <v>12</v>
      </c>
      <c r="E1" t="s">
        <v>17</v>
      </c>
      <c r="F1" t="s">
        <v>18</v>
      </c>
      <c r="H1" t="s">
        <v>7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">
      <c r="A2" s="6">
        <v>10000</v>
      </c>
      <c r="B2" s="1">
        <v>0.06</v>
      </c>
      <c r="C2">
        <v>10</v>
      </c>
      <c r="D2">
        <v>1</v>
      </c>
      <c r="E2" s="7">
        <f>A2*(0.06*(1 + 0.06)^C2)/((1 + 0.06)^C2-1)</f>
        <v>1358.6795822038373</v>
      </c>
      <c r="F2" s="7">
        <f>E2*C2</f>
        <v>13586.795822038373</v>
      </c>
      <c r="H2" s="9">
        <v>10000</v>
      </c>
      <c r="I2" s="9">
        <v>600</v>
      </c>
      <c r="J2">
        <v>1</v>
      </c>
      <c r="K2" s="8">
        <v>1358.68</v>
      </c>
      <c r="L2" s="7">
        <f>H2+I2-K2</f>
        <v>9241.32</v>
      </c>
    </row>
    <row r="3" spans="1:12" x14ac:dyDescent="0.2">
      <c r="H3" s="9">
        <f>H2+I2-K2</f>
        <v>9241.32</v>
      </c>
      <c r="I3" s="9">
        <f>H3*0.06</f>
        <v>554.47919999999999</v>
      </c>
      <c r="J3">
        <v>2</v>
      </c>
      <c r="K3" s="8">
        <v>1358.68</v>
      </c>
      <c r="L3" s="7">
        <f t="shared" ref="L3:L11" si="0">H3+I3-K3</f>
        <v>8437.1191999999992</v>
      </c>
    </row>
    <row r="4" spans="1:12" x14ac:dyDescent="0.2">
      <c r="G4" s="7"/>
      <c r="H4" s="9">
        <f>H3+I3-K3</f>
        <v>8437.1191999999992</v>
      </c>
      <c r="I4" s="9">
        <f>H4*0.06</f>
        <v>506.22715199999993</v>
      </c>
      <c r="J4">
        <v>3</v>
      </c>
      <c r="K4" s="8">
        <v>1358.68</v>
      </c>
      <c r="L4" s="7">
        <f t="shared" si="0"/>
        <v>7584.6663519999984</v>
      </c>
    </row>
    <row r="5" spans="1:12" x14ac:dyDescent="0.2">
      <c r="H5" s="9">
        <f>H4+I4-K4</f>
        <v>7584.6663519999984</v>
      </c>
      <c r="I5" s="9">
        <f>H5*0.06</f>
        <v>455.0799811199999</v>
      </c>
      <c r="J5">
        <v>4</v>
      </c>
      <c r="K5" s="8">
        <v>1358.68</v>
      </c>
      <c r="L5" s="7">
        <f t="shared" si="0"/>
        <v>6681.0663331199976</v>
      </c>
    </row>
    <row r="6" spans="1:12" x14ac:dyDescent="0.2">
      <c r="H6" s="9">
        <f>H5+I5-K5</f>
        <v>6681.0663331199976</v>
      </c>
      <c r="I6" s="9">
        <f>H6*0.06</f>
        <v>400.86397998719985</v>
      </c>
      <c r="J6">
        <v>5</v>
      </c>
      <c r="K6" s="8">
        <v>1358.68</v>
      </c>
      <c r="L6" s="7">
        <f t="shared" si="0"/>
        <v>5723.2503131071971</v>
      </c>
    </row>
    <row r="7" spans="1:12" x14ac:dyDescent="0.2">
      <c r="H7" s="9">
        <f>H6+I6-K6</f>
        <v>5723.2503131071971</v>
      </c>
      <c r="I7" s="9">
        <f>H7*0.06</f>
        <v>343.39501878643182</v>
      </c>
      <c r="J7">
        <v>6</v>
      </c>
      <c r="K7" s="8">
        <v>1358.68</v>
      </c>
      <c r="L7" s="7">
        <f t="shared" si="0"/>
        <v>4707.9653318936289</v>
      </c>
    </row>
    <row r="8" spans="1:12" x14ac:dyDescent="0.2">
      <c r="H8" s="9">
        <f>H7+I7-K7</f>
        <v>4707.9653318936289</v>
      </c>
      <c r="I8" s="9">
        <f>H8*0.06</f>
        <v>282.47791991361771</v>
      </c>
      <c r="J8">
        <v>7</v>
      </c>
      <c r="K8" s="8">
        <v>1358.68</v>
      </c>
      <c r="L8" s="7">
        <f t="shared" si="0"/>
        <v>3631.763251807246</v>
      </c>
    </row>
    <row r="9" spans="1:12" x14ac:dyDescent="0.2">
      <c r="H9" s="9">
        <f>H8+I8-K8</f>
        <v>3631.763251807246</v>
      </c>
      <c r="I9" s="9">
        <f>H9*0.06</f>
        <v>217.90579510843475</v>
      </c>
      <c r="J9">
        <v>8</v>
      </c>
      <c r="K9" s="8">
        <v>1358.68</v>
      </c>
      <c r="L9" s="7">
        <f t="shared" si="0"/>
        <v>2490.9890469156808</v>
      </c>
    </row>
    <row r="10" spans="1:12" x14ac:dyDescent="0.2">
      <c r="H10" s="9">
        <f>H9+I9-K9</f>
        <v>2490.9890469156808</v>
      </c>
      <c r="I10" s="9">
        <f>H10*0.06</f>
        <v>149.45934281494084</v>
      </c>
      <c r="J10">
        <v>9</v>
      </c>
      <c r="K10" s="8">
        <v>1358.68</v>
      </c>
      <c r="L10" s="7">
        <f t="shared" si="0"/>
        <v>1281.7683897306217</v>
      </c>
    </row>
    <row r="11" spans="1:12" x14ac:dyDescent="0.2">
      <c r="H11" s="9">
        <f>H10+I10-K10</f>
        <v>1281.7683897306217</v>
      </c>
      <c r="I11" s="9">
        <f>H11*0.06</f>
        <v>76.906103383837305</v>
      </c>
      <c r="J11">
        <v>10</v>
      </c>
      <c r="K11" s="8">
        <v>1358.68</v>
      </c>
      <c r="L11" s="7">
        <f t="shared" si="0"/>
        <v>-5.5068855410809192E-3</v>
      </c>
    </row>
    <row r="12" spans="1:12" x14ac:dyDescent="0.2">
      <c r="K12" s="9"/>
      <c r="L12" s="9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bond_calculator</vt:lpstr>
      <vt:lpstr>loan_calculator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2022-05-01T10:51:51Z</dcterms:created>
  <dcterms:modified xsi:type="dcterms:W3CDTF">2022-05-03T15:59:05Z</dcterms:modified>
</cp:coreProperties>
</file>