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codeName="ThisWorkbook" defaultThemeVersion="124226"/>
  <mc:AlternateContent xmlns:mc="http://schemas.openxmlformats.org/markup-compatibility/2006">
    <mc:Choice Requires="x15">
      <x15ac:absPath xmlns:x15ac="http://schemas.microsoft.com/office/spreadsheetml/2010/11/ac" url="https://d.docs.live.net/1dd93ce00214dd26/Documents/Simpson Centre/NIR/2023 CRF Tables/"/>
    </mc:Choice>
  </mc:AlternateContent>
  <xr:revisionPtr revIDLastSave="1" documentId="13_ncr:1_{175F2E63-91F5-40C2-8109-3B1A0728FA31}" xr6:coauthVersionLast="47" xr6:coauthVersionMax="47" xr10:uidLastSave="{48502086-0F5D-4AA0-97CC-DFA65F0D4713}"/>
  <bookViews>
    <workbookView xWindow="57480" yWindow="-120" windowWidth="29040" windowHeight="15720" tabRatio="700" firstSheet="19" activeTab="2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I158" i="34"/>
  <c r="I70" i="34"/>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G52" i="34"/>
  <c r="G86" i="34"/>
  <c r="I78" i="34"/>
  <c r="I86" i="34"/>
  <c r="G78" i="34"/>
  <c r="I87" i="34"/>
  <c r="G56" i="34"/>
  <c r="I79" i="34"/>
  <c r="G57" i="34"/>
  <c r="G82" i="34"/>
  <c r="G58" i="34"/>
  <c r="I82" i="34"/>
  <c r="G60" i="34"/>
  <c r="I83" i="34"/>
  <c r="G31" i="34"/>
  <c r="H32" i="34"/>
  <c r="I33" i="34"/>
  <c r="H71" i="34"/>
  <c r="G30" i="34"/>
  <c r="H31" i="34"/>
  <c r="I32" i="34"/>
  <c r="I71" i="34"/>
  <c r="G29" i="34"/>
  <c r="H30" i="34"/>
  <c r="I31" i="34"/>
  <c r="G37" i="34"/>
  <c r="G59" i="34"/>
  <c r="H65" i="34"/>
  <c r="H67" i="34"/>
  <c r="H69" i="34"/>
  <c r="I72" i="34"/>
  <c r="G79" i="34"/>
  <c r="G83" i="34"/>
  <c r="G87" i="34"/>
  <c r="G28" i="34"/>
  <c r="H29" i="34"/>
  <c r="I30" i="34"/>
  <c r="G36" i="34"/>
  <c r="H37" i="34"/>
  <c r="I65" i="34"/>
  <c r="I67" i="34"/>
  <c r="I69" i="34"/>
  <c r="I73" i="34"/>
  <c r="G27" i="34"/>
  <c r="H28" i="34"/>
  <c r="I29" i="34"/>
  <c r="G35" i="34"/>
  <c r="H36" i="34"/>
  <c r="I37" i="34"/>
  <c r="G53" i="34"/>
  <c r="G61" i="34"/>
  <c r="I74" i="34"/>
  <c r="G80" i="34"/>
  <c r="G84" i="34"/>
  <c r="G88" i="34"/>
  <c r="G26" i="34"/>
  <c r="H27" i="34"/>
  <c r="I28" i="34"/>
  <c r="G34" i="34"/>
  <c r="H35" i="34"/>
  <c r="I36" i="34"/>
  <c r="G54" i="34"/>
  <c r="G62" i="34"/>
  <c r="I75" i="34"/>
  <c r="I80" i="34"/>
  <c r="I84" i="34"/>
  <c r="I88" i="34"/>
  <c r="H26" i="34"/>
  <c r="I27" i="34"/>
  <c r="G33" i="34"/>
  <c r="H34" i="34"/>
  <c r="I35" i="34"/>
  <c r="G55" i="34"/>
  <c r="H66" i="34"/>
  <c r="H68" i="34"/>
  <c r="H70" i="34"/>
  <c r="I76" i="34"/>
  <c r="G81" i="34"/>
  <c r="G85" i="34"/>
  <c r="G89" i="34"/>
  <c r="I26" i="34"/>
  <c r="G32" i="34"/>
  <c r="H33" i="34"/>
  <c r="I34" i="34"/>
  <c r="I66" i="34"/>
  <c r="I68" i="34"/>
  <c r="I81" i="34"/>
  <c r="I85" i="34"/>
  <c r="I89" i="34"/>
  <c r="G128" i="34"/>
  <c r="G135" i="34"/>
  <c r="G143" i="34"/>
  <c r="I151" i="34"/>
  <c r="G118" i="34"/>
  <c r="G120" i="34"/>
  <c r="G122" i="34"/>
  <c r="G124" i="34"/>
  <c r="G126" i="34"/>
  <c r="G138" i="34"/>
  <c r="I152" i="34"/>
  <c r="I45" i="59"/>
  <c r="G133" i="34"/>
  <c r="G141" i="34"/>
  <c r="I153" i="34"/>
  <c r="I15" i="59"/>
  <c r="G129" i="34"/>
  <c r="G136" i="34"/>
  <c r="I154" i="34"/>
  <c r="H16" i="59"/>
  <c r="G139" i="34"/>
  <c r="I147" i="34"/>
  <c r="I155" i="34"/>
  <c r="H15" i="59"/>
  <c r="H45" i="59"/>
  <c r="G119" i="34"/>
  <c r="G121" i="34"/>
  <c r="G123" i="34"/>
  <c r="G125" i="34"/>
  <c r="G127" i="34"/>
  <c r="G134" i="34"/>
  <c r="G142" i="34"/>
  <c r="I148" i="34"/>
  <c r="I156" i="34"/>
  <c r="D16" i="57"/>
  <c r="I22" i="59"/>
  <c r="G137" i="34"/>
  <c r="I149" i="34"/>
  <c r="I157" i="34"/>
  <c r="D18" i="57"/>
  <c r="G132" i="34"/>
  <c r="G140" i="34"/>
  <c r="I150" i="34"/>
  <c r="H22" i="59"/>
  <c r="H147" i="34"/>
  <c r="H148" i="34"/>
  <c r="H149" i="34"/>
  <c r="H150" i="34"/>
  <c r="H151" i="34"/>
  <c r="H152" i="34"/>
  <c r="H153" i="34"/>
  <c r="H154" i="34"/>
  <c r="H155" i="34"/>
  <c r="H156" i="34"/>
  <c r="H157" i="34"/>
  <c r="H158" i="34"/>
  <c r="H132" i="34"/>
  <c r="H133" i="34"/>
  <c r="H134" i="34"/>
  <c r="H135" i="34"/>
  <c r="H136" i="34"/>
  <c r="H137" i="34"/>
  <c r="H138" i="34"/>
  <c r="H139" i="34"/>
  <c r="H140" i="34"/>
  <c r="H141" i="34"/>
  <c r="H142" i="34"/>
  <c r="H143" i="34"/>
  <c r="H118" i="34"/>
  <c r="H119" i="34"/>
  <c r="H120" i="34"/>
  <c r="H121" i="34"/>
  <c r="H122" i="34"/>
  <c r="H123" i="34"/>
  <c r="H124" i="34"/>
  <c r="H125" i="34"/>
  <c r="H126" i="34"/>
  <c r="H127" i="34"/>
  <c r="H128" i="34"/>
  <c r="H129" i="34"/>
  <c r="I118" i="34"/>
  <c r="I119" i="34"/>
  <c r="I120" i="34"/>
  <c r="I121" i="34"/>
  <c r="I122" i="34"/>
  <c r="I123" i="34"/>
  <c r="I124" i="34"/>
  <c r="I125" i="34"/>
  <c r="I126" i="34"/>
  <c r="I127" i="34"/>
  <c r="I128" i="34"/>
  <c r="I129" i="34"/>
  <c r="D29" i="25"/>
  <c r="F29" i="25"/>
  <c r="G29" i="25"/>
  <c r="H29" i="25"/>
  <c r="I29" i="25"/>
  <c r="K29" i="25"/>
  <c r="M29" i="25"/>
  <c r="O29" i="25"/>
  <c r="I92" i="34"/>
  <c r="I93" i="34"/>
  <c r="I94" i="34"/>
  <c r="I95" i="34"/>
  <c r="I96" i="34"/>
  <c r="I97" i="34"/>
  <c r="I98" i="34"/>
  <c r="I99" i="34"/>
  <c r="I100" i="34"/>
  <c r="I101" i="34"/>
  <c r="I102" i="34"/>
  <c r="I103" i="34"/>
  <c r="K106" i="34"/>
  <c r="K107" i="34"/>
  <c r="K108" i="34"/>
  <c r="K109" i="34"/>
  <c r="K110" i="34"/>
  <c r="K111" i="34"/>
  <c r="K112" i="34"/>
  <c r="K113" i="34"/>
  <c r="K114" i="34"/>
  <c r="K115" i="34"/>
  <c r="K116" i="34"/>
  <c r="M106" i="34"/>
  <c r="M107" i="34"/>
  <c r="M108" i="34"/>
  <c r="M109" i="34"/>
  <c r="M110" i="34"/>
  <c r="M111" i="34"/>
  <c r="M112" i="34"/>
  <c r="M113" i="34"/>
  <c r="M114" i="34"/>
  <c r="M115" i="34"/>
  <c r="M116" i="34"/>
  <c r="H78" i="34"/>
  <c r="H79" i="34"/>
  <c r="H80" i="34"/>
  <c r="H81" i="34"/>
  <c r="H82" i="34"/>
  <c r="H83" i="34"/>
  <c r="H84" i="34"/>
  <c r="H85" i="34"/>
  <c r="H86" i="34"/>
  <c r="H87" i="34"/>
  <c r="H88" i="34"/>
  <c r="H89" i="34"/>
  <c r="G65" i="34"/>
  <c r="G66" i="34"/>
  <c r="G67" i="34"/>
  <c r="G68" i="34"/>
  <c r="G69" i="34"/>
  <c r="G70" i="34"/>
  <c r="G71" i="34"/>
  <c r="G72" i="34"/>
  <c r="G73" i="34"/>
  <c r="G74" i="34"/>
  <c r="G75" i="34"/>
  <c r="G76" i="34"/>
  <c r="H72" i="34"/>
  <c r="H73" i="34"/>
  <c r="H74" i="34"/>
  <c r="H75" i="34"/>
  <c r="H76" i="34"/>
  <c r="H52" i="34"/>
  <c r="H53" i="34"/>
  <c r="H54" i="34"/>
  <c r="H55" i="34"/>
  <c r="H56" i="34"/>
  <c r="H57" i="34"/>
  <c r="H58" i="34"/>
  <c r="H59" i="34"/>
  <c r="H60" i="34"/>
  <c r="H61" i="34"/>
  <c r="H62" i="34"/>
  <c r="H63" i="34"/>
  <c r="I52" i="34"/>
  <c r="I53" i="34"/>
  <c r="I54" i="34"/>
  <c r="I55" i="34"/>
  <c r="I56" i="34"/>
  <c r="I57" i="34"/>
  <c r="I58" i="34"/>
  <c r="I59" i="34"/>
  <c r="I60" i="34"/>
  <c r="I61" i="34"/>
  <c r="I62" i="34"/>
  <c r="I63" i="34"/>
  <c r="G63" i="34"/>
  <c r="M51" i="34" l="1"/>
  <c r="L51" i="34"/>
  <c r="K51" i="34"/>
  <c r="J51" i="34"/>
  <c r="L64" i="34"/>
  <c r="K64" i="34"/>
  <c r="M77" i="34"/>
  <c r="L77" i="34"/>
  <c r="K77" i="34"/>
  <c r="J77"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K131" i="34"/>
  <c r="K130" i="34" s="1"/>
  <c r="U30" i="25"/>
  <c r="T30" i="25"/>
  <c r="R30" i="25"/>
  <c r="O30" i="25"/>
  <c r="M30" i="25"/>
  <c r="K30" i="25"/>
  <c r="I30" i="25"/>
  <c r="H30" i="25"/>
  <c r="G30" i="25"/>
  <c r="F30" i="25"/>
  <c r="D30" i="25"/>
  <c r="J131" i="34"/>
  <c r="J130" i="34" s="1"/>
  <c r="C30" i="25"/>
  <c r="F49" i="22" s="1"/>
  <c r="M146"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D23" i="57"/>
  <c r="D21" i="57" s="1"/>
  <c r="H21" i="57"/>
  <c r="H20" i="57" s="1"/>
  <c r="Q11" i="50"/>
  <c r="K12" i="50"/>
  <c r="I23" i="57"/>
  <c r="G21" i="57"/>
  <c r="E23" i="57"/>
  <c r="K38" i="59"/>
  <c r="H39" i="59"/>
  <c r="S13" i="51"/>
  <c r="S11" i="51" s="1"/>
  <c r="Q11" i="51"/>
  <c r="K13" i="51"/>
  <c r="L38" i="59"/>
  <c r="I39" i="59"/>
  <c r="K20" i="59"/>
  <c r="H21" i="59"/>
  <c r="D112" i="34"/>
  <c r="G112" i="34" s="1"/>
  <c r="G99" i="34"/>
  <c r="K17" i="59"/>
  <c r="H17" i="59" s="1"/>
  <c r="H18" i="59"/>
  <c r="U14" i="49"/>
  <c r="U11" i="49" s="1"/>
  <c r="Q11" i="49"/>
  <c r="Q10" i="49" s="1"/>
  <c r="J14" i="49"/>
  <c r="L23" i="59"/>
  <c r="I23" i="59" s="1"/>
  <c r="I24" i="59"/>
  <c r="D111" i="34"/>
  <c r="G111" i="34" s="1"/>
  <c r="G98" i="34"/>
  <c r="K13" i="59"/>
  <c r="H14" i="59"/>
  <c r="I15" i="57"/>
  <c r="G13" i="57"/>
  <c r="E15" i="57"/>
  <c r="G97" i="34"/>
  <c r="D110" i="34"/>
  <c r="G110" i="34" s="1"/>
  <c r="L20" i="59"/>
  <c r="I21" i="59"/>
  <c r="M117" i="34"/>
  <c r="D109" i="34"/>
  <c r="G109" i="34" s="1"/>
  <c r="G96" i="34"/>
  <c r="L43" i="59"/>
  <c r="I44" i="59"/>
  <c r="L13" i="59"/>
  <c r="I14" i="59"/>
  <c r="L17" i="59"/>
  <c r="I17" i="59" s="1"/>
  <c r="I18" i="59"/>
  <c r="G11" i="57"/>
  <c r="I12" i="57"/>
  <c r="L117" i="34"/>
  <c r="G103" i="34"/>
  <c r="D116" i="34"/>
  <c r="G116" i="34" s="1"/>
  <c r="G95" i="34"/>
  <c r="D108" i="34"/>
  <c r="G108" i="34" s="1"/>
  <c r="I32" i="57"/>
  <c r="G30" i="57"/>
  <c r="E32" i="57"/>
  <c r="H13" i="57"/>
  <c r="D15" i="57"/>
  <c r="D13" i="57" s="1"/>
  <c r="F13" i="57" s="1"/>
  <c r="K117" i="34"/>
  <c r="G102" i="34"/>
  <c r="D115" i="34"/>
  <c r="G115" i="34" s="1"/>
  <c r="G94" i="34"/>
  <c r="D107" i="34"/>
  <c r="G107" i="34" s="1"/>
  <c r="D12" i="57"/>
  <c r="D11" i="57" s="1"/>
  <c r="H11" i="57"/>
  <c r="K23" i="59"/>
  <c r="H23" i="59" s="1"/>
  <c r="H24" i="59"/>
  <c r="M131" i="34"/>
  <c r="M130" i="34" s="1"/>
  <c r="G101" i="34"/>
  <c r="D114" i="34"/>
  <c r="G114" i="34" s="1"/>
  <c r="D106" i="34"/>
  <c r="G106" i="34" s="1"/>
  <c r="G93" i="34"/>
  <c r="I16" i="57"/>
  <c r="E16" i="57"/>
  <c r="I18" i="57"/>
  <c r="E18" i="57"/>
  <c r="G100" i="34"/>
  <c r="D113" i="34"/>
  <c r="G113" i="34" s="1"/>
  <c r="D105" i="34"/>
  <c r="G105" i="34" s="1"/>
  <c r="G92" i="34"/>
  <c r="M64" i="34"/>
  <c r="J64" i="34"/>
  <c r="M25" i="34"/>
  <c r="L25" i="34"/>
  <c r="K25" i="34"/>
  <c r="J25"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H22" i="73"/>
  <c r="G22" i="73"/>
  <c r="F23" i="73"/>
  <c r="H23" i="73"/>
  <c r="G23" i="73"/>
  <c r="F24" i="73"/>
  <c r="H24" i="73"/>
  <c r="G24" i="73"/>
  <c r="F25" i="73"/>
  <c r="H25" i="73"/>
  <c r="G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H21" i="73"/>
  <c r="G21" i="73"/>
  <c r="F28" i="109"/>
  <c r="O45" i="22"/>
  <c r="D49" i="70"/>
  <c r="E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F49" i="70"/>
  <c r="H49" i="70"/>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L22" i="132"/>
  <c r="E33" i="132"/>
  <c r="H39" i="132" l="1"/>
  <c r="H36" i="132"/>
  <c r="H35" i="132"/>
  <c r="C24" i="22" s="1"/>
  <c r="H45" i="132"/>
  <c r="H42" i="132" s="1"/>
  <c r="H64" i="132"/>
  <c r="C31" i="22" s="1"/>
  <c r="E64" i="132"/>
  <c r="C13" i="25"/>
  <c r="C12" i="25" s="1"/>
  <c r="C11" i="25" s="1"/>
  <c r="G12" i="33"/>
  <c r="G11" i="33" s="1"/>
  <c r="G10" i="33" s="1"/>
  <c r="F13" i="33"/>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F28" i="33"/>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Z14" i="73"/>
  <c r="Y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F11" i="73" s="1"/>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H11" i="73" l="1"/>
  <c r="I34" i="73"/>
  <c r="J34" i="73" s="1"/>
  <c r="G35" i="73"/>
  <c r="H45" i="70"/>
  <c r="T49" i="70"/>
  <c r="H46" i="70"/>
  <c r="H65" i="70"/>
  <c r="T42" i="70"/>
  <c r="T45" i="70"/>
  <c r="T44" i="70"/>
  <c r="T43"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G11" i="73" l="1"/>
  <c r="I35" i="73"/>
  <c r="J35" i="73" s="1"/>
  <c r="G65" i="70"/>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<sst xmlns="http://schemas.openxmlformats.org/spreadsheetml/2006/main" count="19811" uniqueCount="2523">
  <si>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</si>
  <si>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</si>
  <si>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</si>
  <si>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</si>
  <si>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</si>
  <si>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</si>
  <si>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</si>
  <si>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</si>
  <si>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</si>
  <si>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</si>
  <si>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</si>
  <si>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</si>
  <si>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</si>
  <si>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</si>
  <si>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</si>
  <si>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</si>
  <si>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</si>
  <si>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</si>
  <si>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</si>
  <si>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</si>
  <si>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</si>
  <si>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</si>
  <si>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</si>
  <si>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</si>
  <si>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</si>
  <si>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</si>
  <si>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</si>
  <si>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</si>
  <si>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</si>
  <si>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</si>
  <si>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</si>
  <si>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</si>
  <si>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</si>
  <si>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</si>
  <si>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</si>
  <si>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</si>
  <si>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</si>
  <si>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</si>
  <si>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</si>
  <si>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</si>
  <si>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</si>
  <si>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</si>
  <si>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</si>
  <si>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</si>
  <si>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</si>
  <si>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</si>
  <si>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</si>
  <si>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</si>
  <si>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</si>
  <si>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</si>
  <si>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</si>
  <si>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</si>
  <si>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</si>
  <si>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</si>
  <si>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</si>
  <si>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</si>
  <si>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</si>
  <si>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</si>
  <si>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</si>
  <si>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</si>
  <si>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</si>
  <si>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</si>
  <si>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</si>
  <si>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</si>
  <si>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</si>
  <si>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</si>
  <si>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</si>
  <si>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</si>
  <si>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</si>
  <si>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</si>
  <si>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</si>
  <si>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</si>
  <si>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</si>
  <si>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</si>
  <si>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</si>
  <si>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</si>
  <si>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</si>
  <si>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</si>
  <si>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</si>
  <si>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</si>
  <si>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</si>
  <si>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</si>
  <si>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</si>
  <si>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</si>
  <si>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</si>
  <si>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</si>
  <si>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</si>
  <si>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</si>
  <si>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</si>
  <si>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</si>
  <si>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</si>
  <si>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</si>
  <si>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</si>
  <si>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</si>
  <si>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</si>
  <si>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</si>
  <si>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</si>
  <si>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</si>
  <si>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</si>
  <si>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</si>
  <si>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</si>
  <si>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</si>
  <si>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</si>
  <si>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</si>
  <si>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</si>
  <si>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</si>
  <si>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</si>
  <si>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</si>
  <si>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</si>
  <si>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</si>
  <si>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</si>
  <si>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</si>
  <si>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</si>
  <si>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</si>
  <si>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</si>
  <si>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</si>
  <si>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</si>
  <si>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</si>
  <si>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</si>
  <si>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</si>
  <si>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</si>
  <si>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</si>
  <si>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</si>
  <si>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</si>
  <si>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</si>
  <si>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</si>
  <si>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</si>
  <si>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</si>
  <si>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</si>
  <si>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</si>
  <si>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</si>
  <si>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</si>
  <si>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</si>
  <si>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</si>
  <si>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</si>
  <si>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</si>
  <si>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</si>
  <si>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</si>
  <si>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</si>
  <si>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</si>
  <si>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</si>
  <si>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</si>
  <si>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</si>
  <si>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</si>
  <si>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</si>
  <si>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</si>
  <si>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</si>
  <si>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</si>
  <si>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</si>
  <si>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</si>
  <si>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</si>
  <si>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</si>
  <si>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</si>
  <si>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</si>
  <si>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</si>
  <si>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</si>
  <si>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</si>
  <si>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</si>
  <si>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</si>
  <si>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</si>
  <si>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</si>
  <si>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</si>
  <si>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</si>
  <si>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</si>
  <si>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</si>
  <si>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</si>
  <si>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</si>
  <si>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</si>
  <si>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</si>
  <si>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</si>
  <si>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</si>
  <si>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</si>
  <si>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</si>
  <si>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</si>
  <si>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</si>
  <si>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</si>
  <si>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</si>
  <si>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</si>
  <si>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</si>
  <si>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</si>
  <si>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</si>
  <si>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</si>
  <si>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</si>
  <si>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</si>
  <si>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</si>
  <si>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</si>
  <si>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</si>
  <si>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</si>
  <si>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</si>
  <si>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</si>
  <si>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</si>
  <si>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</si>
  <si>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</si>
  <si>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</si>
  <si>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</si>
  <si>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</si>
  <si>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</si>
  <si>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</si>
  <si>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</si>
  <si>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</si>
  <si>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</si>
  <si>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</si>
  <si>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</si>
  <si>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</si>
  <si>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</si>
  <si>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</si>
  <si>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</si>
  <si>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</si>
  <si>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</si>
  <si>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</si>
  <si>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</si>
  <si>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</si>
  <si>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</si>
  <si>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</si>
  <si>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</si>
  <si>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</si>
  <si>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</si>
  <si>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</si>
  <si>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</si>
  <si>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</si>
  <si>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</si>
  <si>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</si>
  <si>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</si>
  <si>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</si>
  <si>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</si>
  <si>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</si>
  <si>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</si>
  <si>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</si>
  <si>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</si>
  <si>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</si>
  <si>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</si>
  <si>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</si>
  <si>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</si>
  <si>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</si>
  <si>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</si>
  <si>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</si>
  <si>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</si>
  <si>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</si>
  <si>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</si>
  <si>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</si>
  <si>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</si>
  <si>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</si>
  <si>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</si>
  <si>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</si>
  <si>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</si>
  <si>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</si>
  <si>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</si>
  <si>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</si>
  <si>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</si>
  <si>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</si>
  <si>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</si>
  <si>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</si>
  <si>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</si>
  <si>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</si>
  <si>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</si>
  <si>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</si>
  <si>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</si>
  <si>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</si>
  <si>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</si>
  <si>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</si>
  <si>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</si>
  <si>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</si>
  <si>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</si>
  <si>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</si>
  <si>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</si>
  <si>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</si>
  <si>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</si>
  <si>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</si>
  <si>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</si>
  <si>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</si>
  <si>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</si>
  <si>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</si>
  <si>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</si>
  <si>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</si>
  <si>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</si>
  <si>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</si>
  <si>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</si>
  <si>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</si>
  <si>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</si>
  <si>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</si>
  <si>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</si>
  <si>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</si>
  <si>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</si>
  <si>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</si>
  <si>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</si>
  <si>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</si>
  <si>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</si>
  <si>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</si>
  <si>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</si>
  <si>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</si>
  <si>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</si>
  <si>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</si>
  <si>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</si>
  <si>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</si>
  <si>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</si>
  <si>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</si>
  <si>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</si>
  <si>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</si>
  <si>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</si>
  <si>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</si>
  <si>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</si>
  <si>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</si>
  <si>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</si>
  <si>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</si>
  <si>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</si>
  <si>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</si>
  <si>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</si>
  <si>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</si>
  <si>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</si>
  <si>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</si>
  <si>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</si>
  <si>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</si>
  <si>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</si>
  <si>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</si>
  <si>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</si>
  <si>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</si>
  <si>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</si>
  <si>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</si>
  <si>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</si>
  <si>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</si>
  <si>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</si>
  <si>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</si>
  <si>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</si>
  <si>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</si>
  <si>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</si>
  <si>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</si>
  <si>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</si>
  <si>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</si>
  <si>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</si>
  <si>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</si>
  <si>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</si>
  <si>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</si>
  <si>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</si>
  <si>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</si>
  <si>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</si>
  <si>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</si>
  <si>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</si>
  <si>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</si>
  <si>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</si>
  <si>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</si>
  <si>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</si>
  <si>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</si>
  <si>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</si>
  <si>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</si>
  <si>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</si>
  <si>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</si>
  <si>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</si>
  <si>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</si>
  <si>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</si>
  <si>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</si>
  <si>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</si>
  <si>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</si>
  <si>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</si>
  <si>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</si>
  <si>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</si>
  <si>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</si>
  <si>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</si>
  <si>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</si>
  <si>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</si>
  <si>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</si>
  <si>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</si>
  <si>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</si>
  <si>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</si>
  <si>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</si>
  <si>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</si>
  <si>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</si>
  <si>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</si>
  <si>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</si>
  <si>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</si>
  <si>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</si>
  <si>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</si>
  <si>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</si>
  <si>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</si>
  <si>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</si>
  <si>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</si>
  <si>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</si>
  <si>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</si>
  <si>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</si>
  <si>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</si>
  <si>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</si>
  <si>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</si>
  <si>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</si>
  <si>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</si>
  <si>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</si>
  <si>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</si>
  <si>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</si>
  <si>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</si>
  <si>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</si>
  <si>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</si>
  <si>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</si>
  <si>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</si>
  <si>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</si>
  <si>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</si>
  <si>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</si>
  <si>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</si>
  <si>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</si>
  <si>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</si>
  <si>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</si>
  <si>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</si>
  <si>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</si>
  <si>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</si>
  <si>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</si>
  <si>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</si>
  <si>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</si>
  <si>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</si>
  <si>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</si>
  <si>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</si>
  <si>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</si>
  <si>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</si>
  <si>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</si>
  <si>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</si>
  <si>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</si>
  <si>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</si>
  <si>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</si>
  <si>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</si>
  <si>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</si>
  <si>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</si>
  <si>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</si>
  <si>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</si>
  <si>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</si>
  <si>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</si>
  <si>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</si>
  <si>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</si>
  <si>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</si>
  <si>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</si>
  <si>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</si>
  <si>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</si>
  <si>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</si>
  <si>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</si>
  <si>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</si>
  <si>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</si>
  <si>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</si>
  <si>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</si>
  <si>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</si>
  <si>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</si>
  <si>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</si>
  <si>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</si>
  <si>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</si>
  <si>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</si>
  <si>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</si>
  <si>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</si>
  <si>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</si>
  <si>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</si>
  <si>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</si>
  <si>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</si>
  <si>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</si>
  <si>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</si>
  <si>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</si>
  <si>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</si>
  <si>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</si>
  <si>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</si>
  <si>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</si>
  <si>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</si>
  <si>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</si>
  <si>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</si>
  <si>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</si>
  <si>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</si>
  <si>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</si>
  <si>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</si>
  <si>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</si>
  <si>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</si>
  <si>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</si>
  <si>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</si>
  <si>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</si>
  <si>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</si>
  <si>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</si>
  <si>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</si>
  <si>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</si>
  <si>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</si>
  <si>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</si>
  <si>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</si>
  <si>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</si>
  <si>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</si>
  <si>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</si>
  <si>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</si>
  <si>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</si>
  <si>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</si>
  <si>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</si>
  <si>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</si>
  <si>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</si>
  <si>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</si>
  <si>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</si>
  <si>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</si>
  <si>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</si>
  <si>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</si>
  <si>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</si>
  <si>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</si>
  <si>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</si>
  <si>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</si>
  <si>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</si>
  <si>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</si>
  <si>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</si>
  <si>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</si>
  <si>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</si>
  <si>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</si>
  <si>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</si>
  <si>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</si>
  <si>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</si>
  <si>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</si>
  <si>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</si>
  <si>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</si>
  <si>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</si>
  <si>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</si>
  <si>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</si>
  <si>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</si>
  <si>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</si>
  <si>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</si>
  <si>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</si>
  <si>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</si>
  <si>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</si>
  <si>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</si>
  <si>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</si>
  <si>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</si>
  <si>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</si>
  <si>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</si>
  <si>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</si>
  <si>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</si>
  <si>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</si>
  <si>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</si>
  <si>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</si>
  <si>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</si>
  <si>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</si>
  <si>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</si>
  <si>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</si>
  <si>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</si>
  <si>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</si>
  <si>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</si>
  <si>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</si>
  <si>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</si>
  <si>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</si>
  <si>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</si>
  <si>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</si>
  <si>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</si>
  <si>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</si>
  <si>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</si>
  <si>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</si>
  <si>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</si>
  <si>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</si>
  <si>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</si>
  <si>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</si>
  <si>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</si>
  <si>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</si>
  <si>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</si>
  <si>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</si>
  <si>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</si>
  <si>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</si>
  <si>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</si>
  <si>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</si>
  <si>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</si>
  <si>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</si>
  <si>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</si>
  <si>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</si>
  <si>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</si>
  <si>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</si>
  <si>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</si>
  <si>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</si>
  <si>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</si>
  <si>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</si>
  <si>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</si>
  <si>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</si>
  <si>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</si>
  <si>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</si>
  <si>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</si>
  <si>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</si>
  <si>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</si>
  <si>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</si>
  <si>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</si>
  <si>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</si>
  <si>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</si>
  <si>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</si>
  <si>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</si>
  <si>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</si>
  <si>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</si>
  <si>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</si>
  <si>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</si>
  <si>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</si>
  <si>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</si>
  <si>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</si>
  <si>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</si>
  <si>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</si>
  <si>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</si>
  <si>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</si>
  <si>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</si>
  <si>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</si>
  <si>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</si>
  <si>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</si>
  <si>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</si>
  <si>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</si>
  <si>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</si>
  <si>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</si>
  <si>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</si>
  <si>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</si>
  <si>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</si>
  <si>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</si>
  <si>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</si>
  <si>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</si>
  <si>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</si>
  <si>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</si>
  <si>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</si>
  <si>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</si>
  <si>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</si>
  <si>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</si>
  <si>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</si>
  <si>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</si>
  <si>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</si>
  <si>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</si>
  <si>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</si>
  <si>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</si>
  <si>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</si>
  <si>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</si>
  <si>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</si>
  <si>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</si>
  <si>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</si>
  <si>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</si>
  <si>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</si>
  <si>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</si>
  <si>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</si>
  <si>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</si>
  <si>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</si>
  <si>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</si>
  <si>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</si>
  <si>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</si>
  <si>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</si>
  <si>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</si>
  <si>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</si>
  <si>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</si>
  <si>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</si>
  <si>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</si>
  <si>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</si>
  <si>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</si>
  <si>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</si>
  <si>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</si>
  <si>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</si>
  <si>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</si>
  <si>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</si>
  <si>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</si>
  <si>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</si>
  <si>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</si>
  <si>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</si>
  <si>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</si>
  <si>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</si>
  <si>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</si>
  <si>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</si>
  <si>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</si>
  <si>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</si>
  <si>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</si>
  <si>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</si>
  <si>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</si>
  <si>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</si>
  <si>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</si>
  <si>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</si>
  <si>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</si>
  <si>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</si>
  <si>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</si>
  <si>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</si>
  <si>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</si>
  <si>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</si>
  <si>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</si>
  <si>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</si>
  <si>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</si>
  <si>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</si>
  <si>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</si>
  <si>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</si>
  <si>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</si>
  <si>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</si>
  <si>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</si>
  <si>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</si>
  <si>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</si>
  <si>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</si>
  <si>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</si>
  <si>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</si>
  <si>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</si>
  <si>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</si>
  <si>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</si>
  <si>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</si>
  <si>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</si>
  <si>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</si>
  <si>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</si>
  <si>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</si>
  <si>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</si>
  <si>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</si>
  <si>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</si>
  <si>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</si>
  <si>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</si>
  <si>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</si>
  <si>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</si>
  <si>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</si>
  <si>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</si>
  <si>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</si>
  <si>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</si>
  <si>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</si>
  <si>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</si>
  <si>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</si>
  <si>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</si>
  <si>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</si>
  <si>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</si>
  <si>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</si>
  <si>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</si>
  <si>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</si>
  <si>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</si>
  <si>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</si>
  <si>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</si>
  <si>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</si>
  <si>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</si>
  <si>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</si>
  <si>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</si>
  <si>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</si>
  <si>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</si>
  <si>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</si>
  <si>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</si>
  <si>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</si>
  <si>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</si>
  <si>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</si>
  <si>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</si>
  <si>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</si>
  <si>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</si>
  <si>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</si>
  <si>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</si>
  <si>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</si>
  <si>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</si>
  <si>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</si>
  <si>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</si>
  <si>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</si>
  <si>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</si>
  <si>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</si>
  <si>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</si>
  <si>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</si>
  <si>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</si>
  <si>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</si>
  <si>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</si>
  <si>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</si>
  <si>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</si>
  <si>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</si>
  <si>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</si>
  <si>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</si>
  <si>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</si>
  <si>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</si>
  <si>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</si>
  <si>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</si>
  <si>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</si>
  <si>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</si>
  <si>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</si>
  <si>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</si>
  <si>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</si>
  <si>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</si>
  <si>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</si>
  <si>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</si>
  <si>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</si>
  <si>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</si>
  <si>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</si>
  <si>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</si>
  <si>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</si>
  <si>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</si>
  <si>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</si>
  <si>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</si>
  <si>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</si>
  <si>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</si>
  <si>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</si>
  <si>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</si>
  <si>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</si>
  <si>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</si>
  <si>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</si>
  <si>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</si>
  <si>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</si>
  <si>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</si>
  <si>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</si>
  <si>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</si>
  <si>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</si>
  <si>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</si>
  <si>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</si>
  <si>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</si>
  <si>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</si>
  <si>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</si>
  <si>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</si>
  <si>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</si>
  <si>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</si>
  <si>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</si>
  <si>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</si>
  <si>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</si>
  <si>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</si>
  <si>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</si>
  <si>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</si>
  <si>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</si>
  <si>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</si>
  <si>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</si>
  <si>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</si>
  <si>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</si>
  <si>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</si>
  <si>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</si>
  <si>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</si>
  <si>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</si>
  <si>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</si>
  <si>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</si>
  <si>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</si>
  <si>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</si>
  <si>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</si>
  <si>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</si>
  <si>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</si>
  <si>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</si>
  <si>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</si>
  <si>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</si>
  <si>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</si>
  <si>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</si>
  <si>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</si>
  <si>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</si>
  <si>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</si>
  <si>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</si>
  <si>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</si>
  <si>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</si>
  <si>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</si>
  <si>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</si>
  <si>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</si>
  <si>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</si>
  <si>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</si>
  <si>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</si>
  <si>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</si>
  <si>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</si>
  <si>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</si>
  <si>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</si>
  <si>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</si>
  <si>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</si>
  <si>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</si>
  <si>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</si>
  <si>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</si>
  <si>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</si>
  <si>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</si>
  <si>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</si>
  <si>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</si>
  <si>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</si>
  <si>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</si>
  <si>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</si>
  <si>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</si>
  <si>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</si>
  <si>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</si>
  <si>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</si>
  <si>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</si>
  <si>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</si>
  <si>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</si>
  <si>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</si>
  <si>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</si>
  <si>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</si>
  <si>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</si>
  <si>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</si>
  <si>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</si>
  <si>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</si>
  <si>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</si>
  <si>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</si>
  <si>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</si>
  <si>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</si>
  <si>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</si>
  <si>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</si>
  <si>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</si>
  <si>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</si>
  <si>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</si>
  <si>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</si>
  <si>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</si>
  <si>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</si>
  <si>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</si>
  <si>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</si>
  <si>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</si>
  <si>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</si>
  <si>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</si>
  <si>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</si>
  <si>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</si>
  <si>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</si>
  <si>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</si>
  <si>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</si>
  <si>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</si>
  <si>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</si>
  <si>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</si>
  <si>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</si>
  <si>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</si>
  <si>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</si>
  <si>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</si>
  <si>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</si>
  <si>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</si>
  <si>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</si>
  <si>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</si>
  <si>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</si>
  <si>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</si>
  <si>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</si>
  <si>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</si>
  <si>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</si>
  <si>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</si>
  <si>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</si>
  <si>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</si>
  <si>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</si>
  <si>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</si>
  <si>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</si>
  <si>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</si>
  <si>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</si>
  <si>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</si>
  <si>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</si>
  <si>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</si>
  <si>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</si>
  <si>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</si>
  <si>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</si>
  <si>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</si>
  <si>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</si>
  <si>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</si>
  <si>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</si>
  <si>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</si>
  <si>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</si>
  <si>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</si>
  <si>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</si>
  <si>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</si>
  <si>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</si>
  <si>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</si>
  <si>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</si>
  <si>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</si>
  <si>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</si>
  <si>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</si>
  <si>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</si>
  <si>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</si>
  <si>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</si>
  <si>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</si>
  <si>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</si>
  <si>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</si>
  <si>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</si>
  <si>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</si>
  <si>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</si>
  <si>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</si>
  <si>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</si>
  <si>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</si>
  <si>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</si>
  <si>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</si>
  <si>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</si>
  <si>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</si>
  <si>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</si>
  <si>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</si>
  <si>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</si>
  <si>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</si>
  <si>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</si>
  <si>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</si>
  <si>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</si>
  <si>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</si>
  <si>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</si>
  <si>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</si>
  <si>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</si>
  <si>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</si>
  <si>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</si>
  <si>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</si>
  <si>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</si>
  <si>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</si>
  <si>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</si>
  <si>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</si>
  <si>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</si>
  <si>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</si>
  <si>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</si>
  <si>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</si>
  <si>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</si>
  <si>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</si>
  <si>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</si>
  <si>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</si>
  <si>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</si>
  <si>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</si>
  <si>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</si>
  <si>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</si>
  <si>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</si>
  <si>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</si>
  <si>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</si>
  <si>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</si>
  <si>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</si>
  <si>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</si>
  <si>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</si>
  <si>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</si>
  <si>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</si>
  <si>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</si>
  <si>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</si>
  <si>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</si>
  <si>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</si>
  <si>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</si>
  <si>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</si>
  <si>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</si>
  <si>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</si>
  <si>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</si>
  <si>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</si>
  <si>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</si>
  <si>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</si>
  <si>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</si>
  <si>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</si>
  <si>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</si>
  <si>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</si>
  <si>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</si>
  <si>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</si>
  <si>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</si>
  <si>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</si>
  <si>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</si>
  <si>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</si>
  <si>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</si>
  <si>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</si>
  <si>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</si>
  <si>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</si>
  <si>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</si>
  <si>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</si>
  <si>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</si>
  <si>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</si>
  <si>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</si>
  <si>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</si>
  <si>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</si>
  <si>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</si>
  <si>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</si>
  <si>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</si>
  <si>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</si>
  <si>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</si>
  <si>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</si>
  <si>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</si>
  <si>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</si>
  <si>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</si>
  <si>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</si>
  <si>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</si>
  <si>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</si>
  <si>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</si>
  <si>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</si>
  <si>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</si>
  <si>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</si>
  <si>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</si>
  <si>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</si>
  <si>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</si>
  <si>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</si>
  <si>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</si>
  <si>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</si>
  <si>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</si>
  <si>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</si>
  <si>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</si>
  <si>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</si>
  <si>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</si>
  <si>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</si>
  <si>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</si>
  <si>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</si>
  <si>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</si>
  <si>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</si>
  <si>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</si>
  <si>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</si>
  <si>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</si>
  <si>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</si>
  <si>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</si>
  <si>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</si>
  <si>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</si>
  <si>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</si>
  <si>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</si>
  <si>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</si>
  <si>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</si>
  <si>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</si>
  <si>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</si>
  <si>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</si>
  <si>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</si>
  <si>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</si>
  <si>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</si>
  <si>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</si>
  <si>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</si>
  <si>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</si>
  <si>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</si>
  <si>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</si>
  <si>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</si>
  <si>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</si>
  <si>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</si>
  <si>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</si>
  <si>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</si>
  <si>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</si>
  <si>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</si>
  <si>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</si>
  <si>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</si>
  <si>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</si>
  <si>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</si>
  <si>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</si>
  <si>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</si>
  <si>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</si>
  <si>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</si>
  <si>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</si>
  <si>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</si>
  <si>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</si>
  <si>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</si>
  <si>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</si>
  <si>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</si>
  <si>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</si>
  <si>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</si>
  <si>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</si>
  <si>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</si>
  <si>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</si>
  <si>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</si>
  <si>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</si>
  <si>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</si>
  <si>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</si>
  <si>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</si>
  <si>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</si>
  <si>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</si>
  <si>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</si>
  <si>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</si>
  <si>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</si>
  <si>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</si>
  <si>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</si>
  <si>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</si>
  <si>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</si>
  <si>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</si>
  <si>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</si>
  <si>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</si>
  <si>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</si>
  <si>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</si>
  <si>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</si>
  <si>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</si>
  <si>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</si>
  <si>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</si>
  <si>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</si>
  <si>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</si>
  <si>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</si>
  <si>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</si>
  <si>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</si>
  <si>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</si>
  <si>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</si>
  <si>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</si>
  <si>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</si>
  <si>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</si>
  <si>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</si>
  <si>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</si>
  <si>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</si>
  <si>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</si>
  <si>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</si>
  <si>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</si>
  <si>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</si>
  <si>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</si>
  <si>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</si>
  <si>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</si>
  <si>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</si>
  <si>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</si>
  <si>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</si>
  <si>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</si>
  <si>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</si>
  <si>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</si>
  <si>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</si>
  <si>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</si>
  <si>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</si>
  <si>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</si>
  <si>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</si>
  <si>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</si>
  <si>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</si>
  <si>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</si>
  <si>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</si>
  <si>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</si>
  <si>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</si>
  <si>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</si>
  <si>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</si>
  <si>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</si>
  <si>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</si>
  <si>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</si>
  <si>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</si>
  <si>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</si>
  <si>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</si>
  <si>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</si>
  <si>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</si>
  <si>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</si>
  <si>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</si>
  <si>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</si>
  <si>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</si>
  <si>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</si>
  <si>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</si>
  <si>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</si>
  <si>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</si>
  <si>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</si>
  <si>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</si>
  <si>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</si>
  <si>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</si>
  <si>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</si>
  <si>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</si>
  <si>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</si>
  <si>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</si>
  <si>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</si>
  <si>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</si>
  <si>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</si>
  <si>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</si>
  <si>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</si>
  <si>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</si>
  <si>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</si>
  <si>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</si>
  <si>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</si>
  <si>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</si>
  <si>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</si>
  <si>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</si>
  <si>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</si>
  <si>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</si>
  <si>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</si>
  <si>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</si>
  <si>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</si>
  <si>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</si>
  <si>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</si>
  <si>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</si>
  <si>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</si>
  <si>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</si>
  <si>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</si>
  <si>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</si>
  <si>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</si>
  <si>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</si>
  <si>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</si>
  <si>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</si>
  <si>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</si>
  <si>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</si>
  <si>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</si>
  <si>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</si>
  <si>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</si>
  <si>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</si>
  <si>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</si>
  <si>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</si>
  <si>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</si>
  <si>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</si>
  <si>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</si>
  <si>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</si>
  <si>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</si>
  <si>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</si>
  <si>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</si>
  <si>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</si>
  <si>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</si>
  <si>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</si>
  <si>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</si>
  <si>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</si>
  <si>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</si>
  <si>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</si>
  <si>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</si>
  <si>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</si>
  <si>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</si>
  <si>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</si>
  <si>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</si>
  <si>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</si>
  <si>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</si>
  <si>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</si>
  <si>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</si>
  <si>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</si>
  <si>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</si>
  <si>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</si>
  <si>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</si>
  <si>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</si>
  <si>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</si>
  <si>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</si>
  <si>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</si>
  <si>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</si>
  <si>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</si>
  <si>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</si>
  <si>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</si>
  <si>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</si>
  <si>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</si>
  <si>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</si>
  <si>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</si>
  <si>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</si>
  <si>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</si>
  <si>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</si>
  <si>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</si>
  <si>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</si>
  <si>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</si>
  <si>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</si>
  <si>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</si>
  <si>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</si>
  <si>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</si>
  <si>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</si>
  <si>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</si>
  <si>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</si>
  <si>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</si>
  <si>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</si>
  <si>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</si>
  <si>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</si>
  <si>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</si>
  <si>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</si>
  <si>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</si>
  <si>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</si>
  <si>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</si>
  <si>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</si>
  <si>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</si>
  <si>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</si>
  <si>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</si>
  <si>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</si>
  <si>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</si>
  <si>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</si>
  <si>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</si>
  <si>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</si>
  <si>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</si>
  <si>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</si>
  <si>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</si>
  <si>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</si>
  <si>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</si>
  <si>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</si>
  <si>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</si>
  <si>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</si>
  <si>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</si>
  <si>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</si>
  <si>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</si>
  <si>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</si>
  <si>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</si>
  <si>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</si>
  <si>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</si>
  <si>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</si>
  <si>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</si>
  <si>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</si>
  <si>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</si>
  <si>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</si>
  <si>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</si>
  <si>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</si>
  <si>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</si>
  <si>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</si>
  <si>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</si>
  <si>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</si>
  <si>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</si>
  <si>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</si>
  <si>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</si>
  <si>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</si>
  <si>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</si>
  <si>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</si>
  <si>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</si>
  <si>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</si>
  <si>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</si>
  <si>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</si>
  <si>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</si>
  <si>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</si>
  <si>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</si>
  <si>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</si>
  <si>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</si>
  <si>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</si>
  <si>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</si>
  <si>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</si>
  <si>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</si>
  <si>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</si>
  <si>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</si>
  <si>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</si>
  <si>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</si>
  <si>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</si>
  <si>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</si>
  <si>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</si>
  <si>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</si>
  <si>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</si>
  <si>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</si>
  <si>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</si>
  <si>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</si>
  <si>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</si>
  <si>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</si>
  <si>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</si>
  <si>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</si>
  <si>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</si>
  <si>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</si>
  <si>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</si>
  <si>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</si>
  <si>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</si>
  <si>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</si>
  <si>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</si>
  <si>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</si>
  <si>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</si>
  <si>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</si>
  <si>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</si>
  <si>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</si>
  <si>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</si>
  <si>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</si>
  <si>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</si>
  <si>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</si>
  <si>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</si>
  <si>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</si>
  <si>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</si>
  <si>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</si>
  <si>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</si>
  <si>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</si>
  <si>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</si>
  <si>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</si>
  <si>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</si>
  <si>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</si>
  <si>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</si>
  <si>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</si>
  <si>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</si>
  <si>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</si>
  <si>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</si>
  <si>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</si>
  <si>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</si>
  <si>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</si>
  <si>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</si>
  <si>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</si>
  <si>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</si>
  <si>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</si>
  <si>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</si>
  <si>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</si>
  <si>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</si>
  <si>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</si>
  <si>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</si>
  <si>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</si>
  <si>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</si>
  <si>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</si>
  <si>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</si>
  <si>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</si>
  <si>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</si>
  <si>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</si>
  <si>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</si>
  <si>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</si>
  <si>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</si>
  <si>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</si>
  <si>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</si>
  <si>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</si>
  <si>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</si>
  <si>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</si>
  <si>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</si>
  <si>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</si>
  <si>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</si>
  <si>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</si>
  <si>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</si>
  <si>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</si>
  <si>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</si>
  <si>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</si>
  <si>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</si>
  <si>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</si>
  <si>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</si>
  <si>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</si>
  <si>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</si>
  <si>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</si>
  <si>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</si>
  <si>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</si>
  <si>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</si>
  <si>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</si>
  <si>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</si>
  <si>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</si>
  <si>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</si>
  <si>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</si>
  <si>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</si>
  <si>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</si>
  <si>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</si>
  <si>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</si>
  <si>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</si>
  <si>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</si>
  <si>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</si>
  <si>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</si>
  <si>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</si>
  <si>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</si>
  <si>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</si>
  <si>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</si>
  <si>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</si>
  <si>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</si>
  <si>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</si>
  <si>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</si>
  <si>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</si>
  <si>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</si>
  <si>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</si>
  <si>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</si>
  <si>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</si>
  <si>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</si>
  <si>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</si>
  <si>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</si>
  <si>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</si>
  <si>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</si>
  <si>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</si>
  <si>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</si>
  <si>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</si>
  <si>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</si>
  <si>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</si>
  <si>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</si>
  <si>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</si>
  <si>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</si>
  <si>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</si>
  <si>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</si>
  <si>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</si>
  <si>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</si>
  <si>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</si>
  <si>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</si>
  <si>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</si>
  <si>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</si>
  <si>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</si>
  <si>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</si>
  <si>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</si>
  <si>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</si>
  <si>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</si>
  <si>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</si>
  <si>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</si>
  <si>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</si>
  <si>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</si>
  <si>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</si>
  <si>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</si>
  <si>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</si>
  <si>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</si>
  <si>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</si>
  <si>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</si>
  <si>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</si>
  <si>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</si>
  <si>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</si>
  <si>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</si>
  <si>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</si>
  <si>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</si>
  <si>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</si>
  <si>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</si>
  <si>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</si>
  <si>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</si>
  <si>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</si>
  <si>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</si>
  <si>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</si>
  <si>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</si>
  <si>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</si>
  <si>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</si>
  <si>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</si>
  <si>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</si>
  <si>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</si>
  <si>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</si>
  <si>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</si>
  <si>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</si>
  <si>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</si>
  <si>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</si>
  <si>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</si>
  <si>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</si>
  <si>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</si>
  <si>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</si>
  <si>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</si>
  <si>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</si>
  <si>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</si>
  <si>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</si>
  <si>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</si>
  <si>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</si>
  <si>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</si>
  <si>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</si>
  <si>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</si>
  <si>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</si>
  <si>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</si>
  <si>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</si>
  <si>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</si>
  <si>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</si>
  <si>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</si>
  <si>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</si>
  <si>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</si>
  <si>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</si>
  <si>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</si>
  <si>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</si>
  <si>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</si>
  <si>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</si>
  <si>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</si>
  <si>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</si>
  <si>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</si>
  <si>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</si>
  <si>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</si>
  <si>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</si>
  <si>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</si>
  <si>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</si>
  <si>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</si>
  <si>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</si>
  <si>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</si>
  <si>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</si>
  <si>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</si>
  <si>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</si>
  <si>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</si>
  <si>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</si>
  <si>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</si>
  <si>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</si>
  <si>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</si>
  <si>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</si>
  <si>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</si>
  <si>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</si>
  <si>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</si>
  <si>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</si>
  <si>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</si>
  <si>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</si>
  <si>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</si>
  <si>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</si>
  <si>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</si>
  <si>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</si>
  <si>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</si>
  <si>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</si>
  <si>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</si>
  <si>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</si>
  <si>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</si>
  <si>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</si>
  <si>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</si>
  <si>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</si>
  <si>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</si>
  <si>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</si>
  <si>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</si>
  <si>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</si>
  <si>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</si>
  <si>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</si>
  <si>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</si>
  <si>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</si>
  <si>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</si>
  <si>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</si>
  <si>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</si>
  <si>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</si>
  <si>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</si>
  <si>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</si>
  <si>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</si>
  <si>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</si>
  <si>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</si>
  <si>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</si>
  <si>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</si>
  <si>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</si>
  <si>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</si>
  <si>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</si>
  <si>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</si>
  <si>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</si>
  <si>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</si>
  <si>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</si>
  <si>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</si>
  <si>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</si>
  <si>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</si>
  <si>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</si>
  <si>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</si>
  <si>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</si>
  <si>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</si>
  <si>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</si>
  <si>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</si>
  <si>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</si>
  <si>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</si>
  <si>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</si>
  <si>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</si>
  <si>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</si>
  <si>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</si>
  <si>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</si>
  <si>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</si>
  <si>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</si>
  <si>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</si>
  <si>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</si>
  <si>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</si>
  <si>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</si>
  <si>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</si>
  <si>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</si>
  <si>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</si>
  <si>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</si>
  <si>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</si>
  <si>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</si>
  <si>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</si>
  <si>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</si>
  <si>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</si>
  <si>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</si>
  <si>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</si>
  <si>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</si>
  <si>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</si>
  <si>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</si>
  <si>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</si>
  <si>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</si>
  <si>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</si>
  <si>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</si>
  <si>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</si>
  <si>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</si>
  <si>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</si>
  <si>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</si>
  <si>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</si>
  <si>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</si>
  <si>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</si>
  <si>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</si>
  <si>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</si>
  <si>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</si>
  <si>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</si>
  <si>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</si>
  <si>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</si>
  <si>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</si>
  <si>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</si>
  <si>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</si>
  <si>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</si>
  <si>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</si>
  <si>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</si>
  <si>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</si>
  <si>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</si>
  <si>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</si>
  <si>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</si>
  <si>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</si>
  <si>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</si>
  <si>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</si>
  <si>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</si>
  <si>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</si>
  <si>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</si>
  <si>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</si>
  <si>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</si>
  <si>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</si>
  <si>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</si>
  <si>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</si>
  <si>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</si>
  <si>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</si>
  <si>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</si>
  <si>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</si>
  <si>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</si>
  <si>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</si>
  <si>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</si>
  <si>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</si>
  <si>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</si>
  <si>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</si>
  <si>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</si>
  <si>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</si>
  <si>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</si>
  <si>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</si>
  <si>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</si>
  <si>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</si>
  <si>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</si>
  <si>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</si>
  <si>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</si>
  <si>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</si>
  <si>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</si>
  <si>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</si>
  <si>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</si>
  <si>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</si>
  <si>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</si>
  <si>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</si>
  <si>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</si>
  <si>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</si>
  <si>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</si>
  <si>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</si>
  <si>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</si>
  <si>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</si>
  <si>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</si>
  <si>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</si>
  <si>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</si>
  <si>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</si>
  <si>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</si>
  <si>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</si>
  <si>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</si>
  <si>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</si>
  <si>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</si>
  <si>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</si>
  <si>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</si>
  <si>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</si>
  <si>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</si>
  <si>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</si>
  <si>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</si>
  <si>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</si>
  <si>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</si>
  <si>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</si>
  <si>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</si>
  <si>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</si>
  <si>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</si>
  <si>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</si>
  <si>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</si>
  <si>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</si>
  <si>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</si>
  <si>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</si>
  <si>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</si>
  <si>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</si>
  <si>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</si>
  <si>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</si>
  <si>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</si>
  <si>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</si>
  <si>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</si>
  <si>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</si>
  <si>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</si>
  <si>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</si>
  <si>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</si>
  <si>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</si>
  <si>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</si>
  <si>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</si>
  <si>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</si>
  <si>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</si>
  <si>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</si>
  <si>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</si>
  <si>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</si>
  <si>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</si>
  <si>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</si>
  <si>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</si>
  <si>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</si>
  <si>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</si>
  <si>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</si>
  <si>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</si>
  <si>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</si>
  <si>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</si>
  <si>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</si>
  <si>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</si>
  <si>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</si>
  <si>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</si>
  <si>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</si>
  <si>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</si>
  <si>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</si>
  <si>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</si>
  <si>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</si>
  <si>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</si>
  <si>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</si>
  <si>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</si>
  <si>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</si>
  <si>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</si>
  <si>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</si>
  <si>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</si>
  <si>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</si>
  <si>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</si>
  <si>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</si>
  <si>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</si>
  <si>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</si>
  <si>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</si>
  <si>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</si>
  <si>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</si>
  <si>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</si>
  <si>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</si>
  <si>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</si>
  <si>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</si>
  <si>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</si>
  <si>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</si>
  <si>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</si>
  <si>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</si>
  <si>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</si>
  <si>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</si>
  <si>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</si>
  <si>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</si>
  <si>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</si>
  <si>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</si>
  <si>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</si>
  <si>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</si>
  <si>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</si>
  <si>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</si>
  <si>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</si>
  <si>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</si>
  <si>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</si>
  <si>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</si>
  <si>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</si>
  <si>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</si>
  <si>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</si>
  <si>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</si>
  <si>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</si>
  <si>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</si>
  <si>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</si>
  <si>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</si>
  <si>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</si>
  <si>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</si>
  <si>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</si>
  <si>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</si>
  <si>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</si>
  <si>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</si>
  <si>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</si>
  <si>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</si>
  <si>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</si>
  <si>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</si>
  <si>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</si>
  <si>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</si>
  <si>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</si>
  <si>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</si>
  <si>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</si>
  <si>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</si>
  <si>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</si>
  <si>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</si>
  <si>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</si>
  <si>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</si>
  <si>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</si>
  <si>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</si>
  <si>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</si>
  <si>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</si>
  <si>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</si>
  <si>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</si>
  <si>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</si>
  <si>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</si>
  <si>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</si>
  <si>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</si>
  <si>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</si>
  <si>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</si>
  <si>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</si>
  <si>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</si>
  <si>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</si>
  <si>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</si>
  <si>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</si>
  <si>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</si>
  <si>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</si>
  <si>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</si>
  <si>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</si>
  <si>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</si>
  <si>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</si>
  <si>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</si>
  <si>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</si>
  <si>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</si>
  <si>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</si>
  <si>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</si>
  <si>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</si>
  <si>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</si>
  <si>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</si>
  <si>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</si>
  <si>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</si>
  <si>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</si>
  <si>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</si>
  <si>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</si>
  <si>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</si>
  <si>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</si>
  <si>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</si>
  <si>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</si>
  <si>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</si>
  <si>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</si>
  <si>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</si>
  <si>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</si>
  <si>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</si>
  <si>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</si>
  <si>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</si>
  <si>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</si>
  <si>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</si>
  <si>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</si>
  <si>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</si>
  <si>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</si>
  <si>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</si>
  <si>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</si>
  <si>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</si>
  <si>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</si>
  <si>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</si>
  <si>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</si>
  <si>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</si>
  <si>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</si>
  <si>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</si>
  <si>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</si>
  <si>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</si>
  <si>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</si>
  <si>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</si>
  <si>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</si>
  <si>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</si>
  <si>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</si>
  <si>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</si>
  <si>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</si>
  <si>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</si>
  <si>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</si>
  <si>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</si>
  <si>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</si>
  <si>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</si>
  <si>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</si>
  <si>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</si>
  <si>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</si>
  <si>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</si>
  <si>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</si>
  <si>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</si>
  <si>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</si>
  <si>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</si>
  <si>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</si>
  <si>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</si>
  <si>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</si>
  <si>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</si>
  <si>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</si>
  <si>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</si>
  <si>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</si>
  <si>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</si>
  <si>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</si>
  <si>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</si>
  <si>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</si>
  <si>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</si>
  <si>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</si>
  <si>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</si>
  <si>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</si>
  <si>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</si>
  <si>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</si>
  <si>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</si>
  <si>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</si>
  <si>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</si>
  <si>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</si>
  <si>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</si>
  <si>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</si>
  <si>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</si>
  <si>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</si>
  <si>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</si>
  <si>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</si>
  <si>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</si>
  <si>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</si>
  <si>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</si>
  <si>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</si>
  <si>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</si>
  <si>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</si>
  <si>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</si>
  <si>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</si>
  <si>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</si>
  <si>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</si>
  <si>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</si>
  <si>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</si>
  <si>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</si>
  <si>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</si>
  <si>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</si>
  <si>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</si>
  <si>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</si>
  <si>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</si>
  <si>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</si>
  <si>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</si>
  <si>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</si>
  <si>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</si>
  <si>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</si>
  <si>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</si>
  <si>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</si>
  <si>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</si>
  <si>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</si>
  <si>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</si>
  <si>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</si>
  <si>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</si>
  <si>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</si>
  <si>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</si>
  <si>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</si>
  <si>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</si>
  <si>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</si>
  <si>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</si>
  <si>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</si>
  <si>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</si>
  <si>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</si>
  <si>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</si>
  <si>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</si>
  <si>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</si>
  <si>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</si>
  <si>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</si>
  <si>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</si>
  <si>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</si>
  <si>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</si>
  <si>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</si>
  <si>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</si>
  <si>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</si>
  <si>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</si>
  <si>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</si>
  <si>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</si>
  <si>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</si>
  <si>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</si>
  <si>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</si>
  <si>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</si>
  <si>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</si>
  <si>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</si>
  <si>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</si>
  <si>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</si>
  <si>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</si>
  <si>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</si>
  <si>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</si>
  <si>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</si>
  <si>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</si>
  <si>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</si>
  <si>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</si>
  <si>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</si>
  <si>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</si>
  <si>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</si>
  <si>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</si>
  <si>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</si>
  <si>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</si>
  <si>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</si>
  <si>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</si>
  <si>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</si>
  <si>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</si>
  <si>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</si>
  <si>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</si>
  <si>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</si>
  <si>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</si>
  <si>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</si>
  <si>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</si>
  <si>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</si>
  <si>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</si>
  <si>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</si>
  <si>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</si>
  <si>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</si>
  <si>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</si>
  <si>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</si>
  <si>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</si>
  <si>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</si>
  <si>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</si>
  <si>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</si>
  <si>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</si>
  <si>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</si>
  <si>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</si>
  <si>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</si>
  <si>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</si>
  <si>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</si>
  <si>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</si>
  <si>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</si>
  <si>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</si>
  <si>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</si>
  <si>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</si>
  <si>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</si>
  <si>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</si>
  <si>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</si>
  <si>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</si>
  <si>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</si>
  <si>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</si>
  <si>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</si>
  <si>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</si>
  <si>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</si>
  <si>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</si>
  <si>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</si>
  <si>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</si>
  <si>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</si>
  <si>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</si>
  <si>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</si>
  <si>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</si>
  <si>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</si>
  <si>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</si>
  <si>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</si>
  <si>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</si>
  <si>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</si>
  <si>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</si>
  <si>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</si>
  <si>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</si>
  <si>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</si>
  <si>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</si>
  <si>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</si>
  <si>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</si>
  <si>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</si>
  <si>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</si>
  <si>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</si>
  <si>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</si>
  <si>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</si>
  <si>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</si>
  <si>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</si>
  <si>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</si>
  <si>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</si>
  <si>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</si>
  <si>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</si>
  <si>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</si>
  <si>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</si>
  <si>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</si>
  <si>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</si>
  <si>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</si>
  <si>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</si>
  <si>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</si>
  <si>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</si>
  <si>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</si>
  <si>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</si>
  <si>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</si>
  <si>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</si>
  <si>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</si>
  <si>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</si>
  <si>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</si>
  <si>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</si>
  <si>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</si>
  <si>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</si>
  <si>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</si>
  <si>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</si>
  <si>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</si>
  <si>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</si>
  <si>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</si>
  <si>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</si>
  <si>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</si>
  <si>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</si>
  <si>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</si>
  <si>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</si>
  <si>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</si>
  <si>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</si>
  <si>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</si>
  <si>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</si>
  <si>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</si>
  <si>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</si>
  <si>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</si>
  <si>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</si>
  <si>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</si>
  <si>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</si>
  <si>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</si>
  <si>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</si>
  <si>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</si>
  <si>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</si>
  <si>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</si>
  <si>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</si>
  <si>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</si>
  <si>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</si>
  <si>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</si>
  <si>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</si>
  <si>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</si>
  <si>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</si>
  <si>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</si>
  <si>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</si>
  <si>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</si>
  <si>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</si>
  <si>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</si>
  <si>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</si>
  <si>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</si>
  <si>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</si>
  <si>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</si>
  <si>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</si>
  <si>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</si>
  <si>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</si>
  <si>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</si>
  <si>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</si>
  <si>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</si>
  <si>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</si>
  <si>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</si>
  <si>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</si>
  <si>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</si>
  <si>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</si>
  <si>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</si>
  <si>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</si>
  <si>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</si>
  <si>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</si>
  <si>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</si>
  <si>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</si>
  <si>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</si>
  <si>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</si>
  <si>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</si>
  <si>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</si>
  <si>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</si>
  <si>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</si>
  <si>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</si>
  <si>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</si>
  <si>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</si>
  <si>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</si>
  <si>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</si>
  <si>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</si>
  <si>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</si>
  <si>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</si>
  <si>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</si>
  <si>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</si>
  <si>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</si>
  <si>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</si>
  <si>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</si>
  <si>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</si>
  <si>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</si>
  <si>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</si>
  <si>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</si>
  <si>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</si>
  <si>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</si>
  <si>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</si>
  <si>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</si>
  <si>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</si>
  <si>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</si>
  <si>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</si>
  <si>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</si>
  <si>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</si>
  <si>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</si>
  <si>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</si>
  <si>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</si>
  <si>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</si>
  <si>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</si>
  <si>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</si>
  <si>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</si>
  <si>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</si>
  <si>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</si>
  <si>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</si>
  <si>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</si>
  <si>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</si>
  <si>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</si>
  <si>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</si>
  <si>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</si>
  <si>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</si>
  <si>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</si>
  <si>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</si>
  <si>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</si>
  <si>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</si>
  <si>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</si>
  <si>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</si>
  <si>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</si>
  <si>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</si>
  <si>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</si>
  <si>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</si>
  <si>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</si>
  <si>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</si>
  <si>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</si>
  <si>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</si>
  <si>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</si>
  <si>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</si>
  <si>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</si>
  <si>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</si>
  <si>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</si>
  <si>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</si>
  <si>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</si>
  <si>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</si>
  <si>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</si>
  <si>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</si>
  <si>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</si>
  <si>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</si>
  <si>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</si>
  <si>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</si>
  <si>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</si>
  <si>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</si>
  <si>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</si>
  <si>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</si>
  <si>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</si>
  <si>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</si>
  <si>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</si>
  <si>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</si>
  <si>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</si>
  <si>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</si>
  <si>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</si>
  <si>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</si>
  <si>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</si>
  <si>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</si>
  <si>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</si>
  <si>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</si>
  <si>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</si>
  <si>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</si>
  <si>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</si>
  <si>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</si>
  <si>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</si>
  <si>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</si>
  <si>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</si>
  <si>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</si>
  <si>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</si>
  <si>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</si>
  <si>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</si>
  <si>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</si>
  <si>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</si>
  <si>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</si>
  <si>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</si>
  <si>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</si>
  <si>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</si>
  <si>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</si>
  <si>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</si>
  <si>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</si>
  <si>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</si>
  <si>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</si>
  <si>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</si>
  <si>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</si>
  <si>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</si>
  <si>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</si>
  <si>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</si>
  <si>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</si>
  <si>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</si>
  <si>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</si>
  <si>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</si>
  <si>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</si>
  <si>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</si>
  <si>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</si>
  <si>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</si>
  <si>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</si>
  <si>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</si>
  <si>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</si>
  <si>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</si>
  <si>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</si>
  <si>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</si>
  <si>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</si>
  <si>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</si>
  <si>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</si>
  <si>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</si>
  <si>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</si>
  <si>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</si>
  <si>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</si>
  <si>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</si>
  <si>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</si>
  <si>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</si>
  <si>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</si>
  <si>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</si>
  <si>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</si>
  <si>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</si>
  <si>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</si>
  <si>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</si>
  <si>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</si>
  <si>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</si>
  <si>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</si>
  <si>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</si>
  <si>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</si>
  <si>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</si>
  <si>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</si>
  <si>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</si>
  <si>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</si>
  <si>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</si>
  <si>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</si>
  <si>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</si>
  <si>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</si>
  <si>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</si>
  <si>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</si>
  <si>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</si>
  <si>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</si>
  <si>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</si>
  <si>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</si>
  <si>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</si>
  <si>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</si>
  <si>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</si>
  <si>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</si>
  <si>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</si>
  <si>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</si>
  <si>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</si>
  <si>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</si>
  <si>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</si>
  <si>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</si>
  <si>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</si>
  <si>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</si>
  <si>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</si>
  <si>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</si>
  <si>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</si>
  <si>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</si>
  <si>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</si>
  <si>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</si>
  <si>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</si>
  <si>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</si>
  <si>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</si>
  <si>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</si>
  <si>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</si>
  <si>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</si>
  <si>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</si>
  <si>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</si>
  <si>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</si>
  <si>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</si>
  <si>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</si>
  <si>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</si>
  <si>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</si>
  <si>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</si>
  <si>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</si>
  <si>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</si>
  <si>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</si>
  <si>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</si>
  <si>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</si>
  <si>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</si>
  <si>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</si>
  <si>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</si>
  <si>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</si>
  <si>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</si>
  <si>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</si>
  <si>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</si>
  <si>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</si>
  <si>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</si>
  <si>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</si>
  <si>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</si>
  <si>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</si>
  <si>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</si>
  <si>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</si>
  <si>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</si>
  <si>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</si>
  <si>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</si>
  <si>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</si>
  <si>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</si>
  <si>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</si>
  <si>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</si>
  <si>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</si>
  <si>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</si>
  <si>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</si>
  <si>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</si>
  <si>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</si>
  <si>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</si>
  <si>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</si>
  <si>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</si>
  <si>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</si>
  <si>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</si>
  <si>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</si>
  <si>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</si>
  <si>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</si>
  <si>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</si>
  <si>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</si>
  <si>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</si>
  <si>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</si>
  <si>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</si>
  <si>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</si>
  <si>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</si>
  <si>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</si>
  <si>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</si>
  <si>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</si>
  <si>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</si>
  <si>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</si>
  <si>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</si>
  <si>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</si>
  <si>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</si>
  <si>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</si>
  <si>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</si>
  <si>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</si>
  <si>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</si>
  <si>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</si>
  <si>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</si>
  <si>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</si>
  <si>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</si>
  <si>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</si>
  <si>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</si>
  <si>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</si>
  <si>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</si>
  <si>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</si>
  <si>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</si>
  <si>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</si>
  <si>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</si>
  <si>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</si>
  <si>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</si>
  <si>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</si>
  <si>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</si>
  <si>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</si>
  <si>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</si>
  <si>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</si>
  <si>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</si>
  <si>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</si>
  <si>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</si>
  <si>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</si>
  <si>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</si>
  <si>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</si>
  <si>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</si>
  <si>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</si>
  <si>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</si>
  <si>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</si>
  <si>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</si>
  <si>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</si>
  <si>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</si>
  <si>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</si>
  <si>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</si>
  <si>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</si>
  <si>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</si>
  <si>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</si>
  <si>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</si>
  <si>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</si>
  <si>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</si>
  <si>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</si>
  <si>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</si>
  <si>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</si>
  <si>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</si>
  <si>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</si>
  <si>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</si>
  <si>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</si>
  <si>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</si>
  <si>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</si>
  <si>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</si>
  <si>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</si>
  <si>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</si>
  <si>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</si>
  <si>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</si>
  <si>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</si>
  <si>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</si>
  <si>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</si>
  <si>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</si>
  <si>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</si>
  <si>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</si>
  <si>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</si>
  <si>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</si>
  <si>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</si>
  <si>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</si>
  <si>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</si>
  <si>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</si>
  <si>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</si>
  <si>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</si>
  <si>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</si>
  <si>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</si>
  <si>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</si>
  <si>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</si>
  <si>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</si>
  <si>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</si>
  <si>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</si>
  <si>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</si>
  <si>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</si>
  <si>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</si>
  <si>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</si>
  <si>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</si>
  <si>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</si>
  <si>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</si>
  <si>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</si>
  <si>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</si>
  <si>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</si>
  <si>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</si>
  <si>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</si>
  <si>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</si>
  <si>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</si>
  <si>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</si>
  <si>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</si>
  <si>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</si>
  <si>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</si>
  <si>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</si>
  <si>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</si>
  <si>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</si>
  <si>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</si>
  <si>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</si>
  <si>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</si>
  <si>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</si>
  <si>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</si>
  <si>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</si>
  <si>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</si>
  <si>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</si>
  <si>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</si>
  <si>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</si>
  <si>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</si>
  <si>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</si>
  <si>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</si>
  <si>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</si>
  <si>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</si>
  <si>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</si>
  <si>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</si>
  <si>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</si>
  <si>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1990</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</si>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</sst>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12">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xf>
    <xf numFmtId="4" fontId="19" fillId="2" borderId="5" xfId="46" applyNumberFormat="1" applyFill="1" applyBorder="1" applyAlignment="1">
      <alignment horizontal="right" vertical="center"/>
    </xf>
    <xf numFmtId="4" fontId="19" fillId="2" borderId="35" xfId="46" applyNumberFormat="1" applyFill="1" applyBorder="1" applyAlignment="1">
      <alignment horizontal="right" vertical="center"/>
    </xf>
    <xf numFmtId="4" fontId="19" fillId="2" borderId="28"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2"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19" fillId="2" borderId="29" xfId="46" applyNumberFormat="1" applyFill="1" applyBorder="1" applyAlignment="1">
      <alignment horizontal="right" vertical="center"/>
    </xf>
    <xf numFmtId="4" fontId="19" fillId="2" borderId="55" xfId="46" applyNumberFormat="1" applyFill="1" applyBorder="1" applyAlignment="1">
      <alignment horizontal="right" vertical="center"/>
    </xf>
    <xf numFmtId="4" fontId="19" fillId="17" borderId="34" xfId="46" applyNumberForma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9" fillId="2" borderId="61" xfId="46" applyNumberFormat="1" applyFill="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9" fillId="17" borderId="5" xfId="46" applyNumberFormat="1" applyFill="1" applyBorder="1" applyAlignment="1">
      <alignment horizontal="right" vertical="center"/>
    </xf>
    <xf numFmtId="4" fontId="19" fillId="17" borderId="35" xfId="46" applyNumberForma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9" fillId="2" borderId="2" xfId="75" applyNumberForma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19" fillId="2" borderId="60" xfId="75" applyNumberFormat="1" applyBorder="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2" borderId="34" xfId="5" applyNumberFormat="1" applyBorder="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29" fillId="2" borderId="112" xfId="74" applyNumberFormat="1" applyBorder="1">
      <alignment horizontal="right" vertical="center"/>
    </xf>
    <xf numFmtId="4" fontId="19" fillId="2" borderId="33" xfId="46" applyNumberForma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2" fontId="19" fillId="0" borderId="9" xfId="46" applyNumberFormat="1" applyBorder="1" applyAlignment="1">
      <alignment horizontal="left" vertical="center" indent="1"/>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29" fillId="0" borderId="107" xfId="74" applyFill="1" applyBorder="1">
      <alignment horizontal="right" vertical="center"/>
    </xf>
    <xf numFmtId="0" fontId="29" fillId="0" borderId="84" xfId="74" applyFill="1" applyBorder="1">
      <alignment horizontal="right" vertical="center"/>
    </xf>
    <xf numFmtId="4" fontId="19" fillId="2" borderId="4" xfId="46" applyNumberForma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29" fillId="2" borderId="59" xfId="47" applyNumberFormat="1" applyFont="1" applyFill="1" applyBorder="1" applyAlignment="1">
      <alignment horizontal="right" vertical="center"/>
    </xf>
    <xf numFmtId="4" fontId="19" fillId="4" borderId="2" xfId="47" applyNumberForma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0" borderId="2" xfId="29">
      <alignment horizontal="right" vertical="center"/>
    </xf>
    <xf numFmtId="4" fontId="19" fillId="9" borderId="39" xfId="47" applyNumberFormat="1" applyFill="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19" fillId="5" borderId="13" xfId="47" applyNumberForma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4.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zoomScaleNormal="100" workbookViewId="0">
      <pane xSplit="2" ySplit="1" topLeftCell="C8" activePane="bottomRight" state="frozen"/>
      <selection activeCell="C11" sqref="C11"/>
      <selection pane="topRight" activeCell="C11" sqref="C11"/>
      <selection pane="bottomLeft" activeCell="C11" sqref="C11"/>
      <selection pane="bottomRight" activeCell="B20" sqref="B20"/>
    </sheetView>
  </sheetViews>
  <sheetFormatPr defaultRowHeight="13.2" x14ac:dyDescent="0.25"/>
  <cols>
    <col min="1" max="1" width="1.88671875" customWidth="1"/>
    <col min="2" max="2" width="25.88671875" customWidth="1"/>
    <col min="3" max="3" width="84.33203125" bestFit="1" customWidth="1"/>
  </cols>
  <sheetData>
    <row r="1" spans="2:3" x14ac:dyDescent="0.25">
      <c r="B1" s="549" t="s">
        <v>0</v>
      </c>
      <c r="C1" s="549" t="s">
        <v>2481</v>
      </c>
    </row>
    <row r="2" spans="2:3" x14ac:dyDescent="0.25">
      <c r="B2" s="2446" t="s">
        <v>1853</v>
      </c>
      <c r="C2" t="s">
        <v>1853</v>
      </c>
    </row>
    <row r="3" spans="2:3" x14ac:dyDescent="0.25">
      <c r="B3" s="2446" t="s">
        <v>1</v>
      </c>
      <c r="C3" t="s">
        <v>2468</v>
      </c>
    </row>
    <row r="4" spans="2:3" x14ac:dyDescent="0.25">
      <c r="B4" s="2446" t="s">
        <v>2</v>
      </c>
      <c r="C4" t="s">
        <v>2464</v>
      </c>
    </row>
    <row r="5" spans="2:3" x14ac:dyDescent="0.25">
      <c r="B5" s="2446" t="s">
        <v>3</v>
      </c>
      <c r="C5" t="s">
        <v>2464</v>
      </c>
    </row>
    <row r="6" spans="2:3" x14ac:dyDescent="0.25">
      <c r="B6" s="2446" t="s">
        <v>4</v>
      </c>
      <c r="C6" t="s">
        <v>2464</v>
      </c>
    </row>
    <row r="7" spans="2:3" x14ac:dyDescent="0.25">
      <c r="B7" s="2446" t="s">
        <v>5</v>
      </c>
      <c r="C7" t="s">
        <v>2464</v>
      </c>
    </row>
    <row r="8" spans="2:3" x14ac:dyDescent="0.25">
      <c r="B8" s="2446" t="s">
        <v>6</v>
      </c>
      <c r="C8" t="s">
        <v>2465</v>
      </c>
    </row>
    <row r="9" spans="2:3" x14ac:dyDescent="0.25">
      <c r="B9" s="2446" t="s">
        <v>7</v>
      </c>
      <c r="C9" t="s">
        <v>2466</v>
      </c>
    </row>
    <row r="10" spans="2:3" x14ac:dyDescent="0.25">
      <c r="B10" s="2446" t="s">
        <v>8</v>
      </c>
      <c r="C10" t="s">
        <v>2467</v>
      </c>
    </row>
    <row r="11" spans="2:3" x14ac:dyDescent="0.25">
      <c r="B11" s="2446" t="s">
        <v>9</v>
      </c>
      <c r="C11" t="s">
        <v>2469</v>
      </c>
    </row>
    <row r="12" spans="2:3" x14ac:dyDescent="0.25">
      <c r="B12" s="2446" t="s">
        <v>10</v>
      </c>
      <c r="C12" t="s">
        <v>2470</v>
      </c>
    </row>
    <row r="13" spans="2:3" x14ac:dyDescent="0.25">
      <c r="B13" s="2446" t="s">
        <v>11</v>
      </c>
      <c r="C13" t="s">
        <v>2471</v>
      </c>
    </row>
    <row r="14" spans="2:3" x14ac:dyDescent="0.25">
      <c r="B14" s="2446" t="s">
        <v>12</v>
      </c>
      <c r="C14" t="s">
        <v>416</v>
      </c>
    </row>
    <row r="15" spans="2:3" x14ac:dyDescent="0.25">
      <c r="B15" s="2446" t="s">
        <v>13</v>
      </c>
      <c r="C15" t="s">
        <v>2472</v>
      </c>
    </row>
    <row r="16" spans="2:3" x14ac:dyDescent="0.25">
      <c r="B16" s="2446" t="s">
        <v>15</v>
      </c>
      <c r="C16" t="s">
        <v>2473</v>
      </c>
    </row>
    <row r="17" spans="2:3" x14ac:dyDescent="0.25">
      <c r="B17" s="2446" t="s">
        <v>14</v>
      </c>
      <c r="C17" t="s">
        <v>2474</v>
      </c>
    </row>
    <row r="18" spans="2:3" x14ac:dyDescent="0.25">
      <c r="B18" s="2446" t="s">
        <v>16</v>
      </c>
      <c r="C18" t="s">
        <v>2475</v>
      </c>
    </row>
    <row r="19" spans="2:3" x14ac:dyDescent="0.25">
      <c r="B19" s="2446" t="s">
        <v>17</v>
      </c>
      <c r="C19" t="s">
        <v>2476</v>
      </c>
    </row>
    <row r="20" spans="2:3" x14ac:dyDescent="0.25">
      <c r="B20" s="2446" t="s">
        <v>18</v>
      </c>
      <c r="C20" t="s">
        <v>2477</v>
      </c>
    </row>
    <row r="21" spans="2:3" x14ac:dyDescent="0.25">
      <c r="B21" s="2446" t="s">
        <v>19</v>
      </c>
      <c r="C21" t="s">
        <v>2478</v>
      </c>
    </row>
    <row r="22" spans="2:3" x14ac:dyDescent="0.25">
      <c r="B22" s="2446" t="s">
        <v>20</v>
      </c>
      <c r="C22" t="s">
        <v>2479</v>
      </c>
    </row>
    <row r="23" spans="2:3" x14ac:dyDescent="0.25">
      <c r="B23" s="2446" t="s">
        <v>21</v>
      </c>
      <c r="C23" t="s">
        <v>2480</v>
      </c>
    </row>
    <row r="24" spans="2:3" x14ac:dyDescent="0.25">
      <c r="B24" s="2446" t="s">
        <v>22</v>
      </c>
      <c r="C24" t="s">
        <v>2482</v>
      </c>
    </row>
    <row r="25" spans="2:3" x14ac:dyDescent="0.25">
      <c r="B25" s="2446" t="s">
        <v>23</v>
      </c>
      <c r="C25" t="s">
        <v>2483</v>
      </c>
    </row>
    <row r="26" spans="2:3" x14ac:dyDescent="0.25">
      <c r="B26" s="2446" t="s">
        <v>24</v>
      </c>
      <c r="C26" t="s">
        <v>2484</v>
      </c>
    </row>
    <row r="27" spans="2:3" x14ac:dyDescent="0.25">
      <c r="B27" s="2446" t="s">
        <v>25</v>
      </c>
      <c r="C27" t="s">
        <v>2485</v>
      </c>
    </row>
    <row r="28" spans="2:3" x14ac:dyDescent="0.25">
      <c r="B28" s="2446" t="s">
        <v>1936</v>
      </c>
      <c r="C28" t="s">
        <v>2486</v>
      </c>
    </row>
    <row r="29" spans="2:3" x14ac:dyDescent="0.25">
      <c r="B29" s="2446" t="s">
        <v>26</v>
      </c>
      <c r="C29" t="s">
        <v>2487</v>
      </c>
    </row>
    <row r="30" spans="2:3" x14ac:dyDescent="0.25">
      <c r="B30" s="2446" t="s">
        <v>27</v>
      </c>
      <c r="C30" t="s">
        <v>2488</v>
      </c>
    </row>
    <row r="31" spans="2:3" x14ac:dyDescent="0.25">
      <c r="B31" s="2446" t="s">
        <v>28</v>
      </c>
      <c r="C31" t="s">
        <v>2489</v>
      </c>
    </row>
    <row r="32" spans="2:3" x14ac:dyDescent="0.25">
      <c r="B32" s="2446" t="s">
        <v>29</v>
      </c>
      <c r="C32" t="s">
        <v>2490</v>
      </c>
    </row>
    <row r="33" spans="2:3" x14ac:dyDescent="0.25">
      <c r="B33" s="2446" t="s">
        <v>30</v>
      </c>
      <c r="C33" t="s">
        <v>2491</v>
      </c>
    </row>
    <row r="34" spans="2:3" x14ac:dyDescent="0.25">
      <c r="B34" s="2446" t="s">
        <v>31</v>
      </c>
      <c r="C34" t="s">
        <v>2492</v>
      </c>
    </row>
    <row r="35" spans="2:3" x14ac:dyDescent="0.25">
      <c r="B35" s="2446" t="s">
        <v>32</v>
      </c>
      <c r="C35" t="s">
        <v>2493</v>
      </c>
    </row>
    <row r="36" spans="2:3" x14ac:dyDescent="0.25">
      <c r="B36" s="2446" t="s">
        <v>33</v>
      </c>
      <c r="C36" t="s">
        <v>2494</v>
      </c>
    </row>
    <row r="37" spans="2:3" x14ac:dyDescent="0.25">
      <c r="B37" s="2446" t="s">
        <v>34</v>
      </c>
      <c r="C37" t="s">
        <v>2495</v>
      </c>
    </row>
    <row r="38" spans="2:3" x14ac:dyDescent="0.25">
      <c r="B38" s="2446" t="s">
        <v>35</v>
      </c>
      <c r="C38" t="s">
        <v>2496</v>
      </c>
    </row>
    <row r="39" spans="2:3" x14ac:dyDescent="0.25">
      <c r="B39" s="2446" t="s">
        <v>36</v>
      </c>
      <c r="C39" t="s">
        <v>2497</v>
      </c>
    </row>
    <row r="40" spans="2:3" x14ac:dyDescent="0.25">
      <c r="B40" s="2446" t="s">
        <v>37</v>
      </c>
      <c r="C40" t="s">
        <v>2498</v>
      </c>
    </row>
    <row r="41" spans="2:3" x14ac:dyDescent="0.25">
      <c r="B41" s="2446" t="s">
        <v>38</v>
      </c>
      <c r="C41" t="s">
        <v>2499</v>
      </c>
    </row>
    <row r="42" spans="2:3" x14ac:dyDescent="0.25">
      <c r="B42" s="2446" t="s">
        <v>39</v>
      </c>
      <c r="C42" t="s">
        <v>2500</v>
      </c>
    </row>
    <row r="43" spans="2:3" x14ac:dyDescent="0.25">
      <c r="B43" s="2446" t="s">
        <v>40</v>
      </c>
      <c r="C43" t="s">
        <v>2502</v>
      </c>
    </row>
    <row r="44" spans="2:3" x14ac:dyDescent="0.25">
      <c r="B44" s="2446" t="s">
        <v>41</v>
      </c>
      <c r="C44" t="s">
        <v>2501</v>
      </c>
    </row>
    <row r="45" spans="2:3" x14ac:dyDescent="0.25">
      <c r="B45" s="2446" t="s">
        <v>42</v>
      </c>
      <c r="C45" t="s">
        <v>2503</v>
      </c>
    </row>
    <row r="46" spans="2:3" x14ac:dyDescent="0.25">
      <c r="B46" s="2446" t="s">
        <v>43</v>
      </c>
      <c r="C46" t="s">
        <v>2504</v>
      </c>
    </row>
    <row r="47" spans="2:3" x14ac:dyDescent="0.25">
      <c r="B47" s="2446" t="s">
        <v>44</v>
      </c>
      <c r="C47" t="s">
        <v>2505</v>
      </c>
    </row>
    <row r="48" spans="2:3" x14ac:dyDescent="0.25">
      <c r="B48" s="2446" t="s">
        <v>45</v>
      </c>
      <c r="C48" t="s">
        <v>2506</v>
      </c>
    </row>
    <row r="49" spans="2:3" x14ac:dyDescent="0.25">
      <c r="B49" s="2446" t="s">
        <v>46</v>
      </c>
      <c r="C49" t="s">
        <v>2507</v>
      </c>
    </row>
    <row r="50" spans="2:3" x14ac:dyDescent="0.25">
      <c r="B50" s="2446" t="s">
        <v>47</v>
      </c>
      <c r="C50" t="s">
        <v>2508</v>
      </c>
    </row>
    <row r="51" spans="2:3" x14ac:dyDescent="0.25">
      <c r="B51" s="2446" t="s">
        <v>48</v>
      </c>
      <c r="C51" t="s">
        <v>2510</v>
      </c>
    </row>
    <row r="52" spans="2:3" x14ac:dyDescent="0.25">
      <c r="B52" s="2446" t="s">
        <v>49</v>
      </c>
      <c r="C52" t="s">
        <v>2509</v>
      </c>
    </row>
    <row r="53" spans="2:3" x14ac:dyDescent="0.25">
      <c r="B53" s="2446" t="s">
        <v>50</v>
      </c>
      <c r="C53" t="s">
        <v>2511</v>
      </c>
    </row>
    <row r="54" spans="2:3" x14ac:dyDescent="0.25">
      <c r="B54" s="2446" t="s">
        <v>51</v>
      </c>
      <c r="C54" t="s">
        <v>2512</v>
      </c>
    </row>
    <row r="55" spans="2:3" x14ac:dyDescent="0.25">
      <c r="B55" s="2446" t="s">
        <v>52</v>
      </c>
      <c r="C55" t="s">
        <v>2513</v>
      </c>
    </row>
    <row r="56" spans="2:3" x14ac:dyDescent="0.25">
      <c r="B56" s="2446" t="s">
        <v>53</v>
      </c>
      <c r="C56" t="s">
        <v>2514</v>
      </c>
    </row>
    <row r="57" spans="2:3" x14ac:dyDescent="0.25">
      <c r="B57" s="2446" t="s">
        <v>54</v>
      </c>
      <c r="C57" t="s">
        <v>2515</v>
      </c>
    </row>
    <row r="58" spans="2:3" x14ac:dyDescent="0.25">
      <c r="B58" s="2446" t="s">
        <v>55</v>
      </c>
      <c r="C58" t="s">
        <v>2516</v>
      </c>
    </row>
    <row r="59" spans="2:3" x14ac:dyDescent="0.25">
      <c r="B59" s="2446" t="s">
        <v>56</v>
      </c>
      <c r="C59" t="s">
        <v>2517</v>
      </c>
    </row>
    <row r="60" spans="2:3" x14ac:dyDescent="0.25">
      <c r="B60" s="2446" t="s">
        <v>57</v>
      </c>
      <c r="C60" t="s">
        <v>2518</v>
      </c>
    </row>
    <row r="61" spans="2:3" x14ac:dyDescent="0.25">
      <c r="B61" s="2446" t="s">
        <v>58</v>
      </c>
      <c r="C61" t="s">
        <v>2519</v>
      </c>
    </row>
    <row r="62" spans="2:3" x14ac:dyDescent="0.25">
      <c r="B62" s="2446" t="s">
        <v>59</v>
      </c>
      <c r="C62" t="s">
        <v>2520</v>
      </c>
    </row>
    <row r="63" spans="2:3" x14ac:dyDescent="0.25">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8671875" defaultRowHeight="12" customHeight="1" x14ac:dyDescent="0.25"/>
  <cols>
    <col min="1" max="1" width="1.88671875" style="110" customWidth="1"/>
    <col min="2" max="2" width="9.109375" style="110" customWidth="1"/>
    <col min="3" max="3" width="8.5546875" style="110" customWidth="1"/>
    <col min="4" max="4" width="27.109375" style="110" customWidth="1"/>
    <col min="5" max="5" width="22.44140625" style="110" customWidth="1"/>
    <col min="6" max="6" width="23.109375" style="110" customWidth="1"/>
    <col min="7" max="8" width="15.5546875" style="110" customWidth="1"/>
    <col min="9" max="9" width="22.5546875" style="110" customWidth="1"/>
    <col min="10" max="10" width="26.5546875" style="110" bestFit="1" customWidth="1"/>
    <col min="11" max="11" width="10.88671875" style="110" customWidth="1"/>
    <col min="12" max="249" width="9.109375" style="110" customWidth="1"/>
    <col min="250" max="250" width="38.44140625" style="110" customWidth="1"/>
    <col min="251" max="251" width="22.44140625" style="110" customWidth="1"/>
    <col min="252" max="252" width="23.109375" style="110" customWidth="1"/>
    <col min="253" max="253" width="18.44140625" style="110" customWidth="1"/>
    <col min="254" max="254" width="19.5546875" style="110" customWidth="1"/>
    <col min="255" max="255" width="1.88671875" style="110" customWidth="1"/>
    <col min="256" max="16384" width="20.88671875" style="110"/>
  </cols>
  <sheetData>
    <row r="1" spans="2:13" ht="15.75" customHeight="1" x14ac:dyDescent="0.3">
      <c r="B1" s="209" t="s">
        <v>302</v>
      </c>
      <c r="C1" s="209"/>
      <c r="D1" s="209"/>
      <c r="E1" s="209"/>
      <c r="F1" s="209"/>
      <c r="I1" s="51"/>
      <c r="J1" s="14" t="s">
        <v>2521</v>
      </c>
    </row>
    <row r="2" spans="2:13" ht="15.75" customHeight="1" x14ac:dyDescent="0.3">
      <c r="B2" s="209" t="s">
        <v>303</v>
      </c>
      <c r="C2" s="209"/>
      <c r="D2" s="209"/>
      <c r="E2" s="209"/>
      <c r="F2" s="209"/>
      <c r="I2" s="51"/>
      <c r="J2" s="14" t="s">
        <v>2522</v>
      </c>
    </row>
    <row r="3" spans="2:13" ht="15.75" customHeight="1" x14ac:dyDescent="0.3">
      <c r="B3" s="209" t="s">
        <v>62</v>
      </c>
      <c r="C3" s="209"/>
      <c r="D3" s="209"/>
      <c r="H3" s="2"/>
      <c r="I3" s="51"/>
      <c r="J3" s="14" t="s">
        <v>2144</v>
      </c>
    </row>
    <row r="4" spans="2:13" ht="12" customHeight="1" x14ac:dyDescent="0.3">
      <c r="B4" s="209"/>
      <c r="C4" s="209"/>
      <c r="D4" s="209"/>
      <c r="H4" s="2"/>
      <c r="I4" s="51"/>
      <c r="J4" s="2"/>
    </row>
    <row r="5" spans="2:13" ht="12" customHeight="1" x14ac:dyDescent="0.3">
      <c r="B5" s="209"/>
      <c r="C5" s="209"/>
      <c r="D5" s="209"/>
      <c r="H5" s="2"/>
      <c r="I5" s="51"/>
      <c r="J5" s="2"/>
    </row>
    <row r="6" spans="2:13" ht="16.5" customHeight="1" thickBot="1" x14ac:dyDescent="0.3">
      <c r="B6" s="2446" t="s">
        <v>64</v>
      </c>
      <c r="E6" s="10"/>
      <c r="F6" s="4"/>
      <c r="G6" s="4"/>
      <c r="H6" s="52"/>
      <c r="I6" s="51"/>
      <c r="J6" s="51"/>
    </row>
    <row r="7" spans="2:13" ht="24" customHeight="1" x14ac:dyDescent="0.25">
      <c r="B7" s="1709"/>
      <c r="C7" s="1710"/>
      <c r="D7" s="1711"/>
      <c r="E7" s="1030" t="s">
        <v>304</v>
      </c>
      <c r="F7" s="53" t="s">
        <v>305</v>
      </c>
      <c r="G7" s="1029" t="s">
        <v>306</v>
      </c>
      <c r="H7" s="1030"/>
      <c r="I7" s="1029" t="s">
        <v>307</v>
      </c>
      <c r="J7" s="1031"/>
      <c r="M7" s="125"/>
    </row>
    <row r="8" spans="2:13" ht="37.200000000000003" x14ac:dyDescent="0.25">
      <c r="B8" s="1712" t="s">
        <v>308</v>
      </c>
      <c r="C8" s="3415"/>
      <c r="D8" s="1713"/>
      <c r="E8" s="1448" t="s">
        <v>309</v>
      </c>
      <c r="F8" s="61" t="s">
        <v>310</v>
      </c>
      <c r="G8" s="61" t="s">
        <v>311</v>
      </c>
      <c r="H8" s="61" t="s">
        <v>312</v>
      </c>
      <c r="I8" s="9" t="s">
        <v>313</v>
      </c>
      <c r="J8" s="54" t="s">
        <v>1783</v>
      </c>
      <c r="M8" s="125"/>
    </row>
    <row r="9" spans="2:13" ht="12" customHeight="1" thickBot="1" x14ac:dyDescent="0.3">
      <c r="B9" s="1714"/>
      <c r="C9" s="1715"/>
      <c r="D9" s="1685"/>
      <c r="E9" s="1449" t="s">
        <v>127</v>
      </c>
      <c r="F9" s="108" t="s">
        <v>314</v>
      </c>
      <c r="G9" s="108" t="s">
        <v>315</v>
      </c>
      <c r="H9" s="108" t="s">
        <v>316</v>
      </c>
      <c r="I9" s="1707" t="s">
        <v>316</v>
      </c>
      <c r="J9" s="1708"/>
      <c r="M9" s="125"/>
    </row>
    <row r="10" spans="2:13" ht="18" customHeight="1" thickTop="1" x14ac:dyDescent="0.25">
      <c r="B10" s="1435" t="s">
        <v>238</v>
      </c>
      <c r="C10" s="166" t="s">
        <v>239</v>
      </c>
      <c r="D10" s="2356" t="s">
        <v>200</v>
      </c>
      <c r="E10" s="2357"/>
      <c r="F10" s="2358"/>
      <c r="G10" s="2358"/>
      <c r="H10" s="2358"/>
      <c r="I10" s="2358"/>
      <c r="J10" s="2359"/>
      <c r="M10" s="125"/>
    </row>
    <row r="11" spans="2:13" ht="18" customHeight="1" x14ac:dyDescent="0.25">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5">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5">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5">
      <c r="B14" s="1434"/>
      <c r="C14" s="1562" t="s">
        <v>317</v>
      </c>
      <c r="D14" s="2360" t="s">
        <v>200</v>
      </c>
      <c r="E14" s="2349"/>
      <c r="F14" s="3420"/>
      <c r="G14" s="2336"/>
      <c r="H14" s="3370"/>
      <c r="I14" s="2336"/>
      <c r="J14" s="2584"/>
      <c r="M14" s="125"/>
    </row>
    <row r="15" spans="2:13" ht="18" customHeight="1" x14ac:dyDescent="0.25">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5">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5">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5">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5">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5">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5">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5">
      <c r="B22" s="165"/>
      <c r="C22" s="1563"/>
      <c r="D22" s="1452" t="s">
        <v>1787</v>
      </c>
      <c r="E22" s="3414">
        <v>16896.131186005568</v>
      </c>
      <c r="F22" s="3419" t="str">
        <f t="shared" si="0"/>
        <v>NA</v>
      </c>
      <c r="G22" s="3395">
        <v>260.35402145708582</v>
      </c>
      <c r="H22" s="3374">
        <f t="shared" si="1"/>
        <v>954.63141200931466</v>
      </c>
      <c r="I22" s="2579" t="s">
        <v>2147</v>
      </c>
      <c r="J22" s="2580"/>
      <c r="M22" s="125"/>
    </row>
    <row r="23" spans="2:13" ht="18" customHeight="1" x14ac:dyDescent="0.25">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5">
      <c r="B24" s="165"/>
      <c r="C24" s="1563"/>
      <c r="D24" s="1452" t="s">
        <v>251</v>
      </c>
      <c r="E24" s="3414">
        <v>28300</v>
      </c>
      <c r="F24" s="3419" t="str">
        <f t="shared" si="0"/>
        <v>NA</v>
      </c>
      <c r="G24" s="3395">
        <v>622.85727272727274</v>
      </c>
      <c r="H24" s="3374">
        <f t="shared" si="1"/>
        <v>2283.81</v>
      </c>
      <c r="I24" s="2579" t="s">
        <v>2147</v>
      </c>
      <c r="J24" s="2580"/>
      <c r="M24" s="125"/>
    </row>
    <row r="25" spans="2:13" ht="18" customHeight="1" x14ac:dyDescent="0.25">
      <c r="B25" s="165"/>
      <c r="C25" s="1563"/>
      <c r="D25" s="1452" t="s">
        <v>1789</v>
      </c>
      <c r="E25" s="3414">
        <v>20100</v>
      </c>
      <c r="F25" s="3419" t="str">
        <f t="shared" si="0"/>
        <v>NA</v>
      </c>
      <c r="G25" s="3395">
        <v>381.7264090909091</v>
      </c>
      <c r="H25" s="3374">
        <f t="shared" si="1"/>
        <v>1399.6634999999999</v>
      </c>
      <c r="I25" s="2579" t="s">
        <v>2147</v>
      </c>
      <c r="J25" s="2580"/>
      <c r="M25" s="125"/>
    </row>
    <row r="26" spans="2:13" ht="18" customHeight="1" x14ac:dyDescent="0.25">
      <c r="B26" s="165"/>
      <c r="C26" s="1563"/>
      <c r="D26" s="1452" t="s">
        <v>1790</v>
      </c>
      <c r="E26" s="3418">
        <v>8822.5840837296601</v>
      </c>
      <c r="F26" s="3419">
        <f t="shared" si="0"/>
        <v>25.261363636363637</v>
      </c>
      <c r="G26" s="3395">
        <v>222.87050475148905</v>
      </c>
      <c r="H26" s="3374">
        <f t="shared" si="1"/>
        <v>817.19185075545977</v>
      </c>
      <c r="I26" s="3395">
        <v>817.19185075545977</v>
      </c>
      <c r="J26" s="3416" t="s">
        <v>2274</v>
      </c>
      <c r="M26" s="125"/>
    </row>
    <row r="27" spans="2:13" ht="18" customHeight="1" x14ac:dyDescent="0.25">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5">
      <c r="B28" s="165"/>
      <c r="C28" s="1564"/>
      <c r="D28" s="40" t="s">
        <v>1791</v>
      </c>
      <c r="E28" s="3417">
        <v>32177.768728498151</v>
      </c>
      <c r="F28" s="3419">
        <f>IF(I28="NA","NA",I28/(44/12)*1000/E28)</f>
        <v>1.1090577173220639</v>
      </c>
      <c r="G28" s="3395">
        <v>563.01325131180784</v>
      </c>
      <c r="H28" s="3374">
        <f>IF(G28="NA","NA",IF(G28="NO","NO",G28*44/12))</f>
        <v>2064.3819214766286</v>
      </c>
      <c r="I28" s="3395">
        <v>130.85234335999999</v>
      </c>
      <c r="J28" s="3416" t="s">
        <v>2151</v>
      </c>
      <c r="M28" s="125"/>
    </row>
    <row r="29" spans="2:13" ht="18" customHeight="1" x14ac:dyDescent="0.25">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5">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3">
      <c r="B31" s="1251" t="s">
        <v>257</v>
      </c>
      <c r="C31" s="2343"/>
      <c r="D31" s="80"/>
      <c r="E31" s="3423">
        <f>SUM(E11:E29)</f>
        <v>106296.48399823338</v>
      </c>
      <c r="F31" s="3359">
        <f t="shared" ref="F31" si="3">IF(I31="NA","NA",I31/(44/12)*1000/E31)</f>
        <v>2.4324182490394661</v>
      </c>
      <c r="G31" s="3423">
        <f>SUM(G11:G29)</f>
        <v>2050.8214593385646</v>
      </c>
      <c r="H31" s="3371">
        <f t="shared" ref="H31" si="4">IF(G31="NA","NA",IF(G31="NO","NO",G31*44/12))</f>
        <v>7519.678684241404</v>
      </c>
      <c r="I31" s="3423">
        <f>SUM(I11:I29)</f>
        <v>948.04419411545973</v>
      </c>
      <c r="J31" s="2365"/>
      <c r="M31" s="125"/>
    </row>
    <row r="32" spans="2:13" ht="18" customHeight="1" x14ac:dyDescent="0.25">
      <c r="B32" s="1434" t="s">
        <v>318</v>
      </c>
      <c r="C32" s="1563" t="s">
        <v>239</v>
      </c>
      <c r="D32" s="2356" t="s">
        <v>200</v>
      </c>
      <c r="E32" s="2346"/>
      <c r="F32" s="3365"/>
      <c r="G32" s="2347"/>
      <c r="H32" s="3372"/>
      <c r="I32" s="2347"/>
      <c r="J32" s="2585"/>
      <c r="M32" s="125"/>
    </row>
    <row r="33" spans="2:13" ht="18" customHeight="1" x14ac:dyDescent="0.25">
      <c r="B33" s="1434" t="s">
        <v>240</v>
      </c>
      <c r="C33" s="1563" t="s">
        <v>241</v>
      </c>
      <c r="D33" s="1454" t="s">
        <v>319</v>
      </c>
      <c r="E33" s="2362" t="s">
        <v>2153</v>
      </c>
      <c r="F33" s="3419" t="s">
        <v>2147</v>
      </c>
      <c r="G33" s="2363" t="s">
        <v>2153</v>
      </c>
      <c r="H33" s="3374" t="s">
        <v>2147</v>
      </c>
      <c r="I33" s="2363" t="s">
        <v>2153</v>
      </c>
      <c r="J33" s="2586"/>
      <c r="M33" s="125"/>
    </row>
    <row r="34" spans="2:13" ht="18" customHeight="1" x14ac:dyDescent="0.25">
      <c r="B34" s="1434"/>
      <c r="C34" s="1563"/>
      <c r="D34" s="1452" t="s">
        <v>260</v>
      </c>
      <c r="E34" s="1450" t="s">
        <v>2153</v>
      </c>
      <c r="F34" s="3419" t="s">
        <v>2147</v>
      </c>
      <c r="G34" s="3399" t="s">
        <v>2147</v>
      </c>
      <c r="H34" s="3396" t="str">
        <f t="shared" ref="H34:H42" si="5">IF(G34="NA","NA",IF(G34="NO","NO",G34*44/12))</f>
        <v>NA</v>
      </c>
      <c r="I34" s="2363" t="s">
        <v>2153</v>
      </c>
      <c r="J34" s="2580"/>
      <c r="M34" s="125"/>
    </row>
    <row r="35" spans="2:13" ht="18" customHeight="1" x14ac:dyDescent="0.25">
      <c r="B35" s="1434"/>
      <c r="C35" s="1563"/>
      <c r="D35" s="1452" t="s">
        <v>261</v>
      </c>
      <c r="E35" s="3414">
        <v>6561.3700430838999</v>
      </c>
      <c r="F35" s="3419">
        <f>IF(I35="NA","NA",I35/(44/12)*1000/E35)</f>
        <v>24.632066944430427</v>
      </c>
      <c r="G35" s="3399">
        <v>161.62010614842296</v>
      </c>
      <c r="H35" s="3396">
        <f t="shared" si="5"/>
        <v>592.60705587755081</v>
      </c>
      <c r="I35" s="3395">
        <v>592.60705587755092</v>
      </c>
      <c r="J35" s="3416" t="s">
        <v>2274</v>
      </c>
      <c r="M35" s="125"/>
    </row>
    <row r="36" spans="2:13" ht="18" customHeight="1" x14ac:dyDescent="0.25">
      <c r="B36" s="1434"/>
      <c r="C36" s="1563"/>
      <c r="D36" s="1452" t="s">
        <v>320</v>
      </c>
      <c r="E36" s="1450" t="s">
        <v>2153</v>
      </c>
      <c r="F36" s="3419" t="s">
        <v>2147</v>
      </c>
      <c r="G36" s="131" t="s">
        <v>2153</v>
      </c>
      <c r="H36" s="3374" t="s">
        <v>2147</v>
      </c>
      <c r="I36" s="2363" t="s">
        <v>2153</v>
      </c>
      <c r="J36" s="2580"/>
      <c r="M36" s="125"/>
    </row>
    <row r="37" spans="2:13" ht="18" customHeight="1" x14ac:dyDescent="0.25">
      <c r="B37" s="1434"/>
      <c r="C37" s="1563"/>
      <c r="D37" s="1452" t="s">
        <v>263</v>
      </c>
      <c r="E37" s="1451" t="s">
        <v>2146</v>
      </c>
      <c r="F37" s="3419" t="str">
        <f t="shared" ref="F37" si="6">IF(I37="NA","NA",I37/(44/12)*1000/E37)</f>
        <v>NA</v>
      </c>
      <c r="G37" s="133" t="s">
        <v>2146</v>
      </c>
      <c r="H37" s="3374" t="str">
        <f t="shared" si="5"/>
        <v>NO</v>
      </c>
      <c r="I37" s="2579" t="s">
        <v>2147</v>
      </c>
      <c r="J37" s="2580"/>
      <c r="M37" s="125"/>
    </row>
    <row r="38" spans="2:13" ht="18" customHeight="1" thickBot="1" x14ac:dyDescent="0.3">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5">
      <c r="B39" s="1434"/>
      <c r="C39" s="1562" t="s">
        <v>317</v>
      </c>
      <c r="D39" s="2338" t="s">
        <v>200</v>
      </c>
      <c r="E39" s="2346"/>
      <c r="F39" s="3421"/>
      <c r="G39" s="2347"/>
      <c r="H39" s="3372"/>
      <c r="I39" s="2347"/>
      <c r="J39" s="2585"/>
      <c r="M39" s="125"/>
    </row>
    <row r="40" spans="2:13" ht="18" customHeight="1" x14ac:dyDescent="0.25">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5">
      <c r="B41" s="1434"/>
      <c r="C41" s="1563"/>
      <c r="D41" s="1452" t="s">
        <v>266</v>
      </c>
      <c r="E41" s="3414">
        <v>88325.498666666681</v>
      </c>
      <c r="F41" s="3419">
        <f t="shared" ref="F41" si="8">IF(I41="NA","NA",I41/(44/12)*1000/E41)</f>
        <v>28.53708202249873</v>
      </c>
      <c r="G41" s="3395">
        <v>2551.1345950340442</v>
      </c>
      <c r="H41" s="3396">
        <f t="shared" si="5"/>
        <v>9354.1601817914943</v>
      </c>
      <c r="I41" s="3395">
        <v>9242.0240004721527</v>
      </c>
      <c r="J41" s="3416" t="s">
        <v>2274</v>
      </c>
      <c r="M41" s="125"/>
    </row>
    <row r="42" spans="2:13" ht="18" customHeight="1" x14ac:dyDescent="0.25">
      <c r="B42" s="1434"/>
      <c r="C42" s="1564"/>
      <c r="D42" s="1452" t="s">
        <v>1792</v>
      </c>
      <c r="E42" s="3414">
        <v>3671.9967052148972</v>
      </c>
      <c r="F42" s="3419">
        <f>IF(I42="NA","NA",I42/(44/12)*1000/E42)</f>
        <v>22.309090909090905</v>
      </c>
      <c r="G42" s="3395">
        <v>81.918908314521431</v>
      </c>
      <c r="H42" s="3396">
        <f t="shared" si="5"/>
        <v>300.36933048657858</v>
      </c>
      <c r="I42" s="3395">
        <v>300.36933048657858</v>
      </c>
      <c r="J42" s="3416" t="s">
        <v>2151</v>
      </c>
      <c r="M42" s="125"/>
    </row>
    <row r="43" spans="2:13" ht="18" customHeight="1" x14ac:dyDescent="0.25">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5">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3">
      <c r="B45" s="1251" t="s">
        <v>269</v>
      </c>
      <c r="C45" s="2343"/>
      <c r="D45" s="80"/>
      <c r="E45" s="3423">
        <f>SUM(E33:E43)</f>
        <v>98558.865414965476</v>
      </c>
      <c r="F45" s="3343">
        <f>IF(I45="NA","NA",I45/(44/12)*1000/E45)</f>
        <v>28.045077456543098</v>
      </c>
      <c r="G45" s="3423">
        <f>SUM(G33:G43)</f>
        <v>2794.6736094969888</v>
      </c>
      <c r="H45" s="3371">
        <f t="shared" ref="H45" si="9">IF(G45="NA","NA",IF(G45="NO","NO",G45*44/12))</f>
        <v>10247.136568155625</v>
      </c>
      <c r="I45" s="3423">
        <f>SUM(I33:I43)</f>
        <v>10135.000386836282</v>
      </c>
      <c r="J45" s="2365"/>
      <c r="M45" s="125"/>
    </row>
    <row r="46" spans="2:13" ht="18" customHeight="1" x14ac:dyDescent="0.25">
      <c r="B46" s="1024" t="s">
        <v>322</v>
      </c>
      <c r="C46" s="95"/>
      <c r="D46" s="2338" t="s">
        <v>200</v>
      </c>
      <c r="E46" s="2346"/>
      <c r="F46" s="3421"/>
      <c r="G46" s="2347"/>
      <c r="H46" s="3372"/>
      <c r="I46" s="2347"/>
      <c r="J46" s="2585"/>
      <c r="M46" s="125"/>
    </row>
    <row r="47" spans="2:13" ht="18" customHeight="1" x14ac:dyDescent="0.25">
      <c r="B47" s="1025"/>
      <c r="C47" s="2240"/>
      <c r="D47" s="40" t="s">
        <v>1793</v>
      </c>
      <c r="E47" s="3414">
        <v>22271.575746929775</v>
      </c>
      <c r="F47" s="3419">
        <f t="shared" ref="F47" si="10">IF(I47="NA","NA",I47/(44/12)*1000/E47)</f>
        <v>14.021432274344992</v>
      </c>
      <c r="G47" s="3395">
        <v>312.27939097852033</v>
      </c>
      <c r="H47" s="3374">
        <f t="shared" ref="H47" si="11">IF(G47="NA","NA",IF(G47="NO","NO",G47*44/12))</f>
        <v>1145.0244335879079</v>
      </c>
      <c r="I47" s="3395">
        <v>1145.0244335879079</v>
      </c>
      <c r="J47" s="3416" t="s">
        <v>2152</v>
      </c>
      <c r="M47" s="125"/>
    </row>
    <row r="48" spans="2:13" ht="18" customHeight="1" x14ac:dyDescent="0.25">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5">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3">
      <c r="B50" s="68" t="s">
        <v>273</v>
      </c>
      <c r="C50" s="79"/>
      <c r="D50" s="80"/>
      <c r="E50" s="3423">
        <f>SUM(E47:E48)</f>
        <v>22271.575746929775</v>
      </c>
      <c r="F50" s="3343">
        <f>IF(I50="NA","NA",I50/(44/12)*1000/E50)</f>
        <v>14.021432274344992</v>
      </c>
      <c r="G50" s="3423">
        <f>SUM(G47:G48)</f>
        <v>312.27939097852033</v>
      </c>
      <c r="H50" s="3397">
        <f t="shared" ref="H50" si="13">IF(G50="NA","NA",IF(G50="NO","NO",G50*44/12))</f>
        <v>1145.0244335879079</v>
      </c>
      <c r="I50" s="3423">
        <f>SUM(I47:I48)</f>
        <v>1145.0244335879079</v>
      </c>
      <c r="J50" s="2365"/>
      <c r="M50" s="125"/>
    </row>
    <row r="51" spans="2:13" ht="18" customHeight="1" x14ac:dyDescent="0.25">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5">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5">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3">
      <c r="B54" s="2369" t="s">
        <v>277</v>
      </c>
      <c r="C54" s="2240"/>
      <c r="D54" s="96"/>
      <c r="E54" s="112" t="s">
        <v>2147</v>
      </c>
      <c r="F54" s="3343" t="s">
        <v>2147</v>
      </c>
      <c r="G54" s="112" t="s">
        <v>2147</v>
      </c>
      <c r="H54" s="3371" t="str">
        <f t="shared" si="15"/>
        <v>NA</v>
      </c>
      <c r="I54" s="112" t="s">
        <v>2147</v>
      </c>
      <c r="J54" s="1028"/>
      <c r="M54" s="125"/>
    </row>
    <row r="55" spans="2:13" ht="18" customHeight="1" thickBot="1" x14ac:dyDescent="0.3">
      <c r="B55" s="2375" t="s">
        <v>278</v>
      </c>
      <c r="C55" s="2378"/>
      <c r="D55" s="2376"/>
      <c r="E55" s="3423">
        <f>SUM(E31,E45,E50,E54)</f>
        <v>227126.92516012862</v>
      </c>
      <c r="F55" s="3354">
        <f t="shared" si="14"/>
        <v>14.683102457822136</v>
      </c>
      <c r="G55" s="3423">
        <f>SUM(G31,G45,G50,G54)</f>
        <v>5157.7744598140735</v>
      </c>
      <c r="H55" s="3398">
        <f t="shared" si="15"/>
        <v>18911.839685984934</v>
      </c>
      <c r="I55" s="3423">
        <f>SUM(I31,I45,I50,I54)</f>
        <v>12228.069014539651</v>
      </c>
      <c r="J55" s="2377"/>
      <c r="M55" s="125"/>
    </row>
    <row r="56" spans="2:13" ht="18" customHeight="1" x14ac:dyDescent="0.25">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5">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5">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5">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3">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5">
      <c r="M61" s="125"/>
    </row>
    <row r="62" spans="2:13" ht="12" customHeight="1" x14ac:dyDescent="0.25">
      <c r="B62" s="1026"/>
      <c r="C62" s="1027"/>
      <c r="D62" s="1027"/>
      <c r="E62" s="1027"/>
      <c r="F62" s="1027"/>
      <c r="G62" s="1027"/>
      <c r="H62" s="1027"/>
      <c r="I62" s="1027"/>
      <c r="J62" s="1027"/>
      <c r="M62" s="125"/>
    </row>
    <row r="63" spans="2:13" ht="12" customHeight="1" x14ac:dyDescent="0.25">
      <c r="B63" s="989"/>
      <c r="C63" s="989"/>
      <c r="D63" s="989"/>
      <c r="E63" s="989"/>
      <c r="F63" s="989"/>
      <c r="G63" s="989"/>
      <c r="M63" s="125"/>
    </row>
    <row r="64" spans="2:13" ht="12" customHeight="1" x14ac:dyDescent="0.25">
      <c r="B64" s="1026"/>
      <c r="C64" s="1027"/>
      <c r="D64" s="1027"/>
      <c r="E64" s="1027"/>
      <c r="F64" s="1027"/>
      <c r="G64" s="1027"/>
      <c r="H64" s="1027"/>
      <c r="I64" s="1027"/>
      <c r="J64" s="1027"/>
      <c r="M64" s="125"/>
    </row>
    <row r="65" spans="2:13" ht="12" customHeight="1" x14ac:dyDescent="0.25">
      <c r="B65" s="1026"/>
      <c r="C65" s="1026"/>
      <c r="D65" s="1026"/>
      <c r="E65" s="1026"/>
      <c r="F65" s="1026"/>
      <c r="G65" s="1026"/>
      <c r="H65" s="1026"/>
      <c r="I65" s="1026"/>
      <c r="J65" s="1026"/>
      <c r="M65" s="125"/>
    </row>
    <row r="66" spans="2:13" ht="12" customHeight="1" x14ac:dyDescent="0.25">
      <c r="B66" s="989"/>
      <c r="C66" s="989"/>
      <c r="D66" s="989"/>
      <c r="E66" s="989"/>
      <c r="F66" s="989"/>
      <c r="G66" s="989"/>
      <c r="H66" s="989"/>
      <c r="I66" s="989"/>
      <c r="J66" s="989"/>
      <c r="M66" s="125"/>
    </row>
    <row r="67" spans="2:13" ht="12" customHeight="1" x14ac:dyDescent="0.25">
      <c r="B67" s="989"/>
      <c r="C67" s="989"/>
      <c r="D67" s="989"/>
      <c r="E67" s="989"/>
      <c r="M67" s="125"/>
    </row>
    <row r="68" spans="2:13" ht="12" customHeight="1" x14ac:dyDescent="0.25">
      <c r="B68" s="989"/>
      <c r="C68" s="989"/>
      <c r="D68" s="989"/>
      <c r="E68" s="989"/>
      <c r="M68" s="125"/>
    </row>
    <row r="69" spans="2:13" ht="12" customHeight="1" x14ac:dyDescent="0.25">
      <c r="B69" s="989"/>
      <c r="C69" s="989"/>
      <c r="D69" s="989"/>
      <c r="E69" s="989"/>
      <c r="M69" s="125"/>
    </row>
    <row r="70" spans="2:13" ht="12" customHeight="1" x14ac:dyDescent="0.25">
      <c r="B70" s="989"/>
      <c r="C70" s="989"/>
      <c r="D70" s="989"/>
      <c r="E70" s="989"/>
    </row>
    <row r="71" spans="2:13" ht="12" customHeight="1" x14ac:dyDescent="0.25">
      <c r="B71" s="989"/>
      <c r="C71" s="989"/>
      <c r="D71" s="989"/>
      <c r="E71" s="989"/>
    </row>
    <row r="72" spans="2:13" ht="12" customHeight="1" x14ac:dyDescent="0.25">
      <c r="B72" s="989"/>
      <c r="C72" s="989"/>
      <c r="D72" s="989"/>
      <c r="E72" s="989"/>
    </row>
    <row r="73" spans="2:13" ht="12" customHeight="1" x14ac:dyDescent="0.25">
      <c r="B73" s="989"/>
      <c r="C73" s="989"/>
      <c r="D73" s="989"/>
      <c r="E73" s="989"/>
    </row>
    <row r="74" spans="2:13" ht="12" customHeight="1" x14ac:dyDescent="0.25">
      <c r="B74" s="989"/>
      <c r="C74" s="989"/>
      <c r="D74" s="989"/>
      <c r="E74" s="989"/>
    </row>
    <row r="75" spans="2:13" ht="12" customHeight="1" x14ac:dyDescent="0.25">
      <c r="B75" s="989"/>
      <c r="C75" s="989"/>
      <c r="D75" s="989"/>
      <c r="E75" s="989"/>
    </row>
    <row r="76" spans="2:13" ht="12" customHeight="1" x14ac:dyDescent="0.25">
      <c r="B76" s="989"/>
      <c r="C76" s="989"/>
      <c r="D76" s="989"/>
      <c r="E76" s="989"/>
    </row>
    <row r="77" spans="2:13" ht="12" customHeight="1" x14ac:dyDescent="0.25">
      <c r="B77" s="989"/>
      <c r="C77" s="989"/>
      <c r="D77" s="989"/>
      <c r="E77" s="989"/>
    </row>
    <row r="78" spans="2:13" ht="12" customHeight="1" thickBot="1" x14ac:dyDescent="0.3">
      <c r="B78" s="989"/>
      <c r="C78" s="989"/>
      <c r="D78" s="989"/>
      <c r="E78" s="989"/>
    </row>
    <row r="79" spans="2:13" ht="12" customHeight="1" x14ac:dyDescent="0.25">
      <c r="B79" s="991" t="s">
        <v>324</v>
      </c>
      <c r="C79" s="1575"/>
      <c r="D79" s="1575"/>
      <c r="E79" s="1575"/>
      <c r="F79" s="1575"/>
      <c r="G79" s="1575"/>
      <c r="H79" s="1575"/>
      <c r="I79" s="1575"/>
      <c r="J79" s="1576"/>
    </row>
    <row r="80" spans="2:13" ht="12" customHeight="1" x14ac:dyDescent="0.25">
      <c r="B80" s="1248"/>
      <c r="C80" s="2366"/>
      <c r="D80" s="2366"/>
      <c r="E80" s="2366"/>
      <c r="F80" s="2366"/>
      <c r="G80" s="2366"/>
      <c r="H80" s="2366"/>
      <c r="I80" s="2366"/>
      <c r="J80" s="2367"/>
    </row>
    <row r="81" spans="2:10" ht="12" customHeight="1" x14ac:dyDescent="0.25">
      <c r="B81" s="1248"/>
      <c r="C81" s="2366"/>
      <c r="D81" s="2366"/>
      <c r="E81" s="2366"/>
      <c r="F81" s="2366"/>
      <c r="G81" s="2366"/>
      <c r="H81" s="2366"/>
      <c r="I81" s="2366"/>
      <c r="J81" s="2367"/>
    </row>
    <row r="82" spans="2:10" ht="12" customHeight="1" x14ac:dyDescent="0.25">
      <c r="B82" s="1574"/>
      <c r="C82" s="1569"/>
      <c r="D82" s="1569"/>
      <c r="E82" s="1569"/>
      <c r="F82" s="1569"/>
      <c r="G82" s="1569"/>
      <c r="H82" s="1569"/>
      <c r="I82" s="1569"/>
      <c r="J82" s="1570"/>
    </row>
    <row r="83" spans="2:10" ht="12" customHeight="1" thickBot="1" x14ac:dyDescent="0.3">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09375" defaultRowHeight="12" customHeight="1" x14ac:dyDescent="0.25"/>
  <cols>
    <col min="1" max="1" width="1.88671875" customWidth="1"/>
    <col min="2" max="2" width="62.5546875" bestFit="1" customWidth="1"/>
    <col min="3" max="3" width="17.44140625" customWidth="1"/>
    <col min="4" max="9" width="15.5546875" customWidth="1"/>
  </cols>
  <sheetData>
    <row r="1" spans="2:12" ht="15.75" customHeight="1" x14ac:dyDescent="0.3">
      <c r="B1" s="208" t="s">
        <v>325</v>
      </c>
      <c r="C1" s="208"/>
      <c r="D1" s="208"/>
      <c r="G1" s="226"/>
      <c r="I1" s="14" t="s">
        <v>2521</v>
      </c>
    </row>
    <row r="2" spans="2:12" ht="15.75" customHeight="1" x14ac:dyDescent="0.3">
      <c r="B2" s="215" t="s">
        <v>133</v>
      </c>
      <c r="G2" s="226"/>
      <c r="I2" s="14" t="s">
        <v>2522</v>
      </c>
    </row>
    <row r="3" spans="2:12" ht="15.75" customHeight="1" x14ac:dyDescent="0.3">
      <c r="B3" s="215" t="s">
        <v>62</v>
      </c>
      <c r="F3" s="226"/>
      <c r="G3" s="226"/>
      <c r="H3" s="226"/>
      <c r="I3" s="14" t="s">
        <v>2144</v>
      </c>
    </row>
    <row r="4" spans="2:12" ht="12" customHeight="1" x14ac:dyDescent="0.3">
      <c r="B4" s="215"/>
      <c r="F4" s="226"/>
      <c r="G4" s="226"/>
      <c r="H4" s="226"/>
      <c r="I4" s="226"/>
    </row>
    <row r="5" spans="2:12" ht="12" hidden="1" customHeight="1" x14ac:dyDescent="0.3">
      <c r="B5" s="215"/>
      <c r="F5" s="226"/>
      <c r="G5" s="226"/>
      <c r="H5" s="226"/>
      <c r="I5" s="226"/>
    </row>
    <row r="6" spans="2:12" ht="12.75" customHeight="1" thickBot="1" x14ac:dyDescent="0.3">
      <c r="B6" s="2446" t="s">
        <v>64</v>
      </c>
    </row>
    <row r="7" spans="2:12" ht="12" customHeight="1" x14ac:dyDescent="0.25">
      <c r="B7" s="45" t="s">
        <v>326</v>
      </c>
      <c r="C7" s="2155" t="s">
        <v>327</v>
      </c>
      <c r="D7" s="177" t="s">
        <v>123</v>
      </c>
      <c r="E7" s="179"/>
      <c r="F7" s="1762" t="s">
        <v>2112</v>
      </c>
      <c r="G7" s="178"/>
      <c r="H7" s="1762" t="s">
        <v>2113</v>
      </c>
      <c r="I7" s="203"/>
    </row>
    <row r="8" spans="2:12" ht="22.8" x14ac:dyDescent="0.25">
      <c r="B8" s="259" t="s">
        <v>328</v>
      </c>
      <c r="C8" s="433" t="s">
        <v>329</v>
      </c>
      <c r="D8" s="433" t="s">
        <v>1452</v>
      </c>
      <c r="E8" s="1721" t="s">
        <v>66</v>
      </c>
      <c r="F8" s="335" t="s">
        <v>330</v>
      </c>
      <c r="G8" s="1856" t="s">
        <v>66</v>
      </c>
      <c r="H8" s="1857" t="s">
        <v>330</v>
      </c>
      <c r="I8" s="1839" t="s">
        <v>66</v>
      </c>
    </row>
    <row r="9" spans="2:12" ht="12" customHeight="1" thickBot="1" x14ac:dyDescent="0.3">
      <c r="B9" s="2179"/>
      <c r="C9" s="1773" t="s">
        <v>331</v>
      </c>
      <c r="D9" s="1748" t="s">
        <v>332</v>
      </c>
      <c r="E9" s="1772"/>
      <c r="F9" s="1748" t="s">
        <v>73</v>
      </c>
      <c r="G9" s="344"/>
      <c r="H9" s="1748" t="s">
        <v>73</v>
      </c>
      <c r="I9" s="345"/>
    </row>
    <row r="10" spans="2:12" ht="18" customHeight="1" thickTop="1" x14ac:dyDescent="0.25">
      <c r="B10" s="2180" t="s">
        <v>333</v>
      </c>
      <c r="C10" s="3078">
        <f>SUM(C11,C18)</f>
        <v>241.02821799999998</v>
      </c>
      <c r="D10" s="3127"/>
      <c r="E10" s="3127"/>
      <c r="F10" s="3078">
        <f>SUM(F11,F18)</f>
        <v>871.31422237816673</v>
      </c>
      <c r="G10" s="3078">
        <f>SUM(G11,G18)</f>
        <v>1183.8805823664281</v>
      </c>
      <c r="H10" s="3078">
        <f>H11</f>
        <v>-0.10062463092</v>
      </c>
      <c r="I10" s="3128" t="s">
        <v>2146</v>
      </c>
      <c r="L10" s="3750"/>
    </row>
    <row r="11" spans="2:12" ht="18" customHeight="1" x14ac:dyDescent="0.25">
      <c r="B11" s="1252" t="s">
        <v>334</v>
      </c>
      <c r="C11" s="3033">
        <v>56.746943999999999</v>
      </c>
      <c r="D11" s="3078">
        <f>IFERROR(SUM(F11,H11)/$C$11,"NA")</f>
        <v>12.434702666726505</v>
      </c>
      <c r="E11" s="3078">
        <f>IFERROR(SUM(G11,I11)/$C$11,"NA")</f>
        <v>19.773803404563402</v>
      </c>
      <c r="F11" s="3078">
        <f>SUM(F12:F16)</f>
        <v>705.73200051629965</v>
      </c>
      <c r="G11" s="3078">
        <f>SUM(G12:G16)</f>
        <v>1122.1029144657687</v>
      </c>
      <c r="H11" s="3078">
        <f>H12</f>
        <v>-0.10062463092</v>
      </c>
      <c r="I11" s="3128" t="s">
        <v>2146</v>
      </c>
    </row>
    <row r="12" spans="2:12" ht="18" customHeight="1" x14ac:dyDescent="0.25">
      <c r="B12" s="160" t="s">
        <v>335</v>
      </c>
      <c r="C12" s="3046"/>
      <c r="D12" s="3078">
        <f t="shared" ref="D12:D14" si="0">IFERROR(SUM(F12,H12)/$C$11,"NA")</f>
        <v>11.704503834299963</v>
      </c>
      <c r="E12" s="3078">
        <f>IFERROR(SUM(G12,I12)/$C$11,"NA")</f>
        <v>19.768795323717338</v>
      </c>
      <c r="F12" s="3126">
        <v>664.29544826372535</v>
      </c>
      <c r="G12" s="3126">
        <v>1121.8187211824497</v>
      </c>
      <c r="H12" s="3126">
        <v>-0.10062463092</v>
      </c>
      <c r="I12" s="3034" t="s">
        <v>2146</v>
      </c>
    </row>
    <row r="13" spans="2:12" ht="18" customHeight="1" x14ac:dyDescent="0.25">
      <c r="B13" s="160" t="s">
        <v>336</v>
      </c>
      <c r="C13" s="3046"/>
      <c r="D13" s="3078">
        <f t="shared" si="0"/>
        <v>0.39917114309278928</v>
      </c>
      <c r="E13" s="3078" t="s">
        <v>2147</v>
      </c>
      <c r="F13" s="3126">
        <v>22.651742503502501</v>
      </c>
      <c r="G13" s="3126" t="s">
        <v>2154</v>
      </c>
      <c r="H13" s="3126" t="s">
        <v>2146</v>
      </c>
      <c r="I13" s="3034" t="s">
        <v>2146</v>
      </c>
    </row>
    <row r="14" spans="2:12" ht="18" customHeight="1" x14ac:dyDescent="0.25">
      <c r="B14" s="160" t="s">
        <v>337</v>
      </c>
      <c r="C14" s="3046"/>
      <c r="D14" s="3078">
        <f t="shared" si="0"/>
        <v>0.33101177217757216</v>
      </c>
      <c r="E14" s="3078" t="s">
        <v>2147</v>
      </c>
      <c r="F14" s="3126">
        <v>18.783906499101445</v>
      </c>
      <c r="G14" s="3126" t="s">
        <v>2147</v>
      </c>
      <c r="H14" s="3126" t="s">
        <v>2146</v>
      </c>
      <c r="I14" s="3034" t="s">
        <v>2146</v>
      </c>
    </row>
    <row r="15" spans="2:12" ht="18" customHeight="1" x14ac:dyDescent="0.25">
      <c r="B15" s="160" t="s">
        <v>338</v>
      </c>
      <c r="C15" s="3033">
        <v>1.0062463092000001E-4</v>
      </c>
      <c r="D15" s="3078">
        <f>IFERROR(SUM(F15,H15)/$C15,"NA")</f>
        <v>8.976430144188841</v>
      </c>
      <c r="E15" s="3078">
        <f>IFERROR(SUM(G15,I15)/$C15,"NA")</f>
        <v>2824.2914356106367</v>
      </c>
      <c r="F15" s="3126">
        <v>9.0324997023816462E-4</v>
      </c>
      <c r="G15" s="3126">
        <v>0.28419328331883725</v>
      </c>
      <c r="H15" s="3129"/>
      <c r="I15" s="3130"/>
    </row>
    <row r="16" spans="2:12" ht="18" customHeight="1" x14ac:dyDescent="0.25">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5">
      <c r="B17" s="3124" t="s">
        <v>2147</v>
      </c>
      <c r="C17" s="3046"/>
      <c r="D17" s="3078" t="s">
        <v>2147</v>
      </c>
      <c r="E17" s="3078" t="s">
        <v>2147</v>
      </c>
      <c r="F17" s="3126" t="s">
        <v>2147</v>
      </c>
      <c r="G17" s="3126" t="s">
        <v>2147</v>
      </c>
      <c r="H17" s="3126" t="s">
        <v>2147</v>
      </c>
      <c r="I17" s="3034" t="s">
        <v>2147</v>
      </c>
    </row>
    <row r="18" spans="2:9" ht="18" customHeight="1" x14ac:dyDescent="0.25">
      <c r="B18" s="1252" t="s">
        <v>340</v>
      </c>
      <c r="C18" s="3033">
        <v>184.281274</v>
      </c>
      <c r="D18" s="3078">
        <f>IFERROR(SUM(F18,H18)/$C$18,"NA")</f>
        <v>0.89852983033895795</v>
      </c>
      <c r="E18" s="3078">
        <f>IFERROR(SUM(G18,I18)/$C$18,"NA")</f>
        <v>0.33523573263694462</v>
      </c>
      <c r="F18" s="3078">
        <f>SUM(F19:F21)</f>
        <v>165.58222186186703</v>
      </c>
      <c r="G18" s="3131">
        <f t="shared" ref="G18" si="2">SUM(G19:G21)</f>
        <v>61.77766790065953</v>
      </c>
      <c r="H18" s="3078" t="s">
        <v>2146</v>
      </c>
      <c r="I18" s="3128" t="s">
        <v>2146</v>
      </c>
    </row>
    <row r="19" spans="2:9" ht="18" customHeight="1" x14ac:dyDescent="0.25">
      <c r="B19" s="160" t="s">
        <v>341</v>
      </c>
      <c r="C19" s="3046"/>
      <c r="D19" s="3078">
        <f>IFERROR(SUM(F19,H19)/$C$18,"NA")</f>
        <v>0.89852983033895795</v>
      </c>
      <c r="E19" s="3078">
        <f>IFERROR(SUM(G19,I19)/$C$18,"NA")</f>
        <v>0.33523573263694462</v>
      </c>
      <c r="F19" s="3126">
        <v>165.58222186186703</v>
      </c>
      <c r="G19" s="3126">
        <v>61.77766790065953</v>
      </c>
      <c r="H19" s="3126" t="s">
        <v>2146</v>
      </c>
      <c r="I19" s="3034" t="s">
        <v>2146</v>
      </c>
    </row>
    <row r="20" spans="2:9" ht="18" customHeight="1" x14ac:dyDescent="0.25">
      <c r="B20" s="1253" t="s">
        <v>342</v>
      </c>
      <c r="C20" s="3132"/>
      <c r="D20" s="3133" t="s">
        <v>2147</v>
      </c>
      <c r="E20" s="3133" t="s">
        <v>2147</v>
      </c>
      <c r="F20" s="3134" t="s">
        <v>2153</v>
      </c>
      <c r="G20" s="3134" t="s">
        <v>2154</v>
      </c>
      <c r="H20" s="3134" t="s">
        <v>2146</v>
      </c>
      <c r="I20" s="3038" t="s">
        <v>2146</v>
      </c>
    </row>
    <row r="21" spans="2:9" ht="18" customHeight="1" x14ac:dyDescent="0.25">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5">
      <c r="B22" s="3124" t="s">
        <v>2147</v>
      </c>
      <c r="C22" s="3046"/>
      <c r="D22" s="3078" t="s">
        <v>2147</v>
      </c>
      <c r="E22" s="3078" t="s">
        <v>2147</v>
      </c>
      <c r="F22" s="3126" t="s">
        <v>2147</v>
      </c>
      <c r="G22" s="3126" t="s">
        <v>2147</v>
      </c>
      <c r="H22" s="3126" t="s">
        <v>2147</v>
      </c>
      <c r="I22" s="3034" t="s">
        <v>2147</v>
      </c>
    </row>
    <row r="23" spans="2:9" ht="18" customHeight="1" x14ac:dyDescent="0.25">
      <c r="B23" s="2181" t="s">
        <v>344</v>
      </c>
      <c r="C23" s="3046"/>
      <c r="D23" s="3046"/>
      <c r="E23" s="3046"/>
      <c r="F23" s="3131" t="s">
        <v>2157</v>
      </c>
      <c r="G23" s="3131" t="s">
        <v>2157</v>
      </c>
      <c r="H23" s="3131" t="s">
        <v>2157</v>
      </c>
      <c r="I23" s="3128" t="s">
        <v>2147</v>
      </c>
    </row>
    <row r="24" spans="2:9" ht="18" customHeight="1" x14ac:dyDescent="0.25">
      <c r="B24" s="1275" t="s">
        <v>345</v>
      </c>
      <c r="C24" s="3129"/>
      <c r="D24" s="3135"/>
      <c r="E24" s="3135"/>
      <c r="F24" s="3135"/>
      <c r="G24" s="3135"/>
      <c r="H24" s="3135"/>
      <c r="I24" s="3136"/>
    </row>
    <row r="25" spans="2:9" ht="18" customHeight="1" x14ac:dyDescent="0.25">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5">
      <c r="B26" s="1252" t="s">
        <v>347</v>
      </c>
      <c r="C26" s="3033" t="s">
        <v>2153</v>
      </c>
      <c r="D26" s="3078" t="s">
        <v>2147</v>
      </c>
      <c r="E26" s="3078" t="s">
        <v>2147</v>
      </c>
      <c r="F26" s="3033" t="s">
        <v>2153</v>
      </c>
      <c r="G26" s="3126" t="s">
        <v>2153</v>
      </c>
      <c r="H26" s="3033" t="s">
        <v>2153</v>
      </c>
      <c r="I26" s="3034" t="s">
        <v>2146</v>
      </c>
    </row>
    <row r="27" spans="2:9" ht="18" customHeight="1" x14ac:dyDescent="0.25">
      <c r="B27" s="1252" t="s">
        <v>348</v>
      </c>
      <c r="C27" s="3033" t="s">
        <v>2146</v>
      </c>
      <c r="D27" s="3078" t="s">
        <v>2147</v>
      </c>
      <c r="E27" s="3078" t="s">
        <v>2147</v>
      </c>
      <c r="F27" s="3033" t="s">
        <v>2146</v>
      </c>
      <c r="G27" s="3033" t="s">
        <v>2146</v>
      </c>
      <c r="H27" s="3033" t="s">
        <v>2146</v>
      </c>
      <c r="I27" s="3034" t="s">
        <v>2146</v>
      </c>
    </row>
    <row r="28" spans="2:9" ht="18" customHeight="1" x14ac:dyDescent="0.25">
      <c r="B28" s="1252" t="s">
        <v>349</v>
      </c>
      <c r="C28" s="3033" t="s">
        <v>2146</v>
      </c>
      <c r="D28" s="3078" t="s">
        <v>2147</v>
      </c>
      <c r="E28" s="3078" t="s">
        <v>2147</v>
      </c>
      <c r="F28" s="3033" t="s">
        <v>2146</v>
      </c>
      <c r="G28" s="3033" t="s">
        <v>2146</v>
      </c>
      <c r="H28" s="3033" t="s">
        <v>2146</v>
      </c>
      <c r="I28" s="3034" t="s">
        <v>2146</v>
      </c>
    </row>
    <row r="29" spans="2:9" ht="18" customHeight="1" x14ac:dyDescent="0.25">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5">
      <c r="B30" s="3125" t="s">
        <v>2147</v>
      </c>
      <c r="C30" s="3033" t="s">
        <v>2147</v>
      </c>
      <c r="D30" s="3078" t="s">
        <v>2147</v>
      </c>
      <c r="E30" s="3078" t="s">
        <v>2147</v>
      </c>
      <c r="F30" s="3033" t="s">
        <v>2147</v>
      </c>
      <c r="G30" s="3126" t="s">
        <v>2147</v>
      </c>
      <c r="H30" s="3033" t="s">
        <v>2147</v>
      </c>
      <c r="I30" s="3034" t="s">
        <v>2147</v>
      </c>
    </row>
    <row r="31" spans="2:9" ht="18" customHeight="1" x14ac:dyDescent="0.25">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3">
      <c r="B32" s="2126" t="s">
        <v>2147</v>
      </c>
      <c r="C32" s="3137" t="s">
        <v>2147</v>
      </c>
      <c r="D32" s="3138" t="s">
        <v>2147</v>
      </c>
      <c r="E32" s="3138" t="s">
        <v>2147</v>
      </c>
      <c r="F32" s="3137" t="s">
        <v>2147</v>
      </c>
      <c r="G32" s="3139" t="s">
        <v>2147</v>
      </c>
      <c r="H32" s="3137" t="s">
        <v>2147</v>
      </c>
      <c r="I32" s="3140" t="s">
        <v>2147</v>
      </c>
    </row>
    <row r="33" spans="2:9" ht="12" customHeight="1" x14ac:dyDescent="0.25">
      <c r="B33" s="8"/>
      <c r="C33" s="8"/>
      <c r="D33" s="8"/>
      <c r="E33" s="8"/>
      <c r="F33" s="8"/>
      <c r="G33" s="8"/>
      <c r="H33" s="8"/>
      <c r="I33" s="8"/>
    </row>
    <row r="34" spans="2:9" ht="12" customHeight="1" x14ac:dyDescent="0.25">
      <c r="B34" s="994"/>
      <c r="C34" s="994"/>
      <c r="D34" s="994"/>
      <c r="E34" s="994"/>
    </row>
    <row r="35" spans="2:9" ht="12" customHeight="1" x14ac:dyDescent="0.25">
      <c r="B35" s="2182"/>
      <c r="C35" s="2182"/>
      <c r="D35" s="2182"/>
      <c r="E35" s="2182"/>
    </row>
    <row r="36" spans="2:9" ht="12" customHeight="1" x14ac:dyDescent="0.25">
      <c r="B36" s="2182"/>
      <c r="C36" s="2182"/>
      <c r="D36" s="2182"/>
    </row>
    <row r="37" spans="2:9" ht="12" customHeight="1" x14ac:dyDescent="0.25">
      <c r="B37" s="994"/>
      <c r="C37" s="994"/>
      <c r="D37" s="994"/>
      <c r="E37" s="994"/>
      <c r="F37" s="994"/>
      <c r="H37" s="994"/>
    </row>
    <row r="38" spans="2:9" ht="12" customHeight="1" x14ac:dyDescent="0.25">
      <c r="B38" s="809"/>
      <c r="C38" s="809"/>
      <c r="D38" s="809"/>
    </row>
    <row r="39" spans="2:9" ht="12" customHeight="1" x14ac:dyDescent="0.25">
      <c r="B39" s="2182"/>
      <c r="C39" s="2182"/>
      <c r="D39" s="2182"/>
      <c r="E39" s="2182"/>
    </row>
    <row r="47" spans="2:9" ht="12" customHeight="1" x14ac:dyDescent="0.25">
      <c r="B47" s="2172"/>
      <c r="C47" s="2172"/>
      <c r="D47" s="2172"/>
      <c r="E47" s="2172"/>
      <c r="F47" s="2172"/>
      <c r="G47" s="2172"/>
      <c r="H47" s="2172"/>
      <c r="I47" s="2172"/>
    </row>
    <row r="48" spans="2:9" ht="12" customHeight="1" thickBot="1" x14ac:dyDescent="0.3"/>
    <row r="49" spans="2:9" ht="12" customHeight="1" x14ac:dyDescent="0.25">
      <c r="B49" s="223" t="s">
        <v>352</v>
      </c>
      <c r="C49" s="224"/>
      <c r="D49" s="224"/>
      <c r="E49" s="224"/>
      <c r="F49" s="224"/>
      <c r="G49" s="224"/>
      <c r="H49" s="224"/>
      <c r="I49" s="225"/>
    </row>
    <row r="50" spans="2:9" ht="12" customHeight="1" x14ac:dyDescent="0.25">
      <c r="B50" s="1460"/>
      <c r="C50" s="1461"/>
      <c r="D50" s="1461"/>
      <c r="E50" s="1461"/>
      <c r="F50" s="1461"/>
      <c r="G50" s="1461"/>
      <c r="H50" s="1461"/>
      <c r="I50" s="1462"/>
    </row>
    <row r="51" spans="2:9" ht="12" customHeight="1" x14ac:dyDescent="0.25">
      <c r="B51" s="2173"/>
      <c r="C51" s="2174"/>
      <c r="D51" s="2174"/>
      <c r="E51" s="2174"/>
      <c r="F51" s="2174"/>
      <c r="G51" s="2174"/>
      <c r="H51" s="2174"/>
      <c r="I51" s="2175"/>
    </row>
    <row r="52" spans="2:9" ht="12" customHeight="1" x14ac:dyDescent="0.25">
      <c r="B52" s="2173"/>
      <c r="C52" s="2174"/>
      <c r="D52" s="2174"/>
      <c r="E52" s="2174"/>
      <c r="F52" s="2174"/>
      <c r="G52" s="2174"/>
      <c r="H52" s="2174"/>
      <c r="I52" s="2175"/>
    </row>
    <row r="53" spans="2:9" ht="12" customHeight="1" x14ac:dyDescent="0.25">
      <c r="B53" s="2173"/>
      <c r="C53" s="2174"/>
      <c r="D53" s="2174"/>
      <c r="E53" s="2174"/>
      <c r="F53" s="2174"/>
      <c r="G53" s="2174"/>
      <c r="H53" s="2174"/>
      <c r="I53" s="2175"/>
    </row>
    <row r="54" spans="2:9" ht="12" customHeight="1" x14ac:dyDescent="0.25">
      <c r="B54" s="2173"/>
      <c r="C54" s="2174"/>
      <c r="D54" s="2174"/>
      <c r="E54" s="2174"/>
      <c r="F54" s="2174"/>
      <c r="G54" s="2174"/>
      <c r="H54" s="2174"/>
      <c r="I54" s="2175"/>
    </row>
    <row r="55" spans="2:9" ht="12" customHeight="1" x14ac:dyDescent="0.25">
      <c r="B55" s="2173"/>
      <c r="C55" s="2174"/>
      <c r="D55" s="2174"/>
      <c r="E55" s="2174"/>
      <c r="F55" s="2174"/>
      <c r="G55" s="2174"/>
      <c r="H55" s="2174"/>
      <c r="I55" s="2175"/>
    </row>
    <row r="56" spans="2:9" ht="12" customHeight="1" x14ac:dyDescent="0.25">
      <c r="B56" s="1315"/>
      <c r="C56" s="1321"/>
      <c r="D56" s="1321"/>
      <c r="E56" s="1321"/>
      <c r="F56" s="1321"/>
      <c r="G56" s="1321"/>
      <c r="H56" s="1321"/>
      <c r="I56" s="1322"/>
    </row>
    <row r="57" spans="2:9" ht="27" customHeight="1" thickBot="1" x14ac:dyDescent="0.3">
      <c r="B57" s="4446" t="s">
        <v>2158</v>
      </c>
      <c r="C57" s="4447"/>
      <c r="D57" s="4447"/>
      <c r="E57" s="4447"/>
      <c r="F57" s="4447"/>
      <c r="G57" s="4447"/>
      <c r="H57" s="4447"/>
      <c r="I57" s="4448"/>
    </row>
    <row r="58" spans="2:9" ht="12" customHeight="1" x14ac:dyDescent="0.25">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09375" defaultRowHeight="12" customHeight="1" x14ac:dyDescent="0.25"/>
  <cols>
    <col min="1" max="1" width="1.88671875" customWidth="1"/>
    <col min="2" max="2" width="35.5546875" customWidth="1"/>
    <col min="3" max="3" width="27.109375" bestFit="1" customWidth="1"/>
    <col min="4" max="4" width="8.88671875" customWidth="1"/>
    <col min="5" max="5" width="13.88671875" customWidth="1"/>
    <col min="6" max="12" width="15.5546875" customWidth="1"/>
  </cols>
  <sheetData>
    <row r="1" spans="2:12" ht="15.75" customHeight="1" x14ac:dyDescent="0.3">
      <c r="B1" s="987" t="s">
        <v>353</v>
      </c>
      <c r="C1" s="987"/>
      <c r="K1" s="226"/>
      <c r="L1" s="14" t="s">
        <v>2521</v>
      </c>
    </row>
    <row r="2" spans="2:12" ht="15.75" customHeight="1" x14ac:dyDescent="0.3">
      <c r="B2" s="987" t="s">
        <v>354</v>
      </c>
      <c r="C2" s="987"/>
      <c r="K2" s="226"/>
      <c r="L2" s="14" t="s">
        <v>2522</v>
      </c>
    </row>
    <row r="3" spans="2:12" ht="15.75" customHeight="1" x14ac:dyDescent="0.3">
      <c r="B3" s="987" t="s">
        <v>62</v>
      </c>
      <c r="J3" s="226"/>
      <c r="K3" s="226"/>
      <c r="L3" s="14" t="s">
        <v>2144</v>
      </c>
    </row>
    <row r="4" spans="2:12" ht="15.75" customHeight="1" x14ac:dyDescent="0.3">
      <c r="B4" s="987"/>
      <c r="J4" s="226"/>
      <c r="K4" s="226"/>
      <c r="L4" s="226"/>
    </row>
    <row r="5" spans="2:12" ht="15.75" hidden="1" customHeight="1" x14ac:dyDescent="0.3">
      <c r="B5" s="987"/>
      <c r="J5" s="226"/>
      <c r="K5" s="226"/>
      <c r="L5" s="226"/>
    </row>
    <row r="6" spans="2:12" ht="12.75" customHeight="1" thickBot="1" x14ac:dyDescent="0.3">
      <c r="B6" s="2449" t="s">
        <v>64</v>
      </c>
      <c r="C6" s="1011"/>
      <c r="D6" s="1011"/>
      <c r="E6" s="1011"/>
      <c r="F6" s="1011"/>
      <c r="G6" s="1011"/>
      <c r="H6" s="1011"/>
      <c r="I6" s="1011"/>
      <c r="J6" s="1011"/>
      <c r="K6" s="1011"/>
    </row>
    <row r="7" spans="2:12" ht="15" customHeight="1" x14ac:dyDescent="0.25">
      <c r="B7" s="223" t="s">
        <v>326</v>
      </c>
      <c r="C7" s="1744" t="s">
        <v>355</v>
      </c>
      <c r="D7" s="1816"/>
      <c r="E7" s="1817"/>
      <c r="F7" s="177" t="s">
        <v>356</v>
      </c>
      <c r="G7" s="178"/>
      <c r="H7" s="179"/>
      <c r="I7" s="177" t="s">
        <v>124</v>
      </c>
      <c r="J7" s="178"/>
      <c r="K7" s="179"/>
      <c r="L7" s="1096" t="s">
        <v>2111</v>
      </c>
    </row>
    <row r="8" spans="2:12" ht="12" customHeight="1" x14ac:dyDescent="0.25">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3">
      <c r="B9" s="2163"/>
      <c r="C9" s="268"/>
      <c r="D9" s="268"/>
      <c r="E9" s="268"/>
      <c r="F9" s="1864" t="s">
        <v>2013</v>
      </c>
      <c r="G9" s="1032"/>
      <c r="H9" s="1033"/>
      <c r="I9" s="1748" t="s">
        <v>73</v>
      </c>
      <c r="J9" s="344"/>
      <c r="K9" s="1772"/>
      <c r="L9" s="345" t="s">
        <v>73</v>
      </c>
    </row>
    <row r="10" spans="2:12" ht="18" customHeight="1" thickTop="1" x14ac:dyDescent="0.25">
      <c r="B10" s="1254" t="s">
        <v>362</v>
      </c>
      <c r="C10" s="2164"/>
      <c r="D10" s="2164"/>
      <c r="E10" s="3143"/>
      <c r="F10" s="3144"/>
      <c r="G10" s="3144"/>
      <c r="H10" s="3144"/>
      <c r="I10" s="3145">
        <f>IF(SUM(I11:I16)=0,"NO",SUM(I11:I16))</f>
        <v>393.89749285694324</v>
      </c>
      <c r="J10" s="3145">
        <f>IF(SUM(J11:J16)=0,"NO",SUM(J11:J16))</f>
        <v>3.1183950275781536</v>
      </c>
      <c r="K10" s="1913">
        <f>IF(SUM(K11:K16)=0,"NO",SUM(K11:K16))</f>
        <v>1.1920853502942905E-2</v>
      </c>
      <c r="L10" s="3146" t="s">
        <v>2146</v>
      </c>
    </row>
    <row r="11" spans="2:12" ht="18" customHeight="1" x14ac:dyDescent="0.25">
      <c r="B11" s="1252" t="s">
        <v>363</v>
      </c>
      <c r="C11" s="2165" t="s">
        <v>2159</v>
      </c>
      <c r="D11" s="2165" t="s">
        <v>2275</v>
      </c>
      <c r="E11" s="691">
        <v>632.61568446143701</v>
      </c>
      <c r="F11" s="1913">
        <f>I11*1000000/$E11</f>
        <v>3200.0000000000023</v>
      </c>
      <c r="G11" s="1913">
        <f>J11*1000000/$E11</f>
        <v>0.33333333333333393</v>
      </c>
      <c r="H11" s="1913">
        <f>K11*1000000/$E11</f>
        <v>0.22580645161290364</v>
      </c>
      <c r="I11" s="3141">
        <v>2.0243701902766</v>
      </c>
      <c r="J11" s="691">
        <v>2.1087189482047939E-4</v>
      </c>
      <c r="K11" s="3142">
        <v>1.4284870294290538E-4</v>
      </c>
      <c r="L11" s="3093" t="s">
        <v>2146</v>
      </c>
    </row>
    <row r="12" spans="2:12" ht="18" customHeight="1" x14ac:dyDescent="0.25">
      <c r="B12" s="1252" t="s">
        <v>364</v>
      </c>
      <c r="C12" s="2165" t="s">
        <v>2160</v>
      </c>
      <c r="D12" s="2165" t="s">
        <v>2161</v>
      </c>
      <c r="E12" s="691">
        <v>1183.8</v>
      </c>
      <c r="F12" s="1913" t="s">
        <v>2147</v>
      </c>
      <c r="G12" s="1913">
        <f>J12*1000000/$E12</f>
        <v>386.88967731035649</v>
      </c>
      <c r="H12" s="3096"/>
      <c r="I12" s="3147" t="s">
        <v>2147</v>
      </c>
      <c r="J12" s="691">
        <v>0.45800000000000002</v>
      </c>
      <c r="K12" s="3046"/>
      <c r="L12" s="3093" t="s">
        <v>2146</v>
      </c>
    </row>
    <row r="13" spans="2:12" ht="18" customHeight="1" x14ac:dyDescent="0.25">
      <c r="B13" s="1252" t="s">
        <v>365</v>
      </c>
      <c r="C13" s="2165" t="s">
        <v>2162</v>
      </c>
      <c r="D13" s="2165" t="s">
        <v>2161</v>
      </c>
      <c r="E13" s="691">
        <v>814.1</v>
      </c>
      <c r="F13" s="1913" t="s">
        <v>2147</v>
      </c>
      <c r="G13" s="1913">
        <f>J13*1000000/$E13</f>
        <v>501.12025549686763</v>
      </c>
      <c r="H13" s="3096"/>
      <c r="I13" s="3147" t="s">
        <v>2147</v>
      </c>
      <c r="J13" s="691">
        <v>0.40796199999999994</v>
      </c>
      <c r="K13" s="3046"/>
      <c r="L13" s="3093" t="s">
        <v>2146</v>
      </c>
    </row>
    <row r="14" spans="2:12" ht="18" customHeight="1" x14ac:dyDescent="0.25">
      <c r="B14" s="1252" t="s">
        <v>366</v>
      </c>
      <c r="C14" s="2165" t="s">
        <v>2163</v>
      </c>
      <c r="D14" s="2165" t="s">
        <v>2161</v>
      </c>
      <c r="E14" s="691">
        <v>1386.3</v>
      </c>
      <c r="F14" s="1913">
        <f>I14*1000000/$E14</f>
        <v>282675.55555555556</v>
      </c>
      <c r="G14" s="1913">
        <f>J14*1000000/$E14</f>
        <v>1598.0529274567791</v>
      </c>
      <c r="H14" s="1913">
        <f>K14*1000000/$E14</f>
        <v>8.4960000000000004</v>
      </c>
      <c r="I14" s="3147">
        <v>391.87312266666663</v>
      </c>
      <c r="J14" s="691">
        <v>2.2153807733333331</v>
      </c>
      <c r="K14" s="3142">
        <v>1.17780048E-2</v>
      </c>
      <c r="L14" s="3093" t="s">
        <v>2146</v>
      </c>
    </row>
    <row r="15" spans="2:12" ht="18" customHeight="1" x14ac:dyDescent="0.25">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5">
      <c r="B16" s="2414" t="s">
        <v>368</v>
      </c>
      <c r="C16" s="621"/>
      <c r="D16" s="621"/>
      <c r="E16" s="628"/>
      <c r="F16" s="628"/>
      <c r="G16" s="628"/>
      <c r="H16" s="3148"/>
      <c r="I16" s="1913" t="str">
        <f>IF(I18=0,"NO",I18)</f>
        <v>NA</v>
      </c>
      <c r="J16" s="1913">
        <f>IF(J18=0,"NO",J18)</f>
        <v>3.684138235E-2</v>
      </c>
      <c r="K16" s="3132"/>
      <c r="L16" s="3149" t="str">
        <f>IF(L18=0,"NO",L18)</f>
        <v>NO</v>
      </c>
    </row>
    <row r="17" spans="2:12" ht="18" customHeight="1" x14ac:dyDescent="0.25">
      <c r="B17" s="2383" t="s">
        <v>345</v>
      </c>
      <c r="C17" s="2103"/>
      <c r="D17" s="2285"/>
      <c r="E17" s="3097"/>
      <c r="F17" s="3097"/>
      <c r="G17" s="3097"/>
      <c r="H17" s="3097"/>
      <c r="I17" s="3097"/>
      <c r="J17" s="3097"/>
      <c r="K17" s="3097"/>
      <c r="L17" s="3111"/>
    </row>
    <row r="18" spans="2:12" ht="18" customHeight="1" x14ac:dyDescent="0.25">
      <c r="B18" s="2415" t="s">
        <v>369</v>
      </c>
      <c r="C18" s="2165" t="s">
        <v>2156</v>
      </c>
      <c r="D18" s="2165" t="s">
        <v>2155</v>
      </c>
      <c r="E18" s="691">
        <v>1418</v>
      </c>
      <c r="F18" s="1913" t="s">
        <v>2147</v>
      </c>
      <c r="G18" s="1913">
        <f>J18*1000000/$E18</f>
        <v>25.981228737658675</v>
      </c>
      <c r="H18" s="3148"/>
      <c r="I18" s="3150" t="s">
        <v>2147</v>
      </c>
      <c r="J18" s="2190">
        <v>3.684138235E-2</v>
      </c>
      <c r="K18" s="3132"/>
      <c r="L18" s="3102" t="s">
        <v>2146</v>
      </c>
    </row>
    <row r="19" spans="2:12" ht="18" customHeight="1" x14ac:dyDescent="0.25">
      <c r="B19" s="1242" t="s">
        <v>370</v>
      </c>
      <c r="C19" s="2103"/>
      <c r="D19" s="2285"/>
      <c r="E19" s="3097"/>
      <c r="F19" s="3097"/>
      <c r="G19" s="3097"/>
      <c r="H19" s="3097"/>
      <c r="I19" s="1913" t="str">
        <f>I20</f>
        <v>NA</v>
      </c>
      <c r="J19" s="1913" t="str">
        <f>J20</f>
        <v>NA</v>
      </c>
      <c r="K19" s="3046"/>
      <c r="L19" s="3065" t="str">
        <f>L20</f>
        <v>NA</v>
      </c>
    </row>
    <row r="20" spans="2:12" ht="18" customHeight="1" thickBot="1" x14ac:dyDescent="0.3">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5">
      <c r="B21" s="1255" t="s">
        <v>104</v>
      </c>
      <c r="C21" s="2167"/>
      <c r="D21" s="2167"/>
      <c r="E21" s="3154"/>
      <c r="F21" s="1930"/>
      <c r="G21" s="1930"/>
      <c r="H21" s="1930"/>
      <c r="I21" s="3155">
        <f>IF(SUM(I22:I27)=0,"NO",SUM(I22:I27))</f>
        <v>84.319073465853805</v>
      </c>
      <c r="J21" s="3155">
        <f>IF(SUM(J22:J27)=0,"NO",SUM(J22:J27))</f>
        <v>200.81281804136012</v>
      </c>
      <c r="K21" s="3067">
        <f>IF(SUM(K22:K27)=0,"NO",SUM(K22:K27))</f>
        <v>2.1751000090130695E-3</v>
      </c>
      <c r="L21" s="3068" t="str">
        <f>IF(SUM(L22:L27)=0,"NO",SUM(L22:L27))</f>
        <v>NO</v>
      </c>
    </row>
    <row r="22" spans="2:12" ht="18" customHeight="1" x14ac:dyDescent="0.25">
      <c r="B22" s="1469" t="s">
        <v>371</v>
      </c>
      <c r="C22" s="2165" t="s">
        <v>2164</v>
      </c>
      <c r="D22" s="2165" t="s">
        <v>2147</v>
      </c>
      <c r="E22" s="691">
        <v>117.26137385384045</v>
      </c>
      <c r="F22" s="1913">
        <f>I22*1000000/$E22</f>
        <v>629871.60068524792</v>
      </c>
      <c r="G22" s="1913">
        <f>J22*1000000/$E22</f>
        <v>8993.4151652534219</v>
      </c>
      <c r="H22" s="1913">
        <f>K22*1000000/$E22</f>
        <v>18.549160201075306</v>
      </c>
      <c r="I22" s="3141">
        <v>73.859609247869756</v>
      </c>
      <c r="J22" s="692">
        <v>1.0545802179155799</v>
      </c>
      <c r="K22" s="4141">
        <v>2.1751000090130695E-3</v>
      </c>
      <c r="L22" s="3156" t="s">
        <v>2146</v>
      </c>
    </row>
    <row r="23" spans="2:12" ht="18" customHeight="1" x14ac:dyDescent="0.25">
      <c r="B23" s="1252" t="s">
        <v>372</v>
      </c>
      <c r="C23" s="2165" t="s">
        <v>2165</v>
      </c>
      <c r="D23" s="2165" t="s">
        <v>2161</v>
      </c>
      <c r="E23" s="691">
        <v>1991.0996084173798</v>
      </c>
      <c r="F23" s="1913">
        <f>I23*1000000/$E23</f>
        <v>184.05116322696884</v>
      </c>
      <c r="G23" s="1913">
        <f>J23*1000000/$E23</f>
        <v>2264.9361748046763</v>
      </c>
      <c r="H23" s="3096"/>
      <c r="I23" s="3147">
        <v>0.36646419902998095</v>
      </c>
      <c r="J23" s="691">
        <v>4.5097135307439489</v>
      </c>
      <c r="K23" s="3046"/>
      <c r="L23" s="3156" t="s">
        <v>2146</v>
      </c>
    </row>
    <row r="24" spans="2:12" ht="18" customHeight="1" x14ac:dyDescent="0.25">
      <c r="B24" s="1252" t="s">
        <v>373</v>
      </c>
      <c r="C24" s="2165" t="s">
        <v>2165</v>
      </c>
      <c r="D24" s="2165" t="s">
        <v>2161</v>
      </c>
      <c r="E24" s="691">
        <v>1991.0996084173798</v>
      </c>
      <c r="F24" s="1913">
        <f t="shared" ref="F24:F26" si="0">I24*1000000/$E24</f>
        <v>683.6037003675267</v>
      </c>
      <c r="G24" s="1913">
        <f t="shared" ref="G24:G26" si="1">J24*1000000/$E24</f>
        <v>4516.7527142091594</v>
      </c>
      <c r="H24" s="1879"/>
      <c r="I24" s="691">
        <v>1.3611230601144542</v>
      </c>
      <c r="J24" s="691">
        <v>8.9933045605799951</v>
      </c>
      <c r="K24" s="1914"/>
      <c r="L24" s="3093" t="str">
        <f>IF(Table1.C!E21="NO","NO",-Table1.C!E21)</f>
        <v>NO</v>
      </c>
    </row>
    <row r="25" spans="2:12" ht="18" customHeight="1" x14ac:dyDescent="0.25">
      <c r="B25" s="1252" t="s">
        <v>374</v>
      </c>
      <c r="C25" s="2165" t="s">
        <v>2276</v>
      </c>
      <c r="D25" s="2165" t="s">
        <v>2171</v>
      </c>
      <c r="E25" s="691">
        <v>10367</v>
      </c>
      <c r="F25" s="1913">
        <f t="shared" si="0"/>
        <v>20.000000000000004</v>
      </c>
      <c r="G25" s="1913">
        <f t="shared" si="1"/>
        <v>414.28571428571428</v>
      </c>
      <c r="H25" s="3096"/>
      <c r="I25" s="3147">
        <v>0.20734000000000002</v>
      </c>
      <c r="J25" s="691">
        <v>4.2949000000000002</v>
      </c>
      <c r="K25" s="3046"/>
      <c r="L25" s="3093" t="s">
        <v>2146</v>
      </c>
    </row>
    <row r="26" spans="2:12" ht="18" customHeight="1" x14ac:dyDescent="0.25">
      <c r="B26" s="1252" t="s">
        <v>375</v>
      </c>
      <c r="C26" s="2165" t="s">
        <v>2166</v>
      </c>
      <c r="D26" s="2165" t="s">
        <v>2161</v>
      </c>
      <c r="E26" s="691">
        <v>294.08414176539702</v>
      </c>
      <c r="F26" s="1913">
        <f t="shared" si="0"/>
        <v>28018.805890694035</v>
      </c>
      <c r="G26" s="1913">
        <f t="shared" si="1"/>
        <v>587099.18472297653</v>
      </c>
      <c r="H26" s="3096"/>
      <c r="I26" s="3147">
        <v>8.2398864836560062</v>
      </c>
      <c r="J26" s="691">
        <v>172.65655987042084</v>
      </c>
      <c r="K26" s="3046"/>
      <c r="L26" s="3093" t="s">
        <v>2146</v>
      </c>
    </row>
    <row r="27" spans="2:12" ht="18" customHeight="1" x14ac:dyDescent="0.25">
      <c r="B27" s="2414" t="s">
        <v>376</v>
      </c>
      <c r="C27" s="621"/>
      <c r="D27" s="621"/>
      <c r="E27" s="628"/>
      <c r="F27" s="628"/>
      <c r="G27" s="628"/>
      <c r="H27" s="3148"/>
      <c r="I27" s="1913">
        <f>IF(SUM(I29:I31)=0,"NO",SUM(I29:I31))</f>
        <v>0.28465047518361264</v>
      </c>
      <c r="J27" s="1913">
        <f>IF(SUM(J29:J31)=0,"NO",SUM(J29:J31))</f>
        <v>9.3037598616997492</v>
      </c>
      <c r="K27" s="3132"/>
      <c r="L27" s="3149" t="str">
        <f>IF(SUM(L29:L31)=0,"NO",SUM(L29:L31))</f>
        <v>NO</v>
      </c>
    </row>
    <row r="28" spans="2:12" ht="18" customHeight="1" x14ac:dyDescent="0.25">
      <c r="B28" s="2383" t="s">
        <v>345</v>
      </c>
      <c r="C28" s="2103"/>
      <c r="D28" s="2285"/>
      <c r="E28" s="3097"/>
      <c r="F28" s="3097"/>
      <c r="G28" s="3097"/>
      <c r="H28" s="3097"/>
      <c r="I28" s="3097"/>
      <c r="J28" s="3097"/>
      <c r="K28" s="3097"/>
      <c r="L28" s="3111"/>
    </row>
    <row r="29" spans="2:12" ht="18" customHeight="1" x14ac:dyDescent="0.25">
      <c r="B29" s="2415" t="s">
        <v>377</v>
      </c>
      <c r="C29" s="2165" t="s">
        <v>2167</v>
      </c>
      <c r="D29" s="2165" t="s">
        <v>2147</v>
      </c>
      <c r="E29" s="691" t="s">
        <v>2147</v>
      </c>
      <c r="F29" s="1913" t="s">
        <v>2147</v>
      </c>
      <c r="G29" s="1913" t="s">
        <v>2147</v>
      </c>
      <c r="H29" s="3148"/>
      <c r="I29" s="3150">
        <v>0.28465047518361264</v>
      </c>
      <c r="J29" s="3150">
        <v>5.8643863346497493</v>
      </c>
      <c r="K29" s="3132"/>
      <c r="L29" s="3102" t="s">
        <v>2146</v>
      </c>
    </row>
    <row r="30" spans="2:12" ht="18" customHeight="1" x14ac:dyDescent="0.25">
      <c r="B30" s="2415" t="s">
        <v>378</v>
      </c>
      <c r="C30" s="2165" t="s">
        <v>2156</v>
      </c>
      <c r="D30" s="2165" t="s">
        <v>2155</v>
      </c>
      <c r="E30" s="691">
        <v>5480</v>
      </c>
      <c r="F30" s="1913" t="s">
        <v>2147</v>
      </c>
      <c r="G30" s="1913">
        <f t="shared" ref="G30" si="2">J30*1000000/$E30</f>
        <v>21.601008585766426</v>
      </c>
      <c r="H30" s="3148"/>
      <c r="I30" s="3150" t="s">
        <v>2147</v>
      </c>
      <c r="J30" s="3150">
        <v>0.11837352705000001</v>
      </c>
      <c r="K30" s="3132"/>
      <c r="L30" s="3102" t="s">
        <v>2146</v>
      </c>
    </row>
    <row r="31" spans="2:12" ht="18" customHeight="1" x14ac:dyDescent="0.25">
      <c r="B31" s="1242" t="s">
        <v>379</v>
      </c>
      <c r="C31" s="621"/>
      <c r="D31" s="621"/>
      <c r="E31" s="628"/>
      <c r="F31" s="628"/>
      <c r="G31" s="628"/>
      <c r="H31" s="3148"/>
      <c r="I31" s="1913" t="s">
        <v>2147</v>
      </c>
      <c r="J31" s="1913">
        <f>IF(SUM(J32:J34)=0,"NO",SUM(J32:J34))</f>
        <v>3.3210000000000002</v>
      </c>
      <c r="K31" s="3132"/>
      <c r="L31" s="3149" t="str">
        <f>IF(SUM(L32:L34)=0,"NO",SUM(L32:L34))</f>
        <v>NO</v>
      </c>
    </row>
    <row r="32" spans="2:12" ht="18" customHeight="1" x14ac:dyDescent="0.25">
      <c r="B32" s="2592" t="s">
        <v>2173</v>
      </c>
      <c r="C32" s="310" t="s">
        <v>2172</v>
      </c>
      <c r="D32" s="310" t="s">
        <v>2172</v>
      </c>
      <c r="E32" s="2190">
        <v>1</v>
      </c>
      <c r="F32" s="3095" t="s">
        <v>2147</v>
      </c>
      <c r="G32" s="3095">
        <f t="shared" ref="G32:G33" si="3">J32*1000000/$E32</f>
        <v>1109000</v>
      </c>
      <c r="H32" s="3148"/>
      <c r="I32" s="3150" t="s">
        <v>2147</v>
      </c>
      <c r="J32" s="3150">
        <v>1.109</v>
      </c>
      <c r="K32" s="3132"/>
      <c r="L32" s="3102" t="s">
        <v>2146</v>
      </c>
    </row>
    <row r="33" spans="2:12" ht="18" customHeight="1" x14ac:dyDescent="0.25">
      <c r="B33" s="2592" t="s">
        <v>2174</v>
      </c>
      <c r="C33" s="277" t="s">
        <v>2172</v>
      </c>
      <c r="D33" s="277" t="s">
        <v>2172</v>
      </c>
      <c r="E33" s="691">
        <v>2</v>
      </c>
      <c r="F33" s="1913" t="s">
        <v>2147</v>
      </c>
      <c r="G33" s="1913">
        <f t="shared" si="3"/>
        <v>921000</v>
      </c>
      <c r="H33" s="3096"/>
      <c r="I33" s="3147" t="s">
        <v>2147</v>
      </c>
      <c r="J33" s="3147">
        <v>1.8420000000000001</v>
      </c>
      <c r="K33" s="3046"/>
      <c r="L33" s="3093" t="s">
        <v>2146</v>
      </c>
    </row>
    <row r="34" spans="2:12" ht="18" customHeight="1" thickBot="1" x14ac:dyDescent="0.3">
      <c r="B34" s="2590" t="s">
        <v>2175</v>
      </c>
      <c r="C34" s="2591" t="s">
        <v>2172</v>
      </c>
      <c r="D34" s="2591" t="s">
        <v>2172</v>
      </c>
      <c r="E34" s="2912">
        <v>1</v>
      </c>
      <c r="F34" s="3157" t="s">
        <v>2147</v>
      </c>
      <c r="G34" s="3157">
        <f t="shared" ref="G34" si="4">J34*1000000/$E34</f>
        <v>370000</v>
      </c>
      <c r="H34" s="3158"/>
      <c r="I34" s="3159" t="s">
        <v>2147</v>
      </c>
      <c r="J34" s="3159">
        <v>0.37</v>
      </c>
      <c r="K34" s="3160"/>
      <c r="L34" s="3161" t="s">
        <v>2146</v>
      </c>
    </row>
    <row r="35" spans="2:12" ht="18" customHeight="1" x14ac:dyDescent="0.25">
      <c r="B35" s="1255" t="s">
        <v>380</v>
      </c>
      <c r="C35" s="2167"/>
      <c r="D35" s="2167"/>
      <c r="E35" s="3216"/>
      <c r="F35" s="3216"/>
      <c r="G35" s="3216"/>
      <c r="H35" s="3216"/>
      <c r="I35" s="3155">
        <f>IF(SUM(I36,I40)=0,"NO",SUM(I36,I40))</f>
        <v>5610.3987358085205</v>
      </c>
      <c r="J35" s="3067">
        <f>IF(SUM(J36,J40)=0,"NO",SUM(J36,J40))</f>
        <v>103.54064201086059</v>
      </c>
      <c r="K35" s="3067">
        <f>IF(SUM(K36,K40)=0,"NO",SUM(K36,K40))</f>
        <v>0.12095509683955875</v>
      </c>
      <c r="L35" s="3068" t="str">
        <f>IF(SUM(L36,L40)=0,"NO",SUM(L36,L40))</f>
        <v>NO</v>
      </c>
    </row>
    <row r="36" spans="2:12" ht="18" customHeight="1" x14ac:dyDescent="0.25">
      <c r="B36" s="1468" t="s">
        <v>381</v>
      </c>
      <c r="C36" s="2170"/>
      <c r="D36" s="2170"/>
      <c r="E36" s="3025"/>
      <c r="F36" s="3025"/>
      <c r="G36" s="3025"/>
      <c r="H36" s="3025"/>
      <c r="I36" s="3162">
        <f>IF(SUM(I37:I39)=0,"NO",SUM(I37:I39))</f>
        <v>1967.0425100769319</v>
      </c>
      <c r="J36" s="1913">
        <f>IF(SUM(J37:J39)=0,"NO",SUM(J37:J39))</f>
        <v>84.569326268445622</v>
      </c>
      <c r="K36" s="3132"/>
      <c r="L36" s="3065" t="str">
        <f>IF(SUM(L37:L39)=0,"NO",SUM(L37:L39))</f>
        <v>NO</v>
      </c>
    </row>
    <row r="37" spans="2:12" ht="18" customHeight="1" x14ac:dyDescent="0.25">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5">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5">
      <c r="B39" s="1470" t="s">
        <v>384</v>
      </c>
      <c r="C39" s="277" t="s">
        <v>2168</v>
      </c>
      <c r="D39" s="277" t="s">
        <v>2161</v>
      </c>
      <c r="E39" s="691">
        <f>SUM(E24,E12)</f>
        <v>3174.8996084173796</v>
      </c>
      <c r="F39" s="1913">
        <f t="shared" ref="F39" si="5">SUM(I39,L39)*1000000/$E39</f>
        <v>619560.53818579204</v>
      </c>
      <c r="G39" s="1913">
        <f t="shared" ref="G39" si="6">J39*1000000/$E39</f>
        <v>26636.850514653484</v>
      </c>
      <c r="H39" s="1913">
        <f t="shared" ref="H39" si="7">K39*1000000/$E39</f>
        <v>0</v>
      </c>
      <c r="I39" s="691">
        <v>1967.0425100769319</v>
      </c>
      <c r="J39" s="691">
        <v>84.569326268445622</v>
      </c>
      <c r="K39" s="3132"/>
      <c r="L39" s="3093" t="s">
        <v>2146</v>
      </c>
    </row>
    <row r="40" spans="2:12" ht="18" customHeight="1" x14ac:dyDescent="0.25">
      <c r="B40" s="1468" t="s">
        <v>385</v>
      </c>
      <c r="C40" s="2170"/>
      <c r="D40" s="2170"/>
      <c r="E40" s="3025"/>
      <c r="F40" s="3025"/>
      <c r="G40" s="3025"/>
      <c r="H40" s="3025"/>
      <c r="I40" s="3162">
        <f>IF(SUM(I41:I43)=0,"NO",SUM(I41:I43))</f>
        <v>3643.3562257315889</v>
      </c>
      <c r="J40" s="3162">
        <f>IF(SUM(J41:J43)=0,"NO",SUM(J41:J43))</f>
        <v>18.971315742414976</v>
      </c>
      <c r="K40" s="1913">
        <f>IF(SUM(K41:K43)=0,"NO",SUM(K41:K43))</f>
        <v>0.12095509683955875</v>
      </c>
      <c r="L40" s="3065" t="str">
        <f>IF(SUM(L41:L43)=0,"NO",SUM(L41:L43))</f>
        <v>NO</v>
      </c>
    </row>
    <row r="41" spans="2:12" ht="18" customHeight="1" x14ac:dyDescent="0.25">
      <c r="B41" s="1470" t="s">
        <v>386</v>
      </c>
      <c r="C41" s="277" t="s">
        <v>2169</v>
      </c>
      <c r="D41" s="277" t="s">
        <v>2170</v>
      </c>
      <c r="E41" s="691">
        <v>419.79225731588679</v>
      </c>
      <c r="F41" s="1913">
        <f t="shared" ref="F41:F42" si="8">SUM(I41,L41)*1000000/$E41</f>
        <v>2900000.0000000005</v>
      </c>
      <c r="G41" s="1913">
        <f t="shared" ref="G41:H42" si="9">J41*1000000/$E41</f>
        <v>35000</v>
      </c>
      <c r="H41" s="1913">
        <f t="shared" si="9"/>
        <v>81.000000000000014</v>
      </c>
      <c r="I41" s="692">
        <v>1217.3975462160718</v>
      </c>
      <c r="J41" s="692">
        <v>14.692729006056039</v>
      </c>
      <c r="K41" s="692">
        <v>3.4003172842586832E-2</v>
      </c>
      <c r="L41" s="3156" t="s">
        <v>2146</v>
      </c>
    </row>
    <row r="42" spans="2:12" ht="18" customHeight="1" x14ac:dyDescent="0.25">
      <c r="B42" s="1470" t="s">
        <v>387</v>
      </c>
      <c r="C42" s="277" t="s">
        <v>2169</v>
      </c>
      <c r="D42" s="277" t="s">
        <v>2170</v>
      </c>
      <c r="E42" s="691">
        <v>52050.672663871301</v>
      </c>
      <c r="F42" s="1913">
        <f t="shared" si="8"/>
        <v>46607.633587786273</v>
      </c>
      <c r="G42" s="1913">
        <f t="shared" si="9"/>
        <v>82.20041197140435</v>
      </c>
      <c r="H42" s="1913">
        <f t="shared" si="9"/>
        <v>1.6705245013543466</v>
      </c>
      <c r="I42" s="691">
        <v>2425.9586795155169</v>
      </c>
      <c r="J42" s="691">
        <v>4.2785867363589363</v>
      </c>
      <c r="K42" s="691">
        <v>8.6951923996971922E-2</v>
      </c>
      <c r="L42" s="3093" t="s">
        <v>2146</v>
      </c>
    </row>
    <row r="43" spans="2:12" ht="18" customHeight="1" thickBot="1" x14ac:dyDescent="0.3">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5">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3">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5">
      <c r="B46" s="8"/>
      <c r="C46" s="8"/>
      <c r="D46" s="8"/>
      <c r="E46" s="8"/>
      <c r="F46" s="8"/>
      <c r="G46" s="8"/>
      <c r="H46" s="8"/>
      <c r="I46" s="8"/>
      <c r="J46" s="8"/>
      <c r="K46" s="8"/>
    </row>
    <row r="47" spans="2:12" ht="12" customHeight="1" x14ac:dyDescent="0.25">
      <c r="B47" s="72"/>
      <c r="C47" s="72"/>
      <c r="D47" s="72"/>
      <c r="E47" s="72"/>
      <c r="F47" s="72"/>
      <c r="G47" s="72"/>
      <c r="H47" s="72"/>
      <c r="I47" s="72"/>
      <c r="J47" s="72"/>
      <c r="K47" s="72"/>
    </row>
    <row r="48" spans="2:12" ht="12" customHeight="1" x14ac:dyDescent="0.25">
      <c r="B48" s="994"/>
      <c r="C48" s="994"/>
      <c r="D48" s="994"/>
    </row>
    <row r="49" spans="2:12" ht="12" customHeight="1" x14ac:dyDescent="0.25">
      <c r="B49" s="994"/>
      <c r="C49" s="994"/>
      <c r="F49" t="s">
        <v>389</v>
      </c>
    </row>
    <row r="50" spans="2:12" s="84" customFormat="1" ht="12" customHeight="1" x14ac:dyDescent="0.25">
      <c r="B50" s="173"/>
      <c r="C50" s="173"/>
      <c r="L50"/>
    </row>
    <row r="51" spans="2:12" ht="12" customHeight="1" x14ac:dyDescent="0.25">
      <c r="B51" s="994"/>
      <c r="C51" s="994"/>
      <c r="D51" s="994"/>
      <c r="E51" s="994"/>
    </row>
    <row r="52" spans="2:12" ht="12" customHeight="1" x14ac:dyDescent="0.25">
      <c r="B52" s="994"/>
      <c r="C52" s="994"/>
      <c r="D52" s="994"/>
      <c r="E52" s="994"/>
      <c r="F52" s="994"/>
      <c r="G52" s="994"/>
      <c r="H52" s="994"/>
      <c r="I52" s="994"/>
    </row>
    <row r="53" spans="2:12" ht="12" customHeight="1" x14ac:dyDescent="0.25">
      <c r="B53" s="994"/>
      <c r="C53" s="994"/>
      <c r="D53" s="994"/>
      <c r="E53" s="994"/>
    </row>
    <row r="54" spans="2:12" ht="12" customHeight="1" x14ac:dyDescent="0.25">
      <c r="B54" s="994"/>
      <c r="C54" s="994"/>
      <c r="D54" s="994"/>
      <c r="E54" s="994"/>
    </row>
    <row r="55" spans="2:12" ht="12" customHeight="1" x14ac:dyDescent="0.25">
      <c r="B55" s="994"/>
      <c r="C55" s="994"/>
      <c r="D55" s="994"/>
      <c r="E55" s="994"/>
    </row>
    <row r="56" spans="2:12" ht="12" customHeight="1" x14ac:dyDescent="0.25">
      <c r="B56" s="994"/>
      <c r="C56" s="994"/>
      <c r="D56" s="994"/>
      <c r="E56" s="994"/>
    </row>
    <row r="57" spans="2:12" ht="12" customHeight="1" x14ac:dyDescent="0.25">
      <c r="B57" s="994"/>
      <c r="C57" s="994"/>
      <c r="D57" s="994"/>
      <c r="L57" s="2172"/>
    </row>
    <row r="58" spans="2:12" ht="12" customHeight="1" x14ac:dyDescent="0.25">
      <c r="B58" s="994"/>
      <c r="C58" s="994"/>
      <c r="D58" s="994"/>
      <c r="L58" s="2172"/>
    </row>
    <row r="59" spans="2:12" ht="12" customHeight="1" x14ac:dyDescent="0.25">
      <c r="B59" s="994"/>
      <c r="C59" s="994"/>
      <c r="D59" s="994"/>
      <c r="L59" s="2172"/>
    </row>
    <row r="60" spans="2:12" ht="12" customHeight="1" x14ac:dyDescent="0.25">
      <c r="B60" s="994"/>
      <c r="C60" s="994"/>
      <c r="D60" s="994"/>
      <c r="L60" s="2172"/>
    </row>
    <row r="61" spans="2:12" ht="12" customHeight="1" thickBot="1" x14ac:dyDescent="0.3">
      <c r="B61" s="994"/>
      <c r="C61" s="994"/>
      <c r="D61" s="994"/>
      <c r="L61" s="2172"/>
    </row>
    <row r="62" spans="2:12" ht="12" customHeight="1" x14ac:dyDescent="0.25">
      <c r="B62" s="223" t="s">
        <v>390</v>
      </c>
      <c r="C62" s="224"/>
      <c r="D62" s="224"/>
      <c r="E62" s="224"/>
      <c r="F62" s="224"/>
      <c r="G62" s="224"/>
      <c r="H62" s="224"/>
      <c r="I62" s="224"/>
      <c r="J62" s="224"/>
      <c r="K62" s="224"/>
      <c r="L62" s="225"/>
    </row>
    <row r="63" spans="2:12" ht="12" customHeight="1" x14ac:dyDescent="0.25">
      <c r="B63" s="1460"/>
      <c r="C63" s="1461"/>
      <c r="D63" s="1461"/>
      <c r="E63" s="1461"/>
      <c r="F63" s="1461"/>
      <c r="G63" s="1461"/>
      <c r="H63" s="1461"/>
      <c r="I63" s="1461"/>
      <c r="J63" s="1461"/>
      <c r="K63" s="1461"/>
      <c r="L63" s="1462"/>
    </row>
    <row r="64" spans="2:12" ht="12" customHeight="1" x14ac:dyDescent="0.25">
      <c r="B64" s="2173"/>
      <c r="C64" s="2174"/>
      <c r="D64" s="2174"/>
      <c r="E64" s="2174"/>
      <c r="F64" s="2174"/>
      <c r="G64" s="2174"/>
      <c r="H64" s="2174"/>
      <c r="I64" s="2174"/>
      <c r="J64" s="2174"/>
      <c r="K64" s="2174"/>
      <c r="L64" s="2175"/>
    </row>
    <row r="65" spans="2:12" ht="12" customHeight="1" x14ac:dyDescent="0.25">
      <c r="B65" s="2173"/>
      <c r="C65" s="2174"/>
      <c r="D65" s="2174"/>
      <c r="E65" s="2174"/>
      <c r="F65" s="2174"/>
      <c r="G65" s="2174"/>
      <c r="H65" s="2174"/>
      <c r="I65" s="2174"/>
      <c r="J65" s="2174"/>
      <c r="K65" s="2174"/>
      <c r="L65" s="2175"/>
    </row>
    <row r="66" spans="2:12" ht="12" customHeight="1" x14ac:dyDescent="0.25">
      <c r="B66" s="2173"/>
      <c r="C66" s="2174"/>
      <c r="D66" s="2174"/>
      <c r="E66" s="2174"/>
      <c r="F66" s="2174"/>
      <c r="G66" s="2174"/>
      <c r="H66" s="2174"/>
      <c r="I66" s="2174"/>
      <c r="J66" s="2174"/>
      <c r="K66" s="2174"/>
      <c r="L66" s="2175"/>
    </row>
    <row r="67" spans="2:12" ht="12" customHeight="1" x14ac:dyDescent="0.25">
      <c r="B67" s="2173"/>
      <c r="C67" s="2174"/>
      <c r="D67" s="2174"/>
      <c r="E67" s="2174"/>
      <c r="F67" s="2174"/>
      <c r="G67" s="2174"/>
      <c r="H67" s="2174"/>
      <c r="I67" s="2174"/>
      <c r="J67" s="2174"/>
      <c r="K67" s="2174"/>
      <c r="L67" s="2175"/>
    </row>
    <row r="68" spans="2:12" ht="12" customHeight="1" x14ac:dyDescent="0.25">
      <c r="B68" s="2173"/>
      <c r="C68" s="2174"/>
      <c r="D68" s="2174"/>
      <c r="E68" s="2174"/>
      <c r="F68" s="2174"/>
      <c r="G68" s="2174"/>
      <c r="H68" s="2174"/>
      <c r="I68" s="2174"/>
      <c r="J68" s="2174"/>
      <c r="K68" s="2174"/>
      <c r="L68" s="2175"/>
    </row>
    <row r="69" spans="2:12" ht="12" customHeight="1" thickBot="1" x14ac:dyDescent="0.3">
      <c r="B69" s="2176"/>
      <c r="C69" s="2177"/>
      <c r="D69" s="2177"/>
      <c r="E69" s="2177"/>
      <c r="F69" s="2177"/>
      <c r="G69" s="2177"/>
      <c r="H69" s="2177"/>
      <c r="I69" s="2177"/>
      <c r="J69" s="2177"/>
      <c r="K69" s="2177"/>
      <c r="L69" s="2178"/>
    </row>
    <row r="70" spans="2:12" ht="50.25" customHeight="1" thickBot="1" x14ac:dyDescent="0.3">
      <c r="B70" s="4449" t="s">
        <v>2176</v>
      </c>
      <c r="C70" s="4450"/>
      <c r="D70" s="4450"/>
      <c r="E70" s="4450"/>
      <c r="F70" s="4450"/>
      <c r="G70" s="4450"/>
      <c r="H70" s="4450"/>
      <c r="I70" s="4450"/>
      <c r="J70" s="4450"/>
      <c r="K70" s="4450"/>
      <c r="L70" s="4451"/>
    </row>
    <row r="71" spans="2:12" ht="12" customHeight="1" x14ac:dyDescent="0.25">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4140625" defaultRowHeight="13.2" x14ac:dyDescent="0.25"/>
  <cols>
    <col min="1" max="1" width="1.88671875" style="110" customWidth="1"/>
    <col min="2" max="2" width="40.5546875" style="110" customWidth="1"/>
    <col min="3" max="3" width="31.5546875" style="110" bestFit="1" customWidth="1"/>
    <col min="4" max="16384" width="27.44140625" style="110"/>
  </cols>
  <sheetData>
    <row r="1" spans="1:10" ht="15.6" x14ac:dyDescent="0.3">
      <c r="B1" s="209" t="s">
        <v>391</v>
      </c>
      <c r="C1" s="209"/>
      <c r="E1" s="14" t="s">
        <v>2521</v>
      </c>
    </row>
    <row r="2" spans="1:10" ht="18" x14ac:dyDescent="0.4">
      <c r="B2" s="115" t="s">
        <v>392</v>
      </c>
      <c r="E2" s="14" t="s">
        <v>2522</v>
      </c>
    </row>
    <row r="3" spans="1:10" ht="15.6" x14ac:dyDescent="0.3">
      <c r="B3" s="115" t="s">
        <v>62</v>
      </c>
      <c r="E3" s="14" t="s">
        <v>2144</v>
      </c>
    </row>
    <row r="4" spans="1:10" ht="12" customHeight="1" x14ac:dyDescent="0.3">
      <c r="B4" s="115"/>
      <c r="E4" s="2"/>
    </row>
    <row r="5" spans="1:10" ht="12" customHeight="1" x14ac:dyDescent="0.3">
      <c r="B5" s="115"/>
      <c r="E5" s="2"/>
    </row>
    <row r="6" spans="1:10" ht="13.8" thickBot="1" x14ac:dyDescent="0.3">
      <c r="B6" s="2446" t="s">
        <v>64</v>
      </c>
    </row>
    <row r="7" spans="1:10" x14ac:dyDescent="0.25">
      <c r="B7" s="223" t="s">
        <v>326</v>
      </c>
      <c r="C7" s="2155" t="s">
        <v>327</v>
      </c>
      <c r="D7" s="2156" t="s">
        <v>356</v>
      </c>
      <c r="E7" s="2157" t="s">
        <v>124</v>
      </c>
    </row>
    <row r="8" spans="1:10" ht="14.4" x14ac:dyDescent="0.25">
      <c r="B8" s="1318" t="s">
        <v>328</v>
      </c>
      <c r="C8" s="1827" t="s">
        <v>393</v>
      </c>
      <c r="D8" s="1856" t="s">
        <v>66</v>
      </c>
      <c r="E8" s="2158" t="s">
        <v>360</v>
      </c>
    </row>
    <row r="9" spans="1:10" ht="12" customHeight="1" thickBot="1" x14ac:dyDescent="0.3">
      <c r="A9"/>
      <c r="B9" s="2094"/>
      <c r="C9" s="268" t="s">
        <v>73</v>
      </c>
      <c r="D9" s="1747" t="s">
        <v>394</v>
      </c>
      <c r="E9" s="2159" t="s">
        <v>73</v>
      </c>
    </row>
    <row r="10" spans="1:10" ht="18" customHeight="1" thickTop="1" x14ac:dyDescent="0.25">
      <c r="B10" s="1256" t="s">
        <v>395</v>
      </c>
      <c r="C10" s="3025"/>
      <c r="D10" s="3025"/>
      <c r="E10" s="420" t="s">
        <v>2146</v>
      </c>
    </row>
    <row r="11" spans="1:10" ht="18" customHeight="1" x14ac:dyDescent="0.25">
      <c r="B11" s="1239" t="s">
        <v>396</v>
      </c>
      <c r="C11" s="3045" t="str">
        <f>IF(E21=0,"NO",E21)</f>
        <v>NO</v>
      </c>
      <c r="D11" s="1913" t="s">
        <v>2147</v>
      </c>
      <c r="E11" s="3061" t="s">
        <v>2146</v>
      </c>
    </row>
    <row r="12" spans="1:10" ht="18" customHeight="1" x14ac:dyDescent="0.25">
      <c r="B12" s="1239" t="s">
        <v>397</v>
      </c>
      <c r="C12" s="3045" t="s">
        <v>2146</v>
      </c>
      <c r="D12" s="1913" t="s">
        <v>2147</v>
      </c>
      <c r="E12" s="3061" t="s">
        <v>2146</v>
      </c>
    </row>
    <row r="13" spans="1:10" ht="18" customHeight="1" x14ac:dyDescent="0.25">
      <c r="B13" s="1239" t="s">
        <v>398</v>
      </c>
      <c r="C13" s="1913" t="str">
        <f>C14</f>
        <v>NA</v>
      </c>
      <c r="D13" s="1913" t="str">
        <f>D14</f>
        <v>NA</v>
      </c>
      <c r="E13" s="3085" t="str">
        <f>E14</f>
        <v>NA</v>
      </c>
    </row>
    <row r="14" spans="1:10" ht="18" customHeight="1" x14ac:dyDescent="0.25">
      <c r="B14" s="2238" t="s">
        <v>2147</v>
      </c>
      <c r="C14" s="3045" t="s">
        <v>2147</v>
      </c>
      <c r="D14" s="1913" t="s">
        <v>2147</v>
      </c>
      <c r="E14" s="3061" t="s">
        <v>2147</v>
      </c>
    </row>
    <row r="15" spans="1:10" ht="18" customHeight="1" x14ac:dyDescent="0.25">
      <c r="B15" s="1257" t="s">
        <v>399</v>
      </c>
      <c r="C15" s="1914"/>
      <c r="D15" s="1914"/>
      <c r="E15" s="3085" t="str">
        <f>E16</f>
        <v>NO</v>
      </c>
      <c r="J15" s="125"/>
    </row>
    <row r="16" spans="1:10" ht="18" customHeight="1" x14ac:dyDescent="0.25">
      <c r="B16" s="1239" t="s">
        <v>400</v>
      </c>
      <c r="C16" s="3045" t="str">
        <f>IF(E21=0,"NO",E21)</f>
        <v>NO</v>
      </c>
      <c r="D16" s="1913" t="str">
        <f>IFERROR(IF(E16=0,"NA",E16*1000000/C16),"NA")</f>
        <v>NA</v>
      </c>
      <c r="E16" s="3061" t="s">
        <v>2146</v>
      </c>
    </row>
    <row r="17" spans="2:5" ht="18" customHeight="1" x14ac:dyDescent="0.25">
      <c r="B17" s="1239" t="s">
        <v>401</v>
      </c>
      <c r="C17" s="3166" t="str">
        <f>IF(SUM(E21)=0,"NO",E21-E16)</f>
        <v>NO</v>
      </c>
      <c r="D17" s="1913" t="s">
        <v>2147</v>
      </c>
      <c r="E17" s="3165" t="s">
        <v>2146</v>
      </c>
    </row>
    <row r="18" spans="2:5" ht="18" customHeight="1" x14ac:dyDescent="0.25">
      <c r="B18" s="2298" t="s">
        <v>402</v>
      </c>
      <c r="C18" s="1913" t="str">
        <f>C19</f>
        <v>NA</v>
      </c>
      <c r="D18" s="1913" t="str">
        <f>D19</f>
        <v>NA</v>
      </c>
      <c r="E18" s="3085" t="str">
        <f>E19</f>
        <v>NA</v>
      </c>
    </row>
    <row r="19" spans="2:5" ht="18" customHeight="1" thickBot="1" x14ac:dyDescent="0.3">
      <c r="B19" s="2593" t="s">
        <v>2147</v>
      </c>
      <c r="C19" s="3167" t="s">
        <v>2147</v>
      </c>
      <c r="D19" s="3168" t="s">
        <v>2147</v>
      </c>
      <c r="E19" s="3169" t="s">
        <v>2147</v>
      </c>
    </row>
    <row r="20" spans="2:5" ht="18" customHeight="1" thickBot="1" x14ac:dyDescent="0.3">
      <c r="B20" s="2381" t="s">
        <v>403</v>
      </c>
      <c r="C20" s="3170"/>
      <c r="D20" s="3170"/>
      <c r="E20" s="3171"/>
    </row>
    <row r="21" spans="2:5" ht="18" customHeight="1" x14ac:dyDescent="0.25">
      <c r="B21" s="2382" t="s">
        <v>404</v>
      </c>
      <c r="C21" s="3172"/>
      <c r="D21" s="3172"/>
      <c r="E21" s="3061" t="s">
        <v>2146</v>
      </c>
    </row>
    <row r="22" spans="2:5" ht="18" customHeight="1" x14ac:dyDescent="0.25">
      <c r="B22" s="1257" t="s">
        <v>405</v>
      </c>
      <c r="C22" s="3173"/>
      <c r="D22" s="3173"/>
      <c r="E22" s="3061" t="s">
        <v>2146</v>
      </c>
    </row>
    <row r="23" spans="2:5" ht="18" customHeight="1" x14ac:dyDescent="0.25">
      <c r="B23" s="2160"/>
      <c r="C23" s="3174"/>
      <c r="D23" s="3175" t="s">
        <v>406</v>
      </c>
      <c r="E23" s="3085" t="str">
        <f>IF(SUM(E21:E22)=0,"NO",SUM(E21:E22))</f>
        <v>NO</v>
      </c>
    </row>
    <row r="24" spans="2:5" ht="18" customHeight="1" x14ac:dyDescent="0.25">
      <c r="B24" s="1257" t="s">
        <v>407</v>
      </c>
      <c r="C24" s="3173"/>
      <c r="D24" s="3173"/>
      <c r="E24" s="3061" t="s">
        <v>2146</v>
      </c>
    </row>
    <row r="25" spans="2:5" ht="18" customHeight="1" x14ac:dyDescent="0.25">
      <c r="B25" s="1257" t="s">
        <v>408</v>
      </c>
      <c r="C25" s="3173"/>
      <c r="D25" s="3173"/>
      <c r="E25" s="3061" t="str">
        <f>C17</f>
        <v>NO</v>
      </c>
    </row>
    <row r="26" spans="2:5" ht="18" customHeight="1" x14ac:dyDescent="0.25">
      <c r="B26" s="1257" t="s">
        <v>409</v>
      </c>
      <c r="C26" s="3173"/>
      <c r="D26" s="3173"/>
      <c r="E26" s="3061" t="s">
        <v>2146</v>
      </c>
    </row>
    <row r="27" spans="2:5" ht="18" customHeight="1" x14ac:dyDescent="0.25">
      <c r="B27" s="1051" t="s">
        <v>410</v>
      </c>
      <c r="C27" s="3173"/>
      <c r="D27" s="3173"/>
      <c r="E27" s="3061" t="str">
        <f>E16</f>
        <v>NO</v>
      </c>
    </row>
    <row r="28" spans="2:5" ht="18" customHeight="1" x14ac:dyDescent="0.25">
      <c r="B28" s="2161"/>
      <c r="C28" s="3176"/>
      <c r="D28" s="3177" t="s">
        <v>411</v>
      </c>
      <c r="E28" s="3085" t="str">
        <f>IF(SUM(E24:E27)=0,"NO",SUM(E24:E27))</f>
        <v>NO</v>
      </c>
    </row>
    <row r="29" spans="2:5" ht="18" customHeight="1" thickBot="1" x14ac:dyDescent="0.3">
      <c r="B29" s="2162"/>
      <c r="C29" s="3178"/>
      <c r="D29" s="3179" t="s">
        <v>412</v>
      </c>
      <c r="E29" s="1173" t="str">
        <f>IF(E23="NO","NA",E23-E28)</f>
        <v>NA</v>
      </c>
    </row>
    <row r="30" spans="2:5" ht="12" customHeight="1" x14ac:dyDescent="0.25"/>
    <row r="31" spans="2:5" ht="12" customHeight="1" x14ac:dyDescent="0.25">
      <c r="B31" s="989"/>
      <c r="C31" s="989"/>
      <c r="D31" s="1034"/>
      <c r="E31" s="1034"/>
    </row>
    <row r="32" spans="2:5" ht="12" customHeight="1" x14ac:dyDescent="0.25">
      <c r="B32" s="989"/>
      <c r="C32" s="989"/>
      <c r="D32" s="1034"/>
      <c r="E32" s="1034"/>
    </row>
    <row r="33" spans="2:14" ht="12" customHeight="1" x14ac:dyDescent="0.25">
      <c r="B33" s="1026"/>
      <c r="C33" s="1035"/>
      <c r="D33" s="1035"/>
      <c r="E33" s="1035"/>
      <c r="N33" s="110" t="s">
        <v>413</v>
      </c>
    </row>
    <row r="34" spans="2:14" ht="12" customHeight="1" x14ac:dyDescent="0.25">
      <c r="B34" s="989"/>
      <c r="C34" s="989"/>
      <c r="D34" s="989"/>
      <c r="E34" s="989"/>
    </row>
    <row r="35" spans="2:14" ht="12" customHeight="1" x14ac:dyDescent="0.25">
      <c r="B35" s="989"/>
      <c r="C35" s="989"/>
      <c r="D35" s="989"/>
      <c r="E35" s="989"/>
    </row>
    <row r="36" spans="2:14" ht="12" customHeight="1" x14ac:dyDescent="0.25">
      <c r="B36" s="989"/>
      <c r="C36" s="989"/>
      <c r="D36" s="989"/>
      <c r="E36" s="989"/>
    </row>
    <row r="37" spans="2:14" ht="12" customHeight="1" x14ac:dyDescent="0.25">
      <c r="B37" s="989"/>
      <c r="C37" s="989"/>
      <c r="D37" s="989"/>
      <c r="E37" s="989"/>
    </row>
    <row r="38" spans="2:14" ht="12" customHeight="1" x14ac:dyDescent="0.25">
      <c r="B38" s="989"/>
      <c r="C38" s="989"/>
      <c r="D38" s="989"/>
      <c r="E38" s="989"/>
    </row>
    <row r="39" spans="2:14" ht="12" customHeight="1" x14ac:dyDescent="0.25"/>
    <row r="40" spans="2:14" ht="12" customHeight="1" x14ac:dyDescent="0.25"/>
    <row r="41" spans="2:14" ht="12" customHeight="1" x14ac:dyDescent="0.25"/>
    <row r="42" spans="2:14" ht="12" customHeight="1" x14ac:dyDescent="0.25"/>
    <row r="43" spans="2:14" ht="12" customHeight="1" x14ac:dyDescent="0.25"/>
    <row r="44" spans="2:14" ht="12" customHeight="1" x14ac:dyDescent="0.25"/>
    <row r="45" spans="2:14" ht="12" customHeight="1" x14ac:dyDescent="0.25"/>
    <row r="46" spans="2:14" ht="12" customHeight="1" x14ac:dyDescent="0.25"/>
    <row r="47" spans="2:14" ht="12" customHeight="1" thickBot="1" x14ac:dyDescent="0.3"/>
    <row r="48" spans="2:14" ht="12" customHeight="1" x14ac:dyDescent="0.25">
      <c r="B48" s="223" t="s">
        <v>390</v>
      </c>
      <c r="C48" s="224"/>
      <c r="D48" s="224"/>
      <c r="E48" s="225"/>
    </row>
    <row r="49" spans="2:5" ht="12" customHeight="1" x14ac:dyDescent="0.25">
      <c r="B49" s="1318"/>
      <c r="C49" s="1319"/>
      <c r="D49" s="1319"/>
      <c r="E49" s="1320"/>
    </row>
    <row r="50" spans="2:5" ht="12" customHeight="1" x14ac:dyDescent="0.25">
      <c r="B50" s="1318"/>
      <c r="C50" s="1319"/>
      <c r="D50" s="1319"/>
      <c r="E50" s="1320"/>
    </row>
    <row r="51" spans="2:5" ht="12" customHeight="1" x14ac:dyDescent="0.25">
      <c r="B51" s="1318"/>
      <c r="C51" s="1319"/>
      <c r="D51" s="1319"/>
      <c r="E51" s="1320"/>
    </row>
    <row r="52" spans="2:5" ht="12" customHeight="1" x14ac:dyDescent="0.25">
      <c r="B52" s="1054"/>
      <c r="C52" s="1055"/>
      <c r="D52" s="1055"/>
      <c r="E52" s="1056"/>
    </row>
    <row r="53" spans="2:5" ht="12" customHeight="1" thickBot="1" x14ac:dyDescent="0.3">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09375" defaultRowHeight="12" customHeight="1" x14ac:dyDescent="0.25"/>
  <cols>
    <col min="1" max="1" width="1.88671875" style="110" customWidth="1"/>
    <col min="2" max="2" width="41.5546875" style="110" customWidth="1"/>
    <col min="3" max="3" width="18.109375" style="110" customWidth="1"/>
    <col min="4" max="4" width="12.88671875" style="110" customWidth="1"/>
    <col min="5" max="5" width="13.5546875" style="110" customWidth="1"/>
    <col min="6" max="6" width="11.88671875" style="110" customWidth="1"/>
    <col min="7" max="7" width="12.5546875" style="110" customWidth="1"/>
    <col min="8" max="8" width="11.44140625" style="110" customWidth="1"/>
    <col min="9" max="9" width="10.88671875" style="110" customWidth="1"/>
    <col min="10" max="10" width="3.109375" style="110" customWidth="1"/>
    <col min="11" max="11" width="13.88671875" style="110" customWidth="1"/>
    <col min="12" max="12" width="13.109375" style="110" customWidth="1"/>
    <col min="13" max="13" width="18" style="110" customWidth="1"/>
    <col min="14" max="14" width="10.88671875" style="110" customWidth="1"/>
    <col min="15" max="16384" width="9.109375" style="110"/>
  </cols>
  <sheetData>
    <row r="1" spans="1:13" ht="15.75" customHeight="1" x14ac:dyDescent="0.3">
      <c r="B1" s="209" t="s">
        <v>415</v>
      </c>
      <c r="C1" s="209"/>
      <c r="D1" s="209"/>
      <c r="I1" s="2"/>
      <c r="M1" s="14" t="s">
        <v>2521</v>
      </c>
    </row>
    <row r="2" spans="1:13" ht="15.75" customHeight="1" x14ac:dyDescent="0.3">
      <c r="B2" s="211" t="s">
        <v>416</v>
      </c>
      <c r="C2" s="211"/>
      <c r="D2" s="211"/>
      <c r="E2" s="211"/>
      <c r="F2" s="211"/>
      <c r="G2" s="211"/>
      <c r="I2" s="2"/>
      <c r="M2" s="14" t="s">
        <v>2522</v>
      </c>
    </row>
    <row r="3" spans="1:13" ht="15.75" customHeight="1" x14ac:dyDescent="0.3">
      <c r="B3" s="115" t="s">
        <v>62</v>
      </c>
      <c r="I3" s="2"/>
      <c r="L3" s="2"/>
      <c r="M3" s="14" t="s">
        <v>2144</v>
      </c>
    </row>
    <row r="4" spans="1:13" ht="12" customHeight="1" x14ac:dyDescent="0.3">
      <c r="B4" s="115"/>
      <c r="I4" s="2"/>
      <c r="L4" s="2"/>
      <c r="M4" s="2"/>
    </row>
    <row r="5" spans="1:13" ht="12" customHeight="1" x14ac:dyDescent="0.3">
      <c r="B5" s="115"/>
      <c r="I5" s="2"/>
      <c r="L5" s="2"/>
      <c r="M5" s="2"/>
    </row>
    <row r="6" spans="1:13" ht="12.75" customHeight="1" thickBot="1" x14ac:dyDescent="0.3">
      <c r="B6" s="2446" t="s">
        <v>64</v>
      </c>
      <c r="K6" s="10" t="s">
        <v>417</v>
      </c>
    </row>
    <row r="7" spans="1:13" ht="14.25" customHeight="1" x14ac:dyDescent="0.25">
      <c r="B7" s="124" t="s">
        <v>418</v>
      </c>
      <c r="C7" s="53" t="s">
        <v>419</v>
      </c>
      <c r="D7" s="201" t="s">
        <v>123</v>
      </c>
      <c r="E7" s="202"/>
      <c r="F7" s="180"/>
      <c r="G7" s="201" t="s">
        <v>124</v>
      </c>
      <c r="H7" s="202"/>
      <c r="I7" s="181"/>
      <c r="J7" s="4"/>
      <c r="K7" s="58" t="s">
        <v>420</v>
      </c>
      <c r="L7" s="201" t="s">
        <v>421</v>
      </c>
      <c r="M7" s="181"/>
    </row>
    <row r="8" spans="1:13" ht="13.5" customHeight="1" x14ac:dyDescent="0.25">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3">
      <c r="A9"/>
      <c r="B9" s="66"/>
      <c r="C9" s="67" t="s">
        <v>127</v>
      </c>
      <c r="D9" s="12" t="s">
        <v>129</v>
      </c>
      <c r="E9" s="204" t="s">
        <v>130</v>
      </c>
      <c r="F9" s="205"/>
      <c r="G9" s="1036" t="s">
        <v>73</v>
      </c>
      <c r="H9" s="1037"/>
      <c r="I9" s="1038"/>
      <c r="J9" s="4"/>
      <c r="K9" s="50" t="s">
        <v>429</v>
      </c>
      <c r="L9" s="3314">
        <f>100-M9</f>
        <v>37.463863721570242</v>
      </c>
      <c r="M9" s="3358">
        <f>100*C10/SUM(C10,'Table1.A(a)s3'!C16)</f>
        <v>62.536136278429758</v>
      </c>
    </row>
    <row r="10" spans="1:13" ht="18" customHeight="1" thickTop="1" thickBot="1" x14ac:dyDescent="0.3">
      <c r="B10" s="223" t="s">
        <v>430</v>
      </c>
      <c r="C10" s="3338">
        <f>IF(SUM(C11:C13)=0,"NO",SUM(C11:C13))</f>
        <v>62970</v>
      </c>
      <c r="D10" s="3339"/>
      <c r="E10" s="3340"/>
      <c r="F10" s="3340"/>
      <c r="G10" s="3338">
        <f>IF(SUM(G11:G13)=0,"NO",SUM(G11:G13))</f>
        <v>4382.7120000000004</v>
      </c>
      <c r="H10" s="3338">
        <f>IF(SUM(H11:H13)=0,"NO",SUM(H11:H13))</f>
        <v>7.8174483333333343E-3</v>
      </c>
      <c r="I10" s="1154">
        <f>IF(SUM(I11:I13)=0,"NO",SUM(I11:I13))</f>
        <v>2.2973873321929825E-2</v>
      </c>
      <c r="J10" s="4"/>
      <c r="K10" s="68" t="s">
        <v>431</v>
      </c>
      <c r="L10" s="3359">
        <f>100-M10</f>
        <v>54.722773091617029</v>
      </c>
      <c r="M10" s="3360">
        <f>100*C14/SUM(C14,'Table1.A(a)s3'!C88)</f>
        <v>45.277226908382971</v>
      </c>
    </row>
    <row r="11" spans="1:13" ht="18" customHeight="1" x14ac:dyDescent="0.25">
      <c r="B11" s="1258" t="s">
        <v>178</v>
      </c>
      <c r="C11" s="3341">
        <v>62970</v>
      </c>
      <c r="D11" s="116">
        <f>IF(G11="NO","NA",G11*1000/$C11)</f>
        <v>69.599999999999994</v>
      </c>
      <c r="E11" s="116">
        <f t="shared" ref="E11:F13" si="0">IF(H11="NO","NA",H11*1000000/$C11)</f>
        <v>0.12414559843311632</v>
      </c>
      <c r="F11" s="116">
        <f t="shared" si="0"/>
        <v>0.36483838846958594</v>
      </c>
      <c r="G11" s="3062">
        <v>4382.7120000000004</v>
      </c>
      <c r="H11" s="3062">
        <v>7.8174483333333343E-3</v>
      </c>
      <c r="I11" s="3063">
        <v>2.2973873321929825E-2</v>
      </c>
      <c r="J11" s="4"/>
      <c r="K11" s="4"/>
      <c r="L11" s="4"/>
      <c r="M11" s="4"/>
    </row>
    <row r="12" spans="1:13" ht="18" customHeight="1" x14ac:dyDescent="0.25">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3">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5">
      <c r="B14" s="223" t="s">
        <v>432</v>
      </c>
      <c r="C14" s="3347">
        <f>IF(SUM(C15:C18,C20:C22)=0,"NO",SUM(C15:C18,C20:C22))</f>
        <v>28510</v>
      </c>
      <c r="D14" s="3348"/>
      <c r="E14" s="3349"/>
      <c r="F14" s="3350"/>
      <c r="G14" s="3347">
        <f>IF(SUM(G15:G18,G20:G22)=0,"NO",SUM(G15:G18,G20:G22))</f>
        <v>2077.69</v>
      </c>
      <c r="H14" s="3347">
        <f>IF(SUM(H15:H18,H20:H22)=0,"NO",SUM(H15:H18,H20:H22))</f>
        <v>0.19957000000000003</v>
      </c>
      <c r="I14" s="1155">
        <f>IF(SUM(I15:I18,I20:I22)=0,"NO",SUM(I15:I18,I20:I22))</f>
        <v>5.7020000000000001E-2</v>
      </c>
      <c r="J14" s="4"/>
      <c r="K14" s="1047"/>
      <c r="L14" s="1047"/>
      <c r="M14" s="1047"/>
    </row>
    <row r="15" spans="1:13" ht="18" customHeight="1" x14ac:dyDescent="0.25">
      <c r="B15" s="1260" t="s">
        <v>190</v>
      </c>
      <c r="C15" s="143">
        <v>22930</v>
      </c>
      <c r="D15" s="116">
        <f>IF(G15="NO","NA",G15*1000/$C15)</f>
        <v>73.600000000000009</v>
      </c>
      <c r="E15" s="116">
        <f t="shared" ref="E15:F17" si="1">IF(H15="NO","NA",H15*1000000/$C15)</f>
        <v>7</v>
      </c>
      <c r="F15" s="116">
        <f t="shared" si="1"/>
        <v>2</v>
      </c>
      <c r="G15" s="3064">
        <v>1687.6480000000001</v>
      </c>
      <c r="H15" s="3064">
        <v>0.16051000000000001</v>
      </c>
      <c r="I15" s="135">
        <v>4.5859999999999998E-2</v>
      </c>
      <c r="J15" s="4"/>
      <c r="K15" s="1047"/>
      <c r="L15" s="1047"/>
      <c r="M15" s="1047"/>
    </row>
    <row r="16" spans="1:13" ht="18" customHeight="1" x14ac:dyDescent="0.25">
      <c r="B16" s="1260" t="s">
        <v>191</v>
      </c>
      <c r="C16" s="3351">
        <v>5580</v>
      </c>
      <c r="D16" s="116">
        <f>IF(G16="NO","NA",G16*1000/$C16)</f>
        <v>69.900000000000006</v>
      </c>
      <c r="E16" s="116">
        <f t="shared" si="1"/>
        <v>7</v>
      </c>
      <c r="F16" s="116">
        <f t="shared" si="1"/>
        <v>2</v>
      </c>
      <c r="G16" s="3064">
        <v>390.04199999999997</v>
      </c>
      <c r="H16" s="3064">
        <v>3.9059999999999997E-2</v>
      </c>
      <c r="I16" s="135">
        <v>1.116E-2</v>
      </c>
      <c r="J16" s="4"/>
      <c r="K16" s="1047"/>
      <c r="L16" s="1047"/>
      <c r="M16" s="1047"/>
    </row>
    <row r="17" spans="2:13" ht="18" customHeight="1" x14ac:dyDescent="0.25">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5">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5">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5">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5">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5">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3">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3">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5">
      <c r="B25" s="23"/>
      <c r="C25" s="136"/>
      <c r="D25" s="136"/>
      <c r="E25" s="136"/>
      <c r="F25" s="136"/>
      <c r="G25" s="136"/>
      <c r="H25" s="136"/>
      <c r="I25" s="136"/>
      <c r="J25" s="4"/>
      <c r="K25" s="27"/>
      <c r="L25" s="27"/>
      <c r="M25" s="27"/>
    </row>
    <row r="26" spans="2:13" ht="14.4" x14ac:dyDescent="0.25">
      <c r="B26" s="995"/>
      <c r="C26" s="996"/>
      <c r="D26" s="996"/>
      <c r="E26" s="996"/>
      <c r="F26" s="996"/>
      <c r="G26" s="996"/>
      <c r="H26" s="996"/>
      <c r="I26"/>
      <c r="J26"/>
      <c r="K26"/>
      <c r="L26"/>
      <c r="M26"/>
    </row>
    <row r="27" spans="2:13" ht="14.4" x14ac:dyDescent="0.25">
      <c r="B27" s="989"/>
      <c r="C27" s="1034"/>
      <c r="D27" s="1034"/>
      <c r="E27" s="1034"/>
      <c r="F27" s="1034"/>
      <c r="G27" s="1034"/>
      <c r="H27" s="1034"/>
      <c r="I27" s="1034"/>
      <c r="K27" s="110" t="s">
        <v>284</v>
      </c>
    </row>
    <row r="28" spans="2:13" ht="14.4" x14ac:dyDescent="0.25">
      <c r="B28" s="27"/>
      <c r="C28" s="27"/>
      <c r="D28" s="27"/>
      <c r="E28" s="27"/>
      <c r="F28" s="27"/>
      <c r="G28" s="27"/>
      <c r="H28" s="27"/>
      <c r="I28" s="27"/>
      <c r="J28" s="989"/>
      <c r="K28" s="989"/>
      <c r="L28" s="989"/>
      <c r="M28" s="989"/>
    </row>
    <row r="29" spans="2:13" ht="13.2" x14ac:dyDescent="0.25">
      <c r="B29" s="23"/>
      <c r="C29" s="23"/>
      <c r="D29" s="23"/>
      <c r="E29" s="23"/>
      <c r="F29" s="23"/>
      <c r="G29" s="23"/>
      <c r="H29" s="23"/>
      <c r="I29" s="23"/>
      <c r="J29" s="4"/>
      <c r="K29" s="4"/>
      <c r="L29" s="4"/>
      <c r="M29" s="4"/>
    </row>
    <row r="30" spans="2:13" ht="13.2" x14ac:dyDescent="0.25">
      <c r="J30" s="126"/>
      <c r="K30" s="126"/>
      <c r="L30" s="126"/>
      <c r="M30" s="126"/>
    </row>
    <row r="31" spans="2:13" ht="13.2" x14ac:dyDescent="0.25">
      <c r="J31" s="126"/>
      <c r="K31" s="126"/>
      <c r="L31" s="126"/>
      <c r="M31" s="126"/>
    </row>
    <row r="32" spans="2:13" ht="13.2" x14ac:dyDescent="0.25">
      <c r="J32" s="126"/>
      <c r="K32" s="126"/>
      <c r="L32" s="126"/>
      <c r="M32" s="126"/>
    </row>
    <row r="33" spans="2:13" ht="13.2" x14ac:dyDescent="0.25">
      <c r="J33" s="126"/>
      <c r="K33" s="126"/>
      <c r="L33" s="126"/>
      <c r="M33" s="126"/>
    </row>
    <row r="34" spans="2:13" ht="13.2" x14ac:dyDescent="0.25">
      <c r="J34" s="126"/>
      <c r="K34" s="126"/>
      <c r="L34" s="126"/>
      <c r="M34" s="126"/>
    </row>
    <row r="35" spans="2:13" ht="13.8" thickBot="1" x14ac:dyDescent="0.3">
      <c r="J35" s="126"/>
      <c r="K35" s="126"/>
      <c r="L35" s="126"/>
      <c r="M35" s="126"/>
    </row>
    <row r="36" spans="2:13" ht="13.2" x14ac:dyDescent="0.25">
      <c r="B36" s="991" t="s">
        <v>118</v>
      </c>
      <c r="C36" s="1039"/>
      <c r="D36" s="1039"/>
      <c r="E36" s="1039"/>
      <c r="F36" s="1039"/>
      <c r="G36" s="1039"/>
      <c r="H36" s="1039"/>
      <c r="I36" s="1040"/>
    </row>
    <row r="37" spans="2:13" ht="13.2" x14ac:dyDescent="0.25">
      <c r="B37" s="1041"/>
      <c r="C37" s="1042"/>
      <c r="D37" s="1042"/>
      <c r="E37" s="1042"/>
      <c r="F37" s="1042"/>
      <c r="G37" s="1042"/>
      <c r="H37" s="1042"/>
      <c r="I37" s="1043"/>
    </row>
    <row r="38" spans="2:13" ht="13.2" x14ac:dyDescent="0.25">
      <c r="B38" s="1041"/>
      <c r="C38" s="1042"/>
      <c r="D38" s="1042"/>
      <c r="E38" s="1042"/>
      <c r="F38" s="1042"/>
      <c r="G38" s="1042"/>
      <c r="H38" s="1042"/>
      <c r="I38" s="1043"/>
    </row>
    <row r="39" spans="2:13" ht="13.2" x14ac:dyDescent="0.25">
      <c r="B39" s="1041"/>
      <c r="C39" s="1042"/>
      <c r="D39" s="1042"/>
      <c r="E39" s="1042"/>
      <c r="F39" s="1042"/>
      <c r="G39" s="1042"/>
      <c r="H39" s="1042"/>
      <c r="I39" s="1043"/>
    </row>
    <row r="40" spans="2:13" ht="13.2" x14ac:dyDescent="0.25">
      <c r="B40" s="1041"/>
      <c r="C40" s="1042"/>
      <c r="D40" s="1042"/>
      <c r="E40" s="1042"/>
      <c r="F40" s="1042"/>
      <c r="G40" s="1042"/>
      <c r="H40" s="1042"/>
      <c r="I40" s="1043"/>
    </row>
    <row r="41" spans="2:13" ht="13.2" x14ac:dyDescent="0.25">
      <c r="B41" s="1041"/>
      <c r="C41" s="1042"/>
      <c r="D41" s="1042"/>
      <c r="E41" s="1042"/>
      <c r="F41" s="1042"/>
      <c r="G41" s="1042"/>
      <c r="H41" s="1042"/>
      <c r="I41" s="1043"/>
    </row>
    <row r="42" spans="2:13" ht="13.2" x14ac:dyDescent="0.25">
      <c r="B42" s="1044"/>
      <c r="C42" s="1045"/>
      <c r="D42" s="1045"/>
      <c r="E42" s="1045"/>
      <c r="F42" s="1045"/>
      <c r="G42" s="1045"/>
      <c r="H42" s="1045"/>
      <c r="I42" s="1046"/>
    </row>
    <row r="43" spans="2:13" ht="54" customHeight="1" thickBot="1" x14ac:dyDescent="0.3">
      <c r="B43" s="4443" t="s">
        <v>2177</v>
      </c>
      <c r="C43" s="4444"/>
      <c r="D43" s="4444"/>
      <c r="E43" s="4444"/>
      <c r="F43" s="4444"/>
      <c r="G43" s="4444"/>
      <c r="H43" s="4444"/>
      <c r="I43" s="4445"/>
    </row>
    <row r="44" spans="2:13" ht="13.2" x14ac:dyDescent="0.25">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5"/>
  <cols>
    <col min="1" max="1" width="1.88671875" style="110" customWidth="1"/>
    <col min="2" max="2" width="44.5546875" style="110" bestFit="1" customWidth="1"/>
    <col min="3" max="14" width="10.109375" style="110" customWidth="1"/>
    <col min="15" max="15" width="18.5546875" style="110" customWidth="1"/>
    <col min="16" max="16384" width="8" style="110"/>
  </cols>
  <sheetData>
    <row r="1" spans="1:15" ht="15.75" customHeight="1" x14ac:dyDescent="0.3">
      <c r="B1" s="209" t="s">
        <v>436</v>
      </c>
      <c r="C1" s="209"/>
      <c r="D1" s="209"/>
      <c r="E1" s="209"/>
      <c r="F1" s="209"/>
      <c r="N1" s="2"/>
      <c r="O1" s="14" t="s">
        <v>2521</v>
      </c>
    </row>
    <row r="2" spans="1:15" ht="15.75" customHeight="1" x14ac:dyDescent="0.25">
      <c r="B2" s="3" t="s">
        <v>62</v>
      </c>
      <c r="G2" s="110" t="s">
        <v>284</v>
      </c>
      <c r="N2" s="2"/>
      <c r="O2" s="14" t="s">
        <v>2522</v>
      </c>
    </row>
    <row r="3" spans="1:15" ht="12" customHeight="1" x14ac:dyDescent="0.25">
      <c r="B3" s="51"/>
      <c r="M3" s="2"/>
      <c r="N3" s="2"/>
      <c r="O3" s="14" t="s">
        <v>2144</v>
      </c>
    </row>
    <row r="4" spans="1:15" ht="12" hidden="1" customHeight="1" x14ac:dyDescent="0.25">
      <c r="B4" s="51"/>
      <c r="M4" s="2"/>
      <c r="N4" s="2"/>
      <c r="O4" s="2"/>
    </row>
    <row r="5" spans="1:15" ht="12" hidden="1" customHeight="1" x14ac:dyDescent="0.25">
      <c r="B5" s="51"/>
      <c r="M5" s="2"/>
      <c r="N5" s="2"/>
      <c r="O5" s="2"/>
    </row>
    <row r="6" spans="1:15" ht="12" hidden="1" customHeight="1" x14ac:dyDescent="0.25">
      <c r="B6" s="51"/>
      <c r="M6" s="2"/>
      <c r="N6" s="2"/>
      <c r="O6" s="2"/>
    </row>
    <row r="7" spans="1:15" ht="12.75" customHeight="1" thickBot="1" x14ac:dyDescent="0.3">
      <c r="B7" s="2446" t="s">
        <v>64</v>
      </c>
      <c r="N7" s="137"/>
    </row>
    <row r="8" spans="1:15" ht="37.200000000000003" x14ac:dyDescent="0.25">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5" thickBot="1" x14ac:dyDescent="0.3">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3">
      <c r="B10" s="1262" t="s">
        <v>443</v>
      </c>
      <c r="C10" s="3019">
        <f>IF(SUM(C11,C16,C27,C35,C39,C45,C52,C57)=0,"NO",SUM(C11,C16,C27,C35,C39,C45,C52,C57))</f>
        <v>18552.628794626791</v>
      </c>
      <c r="D10" s="2913">
        <f t="shared" ref="D10:N10" si="0">IF(SUM(D11,D16,D27,D35,D39,D45,D52,D57)=0,"NO",SUM(D11,D16,D27,D35,D39,D45,D52,D57))</f>
        <v>3.2646478675884056</v>
      </c>
      <c r="E10" s="2913">
        <f t="shared" si="0"/>
        <v>3.4138016387751899</v>
      </c>
      <c r="F10" s="2913">
        <f t="shared" si="0"/>
        <v>1193.6537599999999</v>
      </c>
      <c r="G10" s="2913">
        <f t="shared" si="0"/>
        <v>4143.5315389337156</v>
      </c>
      <c r="H10" s="2913" t="str">
        <f t="shared" si="0"/>
        <v>NO</v>
      </c>
      <c r="I10" s="2913">
        <f t="shared" si="0"/>
        <v>9.6736708047799533E-3</v>
      </c>
      <c r="J10" s="2913" t="str">
        <f t="shared" si="0"/>
        <v>NO</v>
      </c>
      <c r="K10" s="2913">
        <f t="shared" si="0"/>
        <v>38.265821273188067</v>
      </c>
      <c r="L10" s="2914">
        <f t="shared" si="0"/>
        <v>10.241960561549931</v>
      </c>
      <c r="M10" s="2915">
        <f t="shared" si="0"/>
        <v>218.48962991146141</v>
      </c>
      <c r="N10" s="2916">
        <f t="shared" si="0"/>
        <v>1024.884097793984</v>
      </c>
      <c r="O10" s="3020">
        <f t="shared" ref="O10:O58" si="1">IF(SUM(C10:J10)=0,"NO",SUM(C10,F10:H10)+28*SUM(D10)+265*SUM(E10)+23500*SUM(I10)+16100*SUM(J10))</f>
        <v>25113.212932040737</v>
      </c>
    </row>
    <row r="11" spans="1:15" ht="18" customHeight="1" x14ac:dyDescent="0.25">
      <c r="B11" s="1263" t="s">
        <v>444</v>
      </c>
      <c r="C11" s="2137">
        <f>IF(SUM(C12:C15)=0,"NO",SUM(C12:C15))</f>
        <v>5489.5881371538135</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5489.5881371538135</v>
      </c>
    </row>
    <row r="12" spans="1:15" ht="18" customHeight="1" x14ac:dyDescent="0.25">
      <c r="B12" s="1264" t="s">
        <v>445</v>
      </c>
      <c r="C12" s="2920">
        <f>'Table2(I).A-H'!H11</f>
        <v>3462.8717120000006</v>
      </c>
      <c r="D12" s="2136"/>
      <c r="E12" s="2136"/>
      <c r="F12" s="628"/>
      <c r="G12" s="628"/>
      <c r="H12" s="2135"/>
      <c r="I12" s="628"/>
      <c r="J12" s="2135"/>
      <c r="K12" s="2135"/>
      <c r="L12" s="2135"/>
      <c r="M12" s="2135"/>
      <c r="N12" s="2919" t="s">
        <v>2146</v>
      </c>
      <c r="O12" s="2934">
        <f t="shared" si="1"/>
        <v>3462.8717120000006</v>
      </c>
    </row>
    <row r="13" spans="1:15" ht="18" customHeight="1" x14ac:dyDescent="0.25">
      <c r="B13" s="1264" t="s">
        <v>446</v>
      </c>
      <c r="C13" s="1878">
        <f>'Table2(I).A-H'!H12</f>
        <v>775.37383361911611</v>
      </c>
      <c r="D13" s="2108"/>
      <c r="E13" s="2108"/>
      <c r="F13" s="628"/>
      <c r="G13" s="628"/>
      <c r="H13" s="2135"/>
      <c r="I13" s="628"/>
      <c r="J13" s="2135"/>
      <c r="K13" s="628"/>
      <c r="L13" s="628"/>
      <c r="M13" s="628"/>
      <c r="N13" s="1838"/>
      <c r="O13" s="1880">
        <f t="shared" si="1"/>
        <v>775.37383361911611</v>
      </c>
    </row>
    <row r="14" spans="1:15" ht="18" customHeight="1" x14ac:dyDescent="0.25">
      <c r="B14" s="1264" t="s">
        <v>447</v>
      </c>
      <c r="C14" s="1878">
        <f>'Table2(I).A-H'!H13</f>
        <v>86.54450107596044</v>
      </c>
      <c r="D14" s="2108"/>
      <c r="E14" s="2108"/>
      <c r="F14" s="628"/>
      <c r="G14" s="628"/>
      <c r="H14" s="2135"/>
      <c r="I14" s="628"/>
      <c r="J14" s="2135"/>
      <c r="K14" s="628"/>
      <c r="L14" s="628"/>
      <c r="M14" s="628"/>
      <c r="N14" s="1838"/>
      <c r="O14" s="1880">
        <f t="shared" si="1"/>
        <v>86.54450107596044</v>
      </c>
    </row>
    <row r="15" spans="1:15" ht="18" customHeight="1" thickBot="1" x14ac:dyDescent="0.3">
      <c r="B15" s="1264" t="s">
        <v>448</v>
      </c>
      <c r="C15" s="1878">
        <f>'Table2(I).A-H'!H14</f>
        <v>1164.7980904587366</v>
      </c>
      <c r="D15" s="1879"/>
      <c r="E15" s="1879"/>
      <c r="F15" s="3021"/>
      <c r="G15" s="3021"/>
      <c r="H15" s="3021"/>
      <c r="I15" s="3021"/>
      <c r="J15" s="3021"/>
      <c r="K15" s="2606" t="s">
        <v>2146</v>
      </c>
      <c r="L15" s="2606" t="s">
        <v>2146</v>
      </c>
      <c r="M15" s="2606" t="s">
        <v>2146</v>
      </c>
      <c r="N15" s="2607" t="s">
        <v>2146</v>
      </c>
      <c r="O15" s="1880">
        <f t="shared" si="1"/>
        <v>1164.7980904587366</v>
      </c>
    </row>
    <row r="16" spans="1:15" ht="18" customHeight="1" x14ac:dyDescent="0.25">
      <c r="B16" s="1265" t="s">
        <v>449</v>
      </c>
      <c r="C16" s="2137">
        <f>IF(SUM(C17:C26)=0,"NO",SUM(C17:C26))</f>
        <v>1054.6897029809475</v>
      </c>
      <c r="D16" s="2137">
        <f t="shared" ref="D16:N16" si="3">IF(SUM(D17:D26)=0,"NO",SUM(D17:D26))</f>
        <v>0.43762607399999998</v>
      </c>
      <c r="E16" s="2137">
        <f t="shared" si="3"/>
        <v>3.33906306</v>
      </c>
      <c r="F16" s="2138">
        <f t="shared" si="3"/>
        <v>1193.6537599999999</v>
      </c>
      <c r="G16" s="2138" t="str">
        <f t="shared" si="3"/>
        <v>NO</v>
      </c>
      <c r="H16" s="2138" t="str">
        <f t="shared" si="3"/>
        <v>NO</v>
      </c>
      <c r="I16" s="2138" t="str">
        <f t="shared" si="3"/>
        <v>NO</v>
      </c>
      <c r="J16" s="2138" t="str">
        <f t="shared" si="3"/>
        <v>NO</v>
      </c>
      <c r="K16" s="2920" t="str">
        <f t="shared" si="3"/>
        <v>NO</v>
      </c>
      <c r="L16" s="2137" t="str">
        <f t="shared" si="3"/>
        <v>NO</v>
      </c>
      <c r="M16" s="2137">
        <f t="shared" si="3"/>
        <v>4.1018873770000006</v>
      </c>
      <c r="N16" s="2918" t="str">
        <f t="shared" si="3"/>
        <v>NO</v>
      </c>
      <c r="O16" s="2941">
        <f t="shared" si="1"/>
        <v>3145.4487039529472</v>
      </c>
    </row>
    <row r="17" spans="2:15" ht="18" customHeight="1" x14ac:dyDescent="0.25">
      <c r="B17" s="1266" t="s">
        <v>450</v>
      </c>
      <c r="C17" s="2920">
        <f>SUM('Table2(I).A-H'!H23,'Table2(I).A-H'!K23:L23)</f>
        <v>543.83928765755786</v>
      </c>
      <c r="D17" s="2139" t="str">
        <f>'Table2(I).A-H'!I23</f>
        <v>NO</v>
      </c>
      <c r="E17" s="2139" t="str">
        <f>'Table2(I).A-H'!J23</f>
        <v>NO</v>
      </c>
      <c r="F17" s="2135"/>
      <c r="G17" s="2135"/>
      <c r="H17" s="2135"/>
      <c r="I17" s="2135"/>
      <c r="J17" s="2135"/>
      <c r="K17" s="692" t="s">
        <v>2146</v>
      </c>
      <c r="L17" s="692" t="s">
        <v>2146</v>
      </c>
      <c r="M17" s="692" t="s">
        <v>2146</v>
      </c>
      <c r="N17" s="692" t="s">
        <v>2146</v>
      </c>
      <c r="O17" s="2934">
        <f t="shared" si="1"/>
        <v>543.83928765755786</v>
      </c>
    </row>
    <row r="18" spans="2:15" ht="18" customHeight="1" x14ac:dyDescent="0.25">
      <c r="B18" s="1264" t="s">
        <v>451</v>
      </c>
      <c r="C18" s="1910"/>
      <c r="D18" s="2136"/>
      <c r="E18" s="2139">
        <f>'Table2(I).A-H'!J24</f>
        <v>3.33906306</v>
      </c>
      <c r="F18" s="628"/>
      <c r="G18" s="628"/>
      <c r="H18" s="2135"/>
      <c r="I18" s="628"/>
      <c r="J18" s="2135"/>
      <c r="K18" s="692" t="s">
        <v>2146</v>
      </c>
      <c r="L18" s="628"/>
      <c r="M18" s="628"/>
      <c r="N18" s="1838"/>
      <c r="O18" s="2934">
        <f t="shared" si="1"/>
        <v>884.85171089999994</v>
      </c>
    </row>
    <row r="19" spans="2:15" ht="18" customHeight="1" x14ac:dyDescent="0.25">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5">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5">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5">
      <c r="B22" s="1264" t="s">
        <v>455</v>
      </c>
      <c r="C22" s="1878">
        <f>'Table2(I).A-H'!H33</f>
        <v>415.11969387755096</v>
      </c>
      <c r="D22" s="1914"/>
      <c r="E22" s="628"/>
      <c r="F22" s="628"/>
      <c r="G22" s="628"/>
      <c r="H22" s="2135"/>
      <c r="I22" s="628"/>
      <c r="J22" s="2135"/>
      <c r="K22" s="1914"/>
      <c r="L22" s="1914"/>
      <c r="M22" s="1914"/>
      <c r="N22" s="2921"/>
      <c r="O22" s="1880">
        <f t="shared" si="1"/>
        <v>415.11969387755096</v>
      </c>
    </row>
    <row r="23" spans="2:15" ht="18" customHeight="1" x14ac:dyDescent="0.25">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5">
      <c r="B24" s="1264" t="s">
        <v>457</v>
      </c>
      <c r="C24" s="1878" t="str">
        <f>'Table2(I).A-H'!H35</f>
        <v>NO</v>
      </c>
      <c r="D24" s="1878">
        <f>'Table2(I).A-H'!I35</f>
        <v>0.43762607399999998</v>
      </c>
      <c r="E24" s="628"/>
      <c r="F24" s="628"/>
      <c r="G24" s="628"/>
      <c r="H24" s="2135"/>
      <c r="I24" s="628"/>
      <c r="J24" s="2135"/>
      <c r="K24" s="692" t="s">
        <v>2146</v>
      </c>
      <c r="L24" s="692" t="s">
        <v>2146</v>
      </c>
      <c r="M24" s="691">
        <v>4.1018873770000006</v>
      </c>
      <c r="N24" s="692" t="s">
        <v>2146</v>
      </c>
      <c r="O24" s="1880">
        <f t="shared" si="1"/>
        <v>12.253530072</v>
      </c>
    </row>
    <row r="25" spans="2:15" ht="18" customHeight="1" x14ac:dyDescent="0.25">
      <c r="B25" s="1264" t="s">
        <v>458</v>
      </c>
      <c r="C25" s="1914"/>
      <c r="D25" s="1914"/>
      <c r="E25" s="628"/>
      <c r="F25" s="2140">
        <f>'Table2(II)'!W40</f>
        <v>1193.6537599999999</v>
      </c>
      <c r="G25" s="2140" t="str">
        <f>'Table2(II)'!AH40</f>
        <v>NO</v>
      </c>
      <c r="H25" s="2139" t="str">
        <f>'Table2(II)'!AI40</f>
        <v>NO</v>
      </c>
      <c r="I25" s="2140" t="str">
        <f>'Table2(II)'!AJ40</f>
        <v>NO</v>
      </c>
      <c r="J25" s="2139" t="str">
        <f>'Table2(II)'!AK40</f>
        <v>NO</v>
      </c>
      <c r="K25" s="1914"/>
      <c r="L25" s="1914"/>
      <c r="M25" s="1914"/>
      <c r="N25" s="2921"/>
      <c r="O25" s="1880">
        <f t="shared" si="1"/>
        <v>1193.6537599999999</v>
      </c>
    </row>
    <row r="26" spans="2:15" ht="18" customHeight="1" thickBot="1" x14ac:dyDescent="0.3">
      <c r="B26" s="1264" t="s">
        <v>2110</v>
      </c>
      <c r="C26" s="1878">
        <f>'Table2(I).A-H'!H47</f>
        <v>95.730721445838583</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95.730721445838583</v>
      </c>
    </row>
    <row r="27" spans="2:15" ht="18" customHeight="1" x14ac:dyDescent="0.25">
      <c r="B27" s="1263" t="s">
        <v>459</v>
      </c>
      <c r="C27" s="2137">
        <f>IF(SUM(C28:C34)=0,"NO",SUM(C28:C34))</f>
        <v>11644.473410340323</v>
      </c>
      <c r="D27" s="2137">
        <f t="shared" ref="D27:N27" si="4">IF(SUM(D28:D34)=0,"NO",SUM(D28:D34))</f>
        <v>2.8270217935884054</v>
      </c>
      <c r="E27" s="2137">
        <f t="shared" si="4"/>
        <v>7.4738578775190162E-2</v>
      </c>
      <c r="F27" s="2138" t="str">
        <f t="shared" si="4"/>
        <v>NO</v>
      </c>
      <c r="G27" s="2138">
        <f t="shared" si="4"/>
        <v>4143.5315389337156</v>
      </c>
      <c r="H27" s="2138" t="str">
        <f t="shared" si="4"/>
        <v>NO</v>
      </c>
      <c r="I27" s="2138" t="str">
        <f t="shared" si="4"/>
        <v>NO</v>
      </c>
      <c r="J27" s="2138" t="str">
        <f t="shared" si="4"/>
        <v>NO</v>
      </c>
      <c r="K27" s="2137">
        <f t="shared" si="4"/>
        <v>38.265821273188067</v>
      </c>
      <c r="L27" s="2137">
        <f t="shared" si="4"/>
        <v>10.241960561549931</v>
      </c>
      <c r="M27" s="2917">
        <f t="shared" si="4"/>
        <v>9.2903543299075117E-2</v>
      </c>
      <c r="N27" s="2918">
        <f t="shared" si="4"/>
        <v>1024.884097793984</v>
      </c>
      <c r="O27" s="2941">
        <f t="shared" si="1"/>
        <v>15886.96728286994</v>
      </c>
    </row>
    <row r="28" spans="2:15" ht="18" customHeight="1" x14ac:dyDescent="0.25">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5">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5">
      <c r="B30" s="1264" t="s">
        <v>462</v>
      </c>
      <c r="C30" s="1878">
        <f>'Table2(I).A-H'!H63</f>
        <v>2058.1027453190763</v>
      </c>
      <c r="D30" s="1879"/>
      <c r="E30" s="628"/>
      <c r="F30" s="628"/>
      <c r="G30" s="2140">
        <f>SUM('Table2(II)'!X41:Y41)</f>
        <v>4143.5315389337156</v>
      </c>
      <c r="H30" s="2136"/>
      <c r="I30" s="2142" t="s">
        <v>2146</v>
      </c>
      <c r="J30" s="2135"/>
      <c r="K30" s="691" t="s">
        <v>2147</v>
      </c>
      <c r="L30" s="691" t="s">
        <v>2147</v>
      </c>
      <c r="M30" s="691" t="s">
        <v>2147</v>
      </c>
      <c r="N30" s="2911">
        <v>31.541899999999998</v>
      </c>
      <c r="O30" s="1880">
        <f t="shared" si="1"/>
        <v>6201.634284252792</v>
      </c>
    </row>
    <row r="31" spans="2:15" ht="18" customHeight="1" x14ac:dyDescent="0.25">
      <c r="B31" s="1267" t="s">
        <v>463</v>
      </c>
      <c r="C31" s="1878" t="str">
        <f>'Table2(I).A-H'!H64</f>
        <v>NO</v>
      </c>
      <c r="D31" s="2143"/>
      <c r="E31" s="2108"/>
      <c r="F31" s="2139" t="s">
        <v>2146</v>
      </c>
      <c r="G31" s="2139" t="s">
        <v>2146</v>
      </c>
      <c r="H31" s="2139" t="s">
        <v>2146</v>
      </c>
      <c r="I31" s="3022" t="str">
        <f>IFERROR('Table2(II).B-Hs1'!G28/1000,'Table2(II).B-Hs1'!G28)</f>
        <v>NO</v>
      </c>
      <c r="J31" s="2135"/>
      <c r="K31" s="691" t="s">
        <v>2147</v>
      </c>
      <c r="L31" s="691" t="s">
        <v>2147</v>
      </c>
      <c r="M31" s="691" t="s">
        <v>2147</v>
      </c>
      <c r="N31" s="2911" t="s">
        <v>2147</v>
      </c>
      <c r="O31" s="2145" t="str">
        <f t="shared" si="1"/>
        <v>NO</v>
      </c>
    </row>
    <row r="32" spans="2:15" ht="18" customHeight="1" x14ac:dyDescent="0.25">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5">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3">
      <c r="B34" s="1269" t="s">
        <v>2109</v>
      </c>
      <c r="C34" s="1881">
        <f>'Table2(I).A-H'!H67</f>
        <v>9586.3706650212462</v>
      </c>
      <c r="D34" s="1881">
        <f>'Table2(I).A-H'!I67</f>
        <v>2.8270217935884054</v>
      </c>
      <c r="E34" s="1881">
        <f>'Table2(I).A-H'!J67</f>
        <v>7.4738578775190162E-2</v>
      </c>
      <c r="F34" s="2146" t="s">
        <v>2146</v>
      </c>
      <c r="G34" s="2146" t="s">
        <v>2146</v>
      </c>
      <c r="H34" s="2146" t="s">
        <v>2146</v>
      </c>
      <c r="I34" s="2146" t="s">
        <v>2146</v>
      </c>
      <c r="J34" s="2146" t="s">
        <v>2146</v>
      </c>
      <c r="K34" s="2606">
        <v>38.265821273188067</v>
      </c>
      <c r="L34" s="2606">
        <v>10.241960561549931</v>
      </c>
      <c r="M34" s="2606">
        <v>9.2903543299075117E-2</v>
      </c>
      <c r="N34" s="2607">
        <v>993.34219779398404</v>
      </c>
      <c r="O34" s="1882">
        <f t="shared" si="1"/>
        <v>9685.3329986171484</v>
      </c>
    </row>
    <row r="35" spans="2:15" ht="18" customHeight="1" x14ac:dyDescent="0.25">
      <c r="B35" s="2470" t="s">
        <v>2014</v>
      </c>
      <c r="C35" s="2920">
        <f>IF(SUM(C36:C38)=0,"NO",SUM(C36:C38))</f>
        <v>281.30450949999999</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174.2911424911623</v>
      </c>
      <c r="N35" s="2048" t="str">
        <f t="shared" ref="N35" si="7">IF(SUM(N36:N38)=0,"NO",SUM(N36:N38))</f>
        <v>NO</v>
      </c>
      <c r="O35" s="2934">
        <f t="shared" si="1"/>
        <v>281.30450949999999</v>
      </c>
    </row>
    <row r="36" spans="2:15" ht="18" customHeight="1" x14ac:dyDescent="0.25">
      <c r="B36" s="1270" t="s">
        <v>466</v>
      </c>
      <c r="C36" s="1878">
        <f>'Table2(I).A-H'!H73</f>
        <v>281.30450949999999</v>
      </c>
      <c r="D36" s="2140" t="str">
        <f>'Table2(I).A-H'!I73</f>
        <v>NO</v>
      </c>
      <c r="E36" s="2140" t="str">
        <f>'Table2(I).A-H'!J73</f>
        <v>NO</v>
      </c>
      <c r="F36" s="628"/>
      <c r="G36" s="628"/>
      <c r="H36" s="2135"/>
      <c r="I36" s="628"/>
      <c r="J36" s="2135"/>
      <c r="K36" s="2147" t="s">
        <v>2147</v>
      </c>
      <c r="L36" s="2147" t="s">
        <v>2147</v>
      </c>
      <c r="M36" s="691" t="s">
        <v>2147</v>
      </c>
      <c r="N36" s="2141" t="s">
        <v>2147</v>
      </c>
      <c r="O36" s="1880">
        <f t="shared" si="1"/>
        <v>281.30450949999999</v>
      </c>
    </row>
    <row r="37" spans="2:15" ht="18" customHeight="1" x14ac:dyDescent="0.25">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3">
      <c r="B38" s="1271" t="s">
        <v>468</v>
      </c>
      <c r="C38" s="2152" t="str">
        <f>'Table2(I).A-H'!H75</f>
        <v>NO</v>
      </c>
      <c r="D38" s="2152" t="str">
        <f>'Table2(I).A-H'!I75</f>
        <v>NO</v>
      </c>
      <c r="E38" s="2152" t="str">
        <f>'Table2(I).A-H'!J75</f>
        <v>NO</v>
      </c>
      <c r="F38" s="3024"/>
      <c r="G38" s="3024"/>
      <c r="H38" s="3024"/>
      <c r="I38" s="3024"/>
      <c r="J38" s="1923"/>
      <c r="K38" s="2606" t="s">
        <v>2146</v>
      </c>
      <c r="L38" s="2606" t="s">
        <v>2146</v>
      </c>
      <c r="M38" s="2606">
        <v>174.2911424911623</v>
      </c>
      <c r="N38" s="2607" t="s">
        <v>2146</v>
      </c>
      <c r="O38" s="2148" t="str">
        <f t="shared" si="1"/>
        <v>NO</v>
      </c>
    </row>
    <row r="39" spans="2:15" ht="18" customHeight="1" x14ac:dyDescent="0.25">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5">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5">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5">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5">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3">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5">
      <c r="B45" s="2472" t="s">
        <v>666</v>
      </c>
      <c r="C45" s="1929"/>
      <c r="D45" s="1929"/>
      <c r="E45" s="1929"/>
      <c r="F45" s="2137" t="str">
        <f>IF(SUM(F46:F51)=0,"NO",SUM(F46:F51))</f>
        <v>NO</v>
      </c>
      <c r="G45" s="2137" t="str">
        <f t="shared" ref="G45:J45" si="9">IF(SUM(G46:G51)=0,"NO",SUM(G46:G51))</f>
        <v>NO</v>
      </c>
      <c r="H45" s="2920" t="str">
        <f t="shared" si="9"/>
        <v>NO</v>
      </c>
      <c r="I45" s="2920" t="str">
        <f t="shared" si="9"/>
        <v>NO</v>
      </c>
      <c r="J45" s="2139" t="str">
        <f t="shared" si="9"/>
        <v>NO</v>
      </c>
      <c r="K45" s="1929"/>
      <c r="L45" s="1929"/>
      <c r="M45" s="1929"/>
      <c r="N45" s="2153"/>
      <c r="O45" s="2941" t="str">
        <f t="shared" si="1"/>
        <v>NO</v>
      </c>
    </row>
    <row r="46" spans="2:15" ht="18" customHeight="1" x14ac:dyDescent="0.25">
      <c r="B46" s="1270" t="s">
        <v>474</v>
      </c>
      <c r="C46" s="628"/>
      <c r="D46" s="628"/>
      <c r="E46" s="628"/>
      <c r="F46" s="1878" t="str">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NO</v>
      </c>
      <c r="G46" s="1878" t="s">
        <v>2146</v>
      </c>
      <c r="H46" s="1878" t="s">
        <v>2146</v>
      </c>
      <c r="I46" s="1878" t="s">
        <v>2146</v>
      </c>
      <c r="J46" s="2139" t="str">
        <f t="shared" ref="J46" si="10">IF(SUM(J47:J52)=0,"NO",SUM(J47:J52))</f>
        <v>NO</v>
      </c>
      <c r="K46" s="628"/>
      <c r="L46" s="628"/>
      <c r="M46" s="628"/>
      <c r="N46" s="1838"/>
      <c r="O46" s="1880" t="str">
        <f t="shared" si="1"/>
        <v>NO</v>
      </c>
    </row>
    <row r="47" spans="2:15" ht="18" customHeight="1" x14ac:dyDescent="0.25">
      <c r="B47" s="1270" t="s">
        <v>475</v>
      </c>
      <c r="C47" s="628"/>
      <c r="D47" s="628"/>
      <c r="E47" s="628"/>
      <c r="F47" s="1878" t="str">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NO</v>
      </c>
      <c r="G47" s="1878" t="s">
        <v>2146</v>
      </c>
      <c r="H47" s="1878" t="s">
        <v>2146</v>
      </c>
      <c r="I47" s="1878" t="s">
        <v>2146</v>
      </c>
      <c r="J47" s="2139" t="str">
        <f t="shared" ref="J47" si="11">IF(SUM(J48:J53)=0,"NO",SUM(J48:J53))</f>
        <v>NO</v>
      </c>
      <c r="K47" s="628"/>
      <c r="L47" s="628"/>
      <c r="M47" s="628"/>
      <c r="N47" s="1838"/>
      <c r="O47" s="1880" t="str">
        <f t="shared" si="1"/>
        <v>NO</v>
      </c>
    </row>
    <row r="48" spans="2:15" ht="18" customHeight="1" x14ac:dyDescent="0.25">
      <c r="B48" s="1270" t="s">
        <v>476</v>
      </c>
      <c r="C48" s="628"/>
      <c r="D48" s="628"/>
      <c r="E48" s="628"/>
      <c r="F48" s="1878" t="str">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NO</v>
      </c>
      <c r="G48" s="1878" t="s">
        <v>2146</v>
      </c>
      <c r="H48" s="1878" t="s">
        <v>2146</v>
      </c>
      <c r="I48" s="1878" t="s">
        <v>2146</v>
      </c>
      <c r="J48" s="2139" t="str">
        <f t="shared" ref="J48" si="12">IF(SUM(J49:J54)=0,"NO",SUM(J49:J54))</f>
        <v>NO</v>
      </c>
      <c r="K48" s="628"/>
      <c r="L48" s="628"/>
      <c r="M48" s="628"/>
      <c r="N48" s="1838"/>
      <c r="O48" s="1880" t="str">
        <f t="shared" si="1"/>
        <v>NO</v>
      </c>
    </row>
    <row r="49" spans="2:15" ht="18" customHeight="1" x14ac:dyDescent="0.25">
      <c r="B49" s="1270" t="s">
        <v>477</v>
      </c>
      <c r="C49" s="628"/>
      <c r="D49" s="628"/>
      <c r="E49" s="628"/>
      <c r="F49" s="1878" t="str">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NO</v>
      </c>
      <c r="G49" s="1878" t="s">
        <v>2146</v>
      </c>
      <c r="H49" s="1878" t="s">
        <v>2146</v>
      </c>
      <c r="I49" s="1878" t="s">
        <v>2146</v>
      </c>
      <c r="J49" s="2139" t="str">
        <f t="shared" ref="J49" si="13">IF(SUM(J50:J55)=0,"NO",SUM(J50:J55))</f>
        <v>NO</v>
      </c>
      <c r="K49" s="628"/>
      <c r="L49" s="628"/>
      <c r="M49" s="628"/>
      <c r="N49" s="1838"/>
      <c r="O49" s="1880" t="str">
        <f t="shared" si="1"/>
        <v>NO</v>
      </c>
    </row>
    <row r="50" spans="2:15" ht="18" customHeight="1" x14ac:dyDescent="0.25">
      <c r="B50" s="1270" t="s">
        <v>478</v>
      </c>
      <c r="C50" s="628"/>
      <c r="D50" s="628"/>
      <c r="E50" s="628"/>
      <c r="F50" s="1878" t="str">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NO</v>
      </c>
      <c r="G50" s="1878" t="s">
        <v>2146</v>
      </c>
      <c r="H50" s="1878" t="s">
        <v>2146</v>
      </c>
      <c r="I50" s="1878" t="s">
        <v>2146</v>
      </c>
      <c r="J50" s="2139" t="str">
        <f t="shared" ref="J50" si="14">IF(SUM(J51:J56)=0,"NO",SUM(J51:J56))</f>
        <v>NO</v>
      </c>
      <c r="K50" s="628"/>
      <c r="L50" s="628"/>
      <c r="M50" s="628"/>
      <c r="N50" s="1838"/>
      <c r="O50" s="1880" t="str">
        <f t="shared" si="1"/>
        <v>NO</v>
      </c>
    </row>
    <row r="51" spans="2:15" ht="18" customHeight="1" thickBot="1" x14ac:dyDescent="0.3">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5">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9.6736708047799533E-3</v>
      </c>
      <c r="J52" s="2139" t="str">
        <f t="shared" si="16"/>
        <v>NO</v>
      </c>
      <c r="K52" s="2139" t="str">
        <f t="shared" si="16"/>
        <v>NO</v>
      </c>
      <c r="L52" s="2139" t="str">
        <f t="shared" si="16"/>
        <v>NO</v>
      </c>
      <c r="M52" s="2139" t="str">
        <f t="shared" si="16"/>
        <v>NO</v>
      </c>
      <c r="N52" s="2048" t="str">
        <f t="shared" si="16"/>
        <v>NO</v>
      </c>
      <c r="O52" s="2934">
        <f t="shared" si="1"/>
        <v>227.33126391232889</v>
      </c>
    </row>
    <row r="53" spans="2:15" ht="18" customHeight="1" x14ac:dyDescent="0.25">
      <c r="B53" s="1270" t="s">
        <v>481</v>
      </c>
      <c r="C53" s="2135"/>
      <c r="D53" s="2135"/>
      <c r="E53" s="2135"/>
      <c r="F53" s="2920" t="s">
        <v>2146</v>
      </c>
      <c r="G53" s="2920" t="s">
        <v>2146</v>
      </c>
      <c r="H53" s="2920" t="s">
        <v>2146</v>
      </c>
      <c r="I53" s="2920">
        <f>SUM('Table2(II).B-Hs2'!J163:M163)/1000</f>
        <v>9.0922755767967236E-3</v>
      </c>
      <c r="J53" s="2920" t="s">
        <v>2146</v>
      </c>
      <c r="K53" s="2135"/>
      <c r="L53" s="2135"/>
      <c r="M53" s="2135"/>
      <c r="N53" s="2149"/>
      <c r="O53" s="2934">
        <f t="shared" si="1"/>
        <v>213.66847605472302</v>
      </c>
    </row>
    <row r="54" spans="2:15" ht="18" customHeight="1" x14ac:dyDescent="0.25">
      <c r="B54" s="1270" t="s">
        <v>482</v>
      </c>
      <c r="C54" s="2135"/>
      <c r="D54" s="2135"/>
      <c r="E54" s="2135"/>
      <c r="F54" s="2135"/>
      <c r="G54" s="2920" t="s">
        <v>2146</v>
      </c>
      <c r="H54" s="3025"/>
      <c r="I54" s="2920">
        <f>SUM('Table2(II).B-Hs2'!J165:M165)/1000</f>
        <v>5.8139522798322926E-4</v>
      </c>
      <c r="J54" s="2135"/>
      <c r="K54" s="2135"/>
      <c r="L54" s="2135"/>
      <c r="M54" s="2135"/>
      <c r="N54" s="2149"/>
      <c r="O54" s="2934">
        <f t="shared" si="1"/>
        <v>13.662787857605888</v>
      </c>
    </row>
    <row r="55" spans="2:15" ht="18" customHeight="1" x14ac:dyDescent="0.25">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3">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5">
      <c r="B57" s="2471" t="s">
        <v>2107</v>
      </c>
      <c r="C57" s="2501">
        <f t="shared" ref="C57:M57" si="17">C58</f>
        <v>82.573034651705768</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40.003696500000004</v>
      </c>
      <c r="N57" s="2073" t="str">
        <f>N58</f>
        <v>NA</v>
      </c>
      <c r="O57" s="2941">
        <f t="shared" si="1"/>
        <v>82.573034651705768</v>
      </c>
    </row>
    <row r="58" spans="2:15" ht="18" customHeight="1" thickBot="1" x14ac:dyDescent="0.3">
      <c r="B58" s="2596" t="s">
        <v>2180</v>
      </c>
      <c r="C58" s="2500">
        <f>'Table2(I).A-H'!H97</f>
        <v>82.573034651705768</v>
      </c>
      <c r="D58" s="2500" t="str">
        <f>'Table2(I).A-H'!I97</f>
        <v>NO</v>
      </c>
      <c r="E58" s="2500" t="str">
        <f>'Table2(I).A-H'!J97</f>
        <v>NO</v>
      </c>
      <c r="F58" s="2500" t="s">
        <v>2146</v>
      </c>
      <c r="G58" s="2500" t="s">
        <v>2146</v>
      </c>
      <c r="H58" s="2500" t="s">
        <v>2146</v>
      </c>
      <c r="I58" s="2500" t="s">
        <v>2146</v>
      </c>
      <c r="J58" s="2500" t="s">
        <v>2146</v>
      </c>
      <c r="K58" s="2912" t="s">
        <v>2147</v>
      </c>
      <c r="L58" s="2912" t="s">
        <v>2147</v>
      </c>
      <c r="M58" s="2912">
        <v>40.003696500000004</v>
      </c>
      <c r="N58" s="2922" t="s">
        <v>2147</v>
      </c>
      <c r="O58" s="2925">
        <f t="shared" si="1"/>
        <v>82.573034651705768</v>
      </c>
    </row>
    <row r="59" spans="2:15" ht="12" customHeight="1" x14ac:dyDescent="0.25">
      <c r="B59" s="119"/>
      <c r="C59" s="119"/>
      <c r="D59" s="119"/>
      <c r="E59" s="119"/>
      <c r="F59" s="119"/>
      <c r="G59" s="119"/>
      <c r="H59" s="119"/>
      <c r="I59" s="119"/>
      <c r="J59" s="119"/>
      <c r="K59" s="119"/>
      <c r="L59" s="119"/>
      <c r="M59" s="119"/>
      <c r="N59" s="119"/>
    </row>
    <row r="60" spans="2:15" ht="12" customHeight="1" x14ac:dyDescent="0.25">
      <c r="B60" s="43"/>
    </row>
    <row r="61" spans="2:15" ht="12" customHeight="1" x14ac:dyDescent="0.25">
      <c r="B61" s="43"/>
      <c r="C61" s="4"/>
      <c r="D61" s="4"/>
      <c r="E61" s="4"/>
      <c r="F61" s="4"/>
      <c r="G61" s="4"/>
      <c r="H61" s="4"/>
      <c r="I61" s="4"/>
      <c r="J61" s="4"/>
      <c r="K61" s="4"/>
      <c r="L61" s="4"/>
      <c r="M61" s="4"/>
      <c r="N61" s="4"/>
    </row>
    <row r="62" spans="2:15" ht="12" customHeight="1" x14ac:dyDescent="0.25">
      <c r="B62" s="43"/>
      <c r="C62" s="43"/>
      <c r="D62" s="43"/>
      <c r="E62" s="43"/>
      <c r="F62" s="43"/>
      <c r="G62" s="43"/>
      <c r="H62" s="43"/>
      <c r="I62" s="43"/>
      <c r="J62" s="4"/>
      <c r="K62" s="4"/>
      <c r="L62" s="4"/>
      <c r="M62" s="4"/>
      <c r="N62" s="4"/>
    </row>
    <row r="63" spans="2:15" ht="12" customHeight="1" x14ac:dyDescent="0.25">
      <c r="B63" s="43"/>
      <c r="C63" s="43"/>
      <c r="D63" s="43"/>
      <c r="E63" s="43"/>
      <c r="F63" s="43"/>
      <c r="G63" s="43"/>
      <c r="H63" s="43"/>
      <c r="I63" s="43"/>
      <c r="J63" s="4"/>
      <c r="K63" s="4"/>
      <c r="L63" s="4"/>
      <c r="M63" s="4"/>
      <c r="N63" s="4"/>
    </row>
    <row r="64" spans="2:15" ht="12" customHeight="1" x14ac:dyDescent="0.25">
      <c r="B64" s="43"/>
      <c r="C64" s="43"/>
      <c r="D64" s="43"/>
      <c r="E64" s="43"/>
      <c r="F64" s="43"/>
      <c r="G64" s="43"/>
      <c r="H64" s="43"/>
      <c r="I64" s="43"/>
      <c r="J64" s="4"/>
      <c r="K64" s="4"/>
      <c r="L64" s="4"/>
      <c r="M64" s="4"/>
      <c r="N64" s="4"/>
    </row>
    <row r="65" spans="2:15" ht="12" customHeight="1" x14ac:dyDescent="0.25">
      <c r="B65" s="43"/>
      <c r="C65" s="43"/>
      <c r="D65" s="43"/>
      <c r="E65" s="43"/>
      <c r="F65" s="43"/>
      <c r="G65" s="43"/>
      <c r="H65" s="43"/>
      <c r="I65" s="43"/>
      <c r="J65" s="4"/>
      <c r="K65" s="4"/>
      <c r="L65" s="4"/>
      <c r="M65" s="4"/>
      <c r="N65" s="4"/>
    </row>
    <row r="66" spans="2:15" ht="12" customHeight="1" x14ac:dyDescent="0.25">
      <c r="B66" s="43"/>
      <c r="C66" s="43"/>
      <c r="D66" s="43"/>
      <c r="E66" s="43"/>
      <c r="F66" s="43"/>
      <c r="G66" s="43"/>
      <c r="H66" s="43"/>
      <c r="I66" s="43"/>
      <c r="J66" s="4"/>
      <c r="K66" s="4"/>
      <c r="L66" s="4"/>
      <c r="M66" s="4"/>
      <c r="N66" s="4"/>
    </row>
    <row r="67" spans="2:15" ht="12" customHeight="1" x14ac:dyDescent="0.25">
      <c r="B67" s="43"/>
      <c r="C67" s="43"/>
      <c r="D67" s="43"/>
      <c r="E67" s="43"/>
      <c r="F67" s="43"/>
      <c r="G67" s="43"/>
      <c r="H67" s="43"/>
      <c r="I67" s="43"/>
      <c r="J67" s="4"/>
      <c r="K67" s="4"/>
      <c r="L67" s="4"/>
      <c r="M67" s="4"/>
      <c r="N67" s="4"/>
    </row>
    <row r="68" spans="2:15" ht="12" customHeight="1" x14ac:dyDescent="0.25">
      <c r="B68" s="43"/>
      <c r="C68" s="43"/>
      <c r="D68" s="43"/>
      <c r="E68" s="43"/>
      <c r="F68" s="43"/>
      <c r="G68" s="43"/>
      <c r="H68" s="43"/>
      <c r="I68" s="43"/>
      <c r="J68" s="4"/>
      <c r="K68" s="4"/>
      <c r="L68" s="4"/>
      <c r="M68" s="4"/>
      <c r="N68" s="4"/>
    </row>
    <row r="69" spans="2:15" ht="12" customHeight="1" thickBot="1" x14ac:dyDescent="0.3"/>
    <row r="70" spans="2:15" ht="12" customHeight="1" x14ac:dyDescent="0.25">
      <c r="B70" s="1156" t="s">
        <v>390</v>
      </c>
      <c r="C70" s="1157"/>
      <c r="D70" s="1157"/>
      <c r="E70" s="1157"/>
      <c r="F70" s="1157"/>
      <c r="G70" s="1157"/>
      <c r="H70" s="1157"/>
      <c r="I70" s="1157"/>
      <c r="J70" s="1157"/>
      <c r="K70" s="1157"/>
      <c r="L70" s="1157"/>
      <c r="M70" s="1157"/>
      <c r="N70" s="1157"/>
      <c r="O70" s="1158"/>
    </row>
    <row r="71" spans="2:15" ht="12" customHeight="1" x14ac:dyDescent="0.25">
      <c r="B71" s="1272"/>
      <c r="C71" s="1273"/>
      <c r="D71" s="1273"/>
      <c r="E71" s="1273"/>
      <c r="F71" s="1273"/>
      <c r="G71" s="1273"/>
      <c r="H71" s="1273"/>
      <c r="I71" s="1273"/>
      <c r="J71" s="1273"/>
      <c r="K71" s="1273"/>
      <c r="L71" s="1273"/>
      <c r="M71" s="1273"/>
      <c r="N71" s="1273"/>
      <c r="O71" s="1274"/>
    </row>
    <row r="72" spans="2:15" ht="12" customHeight="1" x14ac:dyDescent="0.25">
      <c r="B72" s="1272"/>
      <c r="C72" s="1273"/>
      <c r="D72" s="1273"/>
      <c r="E72" s="1273"/>
      <c r="F72" s="1273"/>
      <c r="G72" s="1273"/>
      <c r="H72" s="1273"/>
      <c r="I72" s="1273"/>
      <c r="J72" s="1273"/>
      <c r="K72" s="1273"/>
      <c r="L72" s="1273"/>
      <c r="M72" s="1273"/>
      <c r="N72" s="1273"/>
      <c r="O72" s="1274"/>
    </row>
    <row r="73" spans="2:15" ht="12" customHeight="1" x14ac:dyDescent="0.25">
      <c r="B73" s="1272"/>
      <c r="C73" s="1273"/>
      <c r="D73" s="1273"/>
      <c r="E73" s="1273"/>
      <c r="F73" s="1273"/>
      <c r="G73" s="1273"/>
      <c r="H73" s="1273"/>
      <c r="I73" s="1273"/>
      <c r="J73" s="1273"/>
      <c r="K73" s="1273"/>
      <c r="L73" s="1273"/>
      <c r="M73" s="1273"/>
      <c r="N73" s="1273"/>
      <c r="O73" s="1274"/>
    </row>
    <row r="74" spans="2:15" ht="12" customHeight="1" x14ac:dyDescent="0.25">
      <c r="B74" s="1159"/>
      <c r="C74" s="1160"/>
      <c r="D74" s="1160"/>
      <c r="E74" s="1160"/>
      <c r="F74" s="1160"/>
      <c r="G74" s="1160"/>
      <c r="H74" s="1160"/>
      <c r="I74" s="1160"/>
      <c r="J74" s="1160"/>
      <c r="K74" s="1160"/>
      <c r="L74" s="1160"/>
      <c r="M74" s="1160"/>
      <c r="N74" s="1160"/>
      <c r="O74" s="1161"/>
    </row>
    <row r="75" spans="2:15" ht="12" customHeight="1" thickBot="1" x14ac:dyDescent="0.3">
      <c r="B75" s="4437"/>
      <c r="C75" s="4438"/>
      <c r="D75" s="4438"/>
      <c r="E75" s="4438"/>
      <c r="F75" s="4438"/>
      <c r="G75" s="4438"/>
      <c r="H75" s="4438"/>
      <c r="I75" s="4438"/>
      <c r="J75" s="4438"/>
      <c r="K75" s="4438"/>
      <c r="L75" s="4438"/>
      <c r="M75" s="4438"/>
      <c r="N75" s="4438"/>
      <c r="O75" s="4439"/>
    </row>
    <row r="76" spans="2:15" ht="12" customHeight="1" x14ac:dyDescent="0.25">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5"/>
  <cols>
    <col min="1" max="1" width="1.88671875" customWidth="1"/>
    <col min="2" max="2" width="51.5546875" customWidth="1"/>
    <col min="3" max="21" width="4.88671875" customWidth="1"/>
    <col min="22" max="23" width="9.88671875" customWidth="1"/>
    <col min="24" max="37" width="4.88671875" customWidth="1"/>
  </cols>
  <sheetData>
    <row r="1" spans="2:37" ht="17.25" customHeight="1" x14ac:dyDescent="0.25">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5">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5">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5">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5">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5">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3">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19999999999999" x14ac:dyDescent="0.25">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5" thickBot="1" x14ac:dyDescent="0.3">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5">
      <c r="B10" s="1288" t="s">
        <v>2100</v>
      </c>
      <c r="C10" s="2043">
        <f>IF(SUM(C11,C16,C20,C26,C33,C37)=0,"NO",SUM(C11,C16,C20,C26,C33,C37))</f>
        <v>96.2624</v>
      </c>
      <c r="D10" s="2044" t="str">
        <f t="shared" ref="D10:X10" si="0">IF(SUM(D11,D16,D20,D26,D33,D37)=0,"NO",SUM(D11,D16,D20,D26,D33,D37))</f>
        <v>NO</v>
      </c>
      <c r="E10" s="2044" t="str">
        <f t="shared" si="0"/>
        <v>NO</v>
      </c>
      <c r="F10" s="2044" t="str">
        <f t="shared" si="0"/>
        <v>NO</v>
      </c>
      <c r="G10" s="2044" t="str">
        <f t="shared" si="0"/>
        <v>NO</v>
      </c>
      <c r="H10" s="2044" t="str">
        <f t="shared" si="0"/>
        <v>NO</v>
      </c>
      <c r="I10" s="2044" t="str">
        <f t="shared" si="0"/>
        <v>NO</v>
      </c>
      <c r="J10" s="2044" t="str">
        <f t="shared" si="0"/>
        <v>NO</v>
      </c>
      <c r="K10" s="2044" t="str">
        <f t="shared" si="0"/>
        <v>NO</v>
      </c>
      <c r="L10" s="2044" t="str">
        <f t="shared" si="0"/>
        <v>NO</v>
      </c>
      <c r="M10" s="2044" t="str">
        <f t="shared" si="0"/>
        <v>NO</v>
      </c>
      <c r="N10" s="2044" t="str">
        <f t="shared" si="0"/>
        <v>NO</v>
      </c>
      <c r="O10" s="2044" t="str">
        <f t="shared" si="0"/>
        <v>NO</v>
      </c>
      <c r="P10" s="2044" t="str">
        <f t="shared" si="0"/>
        <v>NO</v>
      </c>
      <c r="Q10" s="2044" t="str">
        <f t="shared" si="0"/>
        <v>NO</v>
      </c>
      <c r="R10" s="2044" t="str">
        <f t="shared" si="0"/>
        <v>NO</v>
      </c>
      <c r="S10" s="2044" t="str">
        <f t="shared" si="0"/>
        <v>NO</v>
      </c>
      <c r="T10" s="2044" t="str">
        <f t="shared" si="0"/>
        <v>NO</v>
      </c>
      <c r="U10" s="2044" t="str">
        <f t="shared" si="0"/>
        <v>NO</v>
      </c>
      <c r="V10" s="2045" t="str">
        <f t="shared" si="0"/>
        <v>NO</v>
      </c>
      <c r="W10" s="2046"/>
      <c r="X10" s="2044">
        <f t="shared" si="0"/>
        <v>513.34962993060492</v>
      </c>
      <c r="Y10" s="2044">
        <f t="shared" ref="Y10" si="1">IF(SUM(Y11,Y16,Y20,Y26,Y33,Y37)=0,"NO",SUM(Y11,Y16,Y20,Y26,Y33,Y37))</f>
        <v>66.668783107549999</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9.6736708047799524</v>
      </c>
      <c r="AK10" s="2048" t="str">
        <f t="shared" si="9"/>
        <v>NO</v>
      </c>
    </row>
    <row r="11" spans="2:37" ht="18" customHeight="1" x14ac:dyDescent="0.25">
      <c r="B11" s="1288" t="s">
        <v>595</v>
      </c>
      <c r="C11" s="2049">
        <f>IF(SUM(C12,C15)=0,"NO",SUM(C12,C15))</f>
        <v>96.2624</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5">
      <c r="B12" s="1264" t="s">
        <v>596</v>
      </c>
      <c r="C12" s="2049">
        <f>IF(SUM(C13:C14)=0,"NO",SUM(C13:C14))</f>
        <v>96.2624</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5">
      <c r="B13" s="1289" t="s">
        <v>597</v>
      </c>
      <c r="C13" s="2049">
        <f>'Table2(II).B-Hs1'!G13</f>
        <v>96.2624</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5">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5">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5">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513.34962993060492</v>
      </c>
      <c r="Y16" s="2050">
        <f t="shared" ref="Y16" si="35">IF(SUM(Y17:Y19)=0,"NO",SUM(Y17:Y19))</f>
        <v>66.668783107549999</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t="str">
        <f t="shared" ref="AJ16" si="44">IF(SUM(AJ17:AJ19)=0,"NO",SUM(AJ17:AJ19))</f>
        <v>NO</v>
      </c>
      <c r="AK16" s="2048" t="str">
        <f t="shared" ref="AK16" si="45">IF(SUM(AK17:AK19)=0,"NO",SUM(AK17:AK19))</f>
        <v>NO</v>
      </c>
    </row>
    <row r="17" spans="2:37" ht="18" customHeight="1" x14ac:dyDescent="0.25">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513.34962993060492</v>
      </c>
      <c r="Y17" s="2050">
        <f>'Table2(II).B-Hs1'!G26</f>
        <v>66.668783107549999</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5">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t="str">
        <f>'Table2(II).B-Hs1'!G28</f>
        <v>NO</v>
      </c>
      <c r="AK18" s="2060"/>
    </row>
    <row r="19" spans="2:37" ht="18" customHeight="1" thickBot="1" x14ac:dyDescent="0.3">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5">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5">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5">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5">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5">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3">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5">
      <c r="B26" s="2420" t="s">
        <v>612</v>
      </c>
      <c r="C26" s="2068" t="str">
        <f>IF(SUM(C27:C32)=0,"NO",SUM(C27:C32))</f>
        <v>NO</v>
      </c>
      <c r="D26" s="2069" t="str">
        <f t="shared" ref="D26:AK26" si="58">IF(SUM(D27:D32)=0,"NO",SUM(D27:D32))</f>
        <v>NO</v>
      </c>
      <c r="E26" s="2069" t="str">
        <f t="shared" si="58"/>
        <v>NO</v>
      </c>
      <c r="F26" s="2069" t="str">
        <f t="shared" si="58"/>
        <v>NO</v>
      </c>
      <c r="G26" s="2069" t="str">
        <f t="shared" si="58"/>
        <v>NO</v>
      </c>
      <c r="H26" s="2069" t="str">
        <f t="shared" si="58"/>
        <v>NO</v>
      </c>
      <c r="I26" s="2069" t="str">
        <f t="shared" si="58"/>
        <v>NO</v>
      </c>
      <c r="J26" s="2069" t="str">
        <f t="shared" si="58"/>
        <v>NO</v>
      </c>
      <c r="K26" s="2069" t="str">
        <f t="shared" si="58"/>
        <v>NO</v>
      </c>
      <c r="L26" s="2069" t="str">
        <f t="shared" si="58"/>
        <v>NO</v>
      </c>
      <c r="M26" s="2069" t="str">
        <f t="shared" si="58"/>
        <v>NO</v>
      </c>
      <c r="N26" s="2069" t="str">
        <f t="shared" si="58"/>
        <v>NO</v>
      </c>
      <c r="O26" s="2069" t="str">
        <f t="shared" si="58"/>
        <v>NO</v>
      </c>
      <c r="P26" s="2069" t="str">
        <f t="shared" si="58"/>
        <v>NO</v>
      </c>
      <c r="Q26" s="2069" t="str">
        <f t="shared" si="58"/>
        <v>NO</v>
      </c>
      <c r="R26" s="2069" t="str">
        <f t="shared" si="58"/>
        <v>NO</v>
      </c>
      <c r="S26" s="2069" t="str">
        <f t="shared" si="58"/>
        <v>NO</v>
      </c>
      <c r="T26" s="2069" t="str">
        <f t="shared" si="58"/>
        <v>NO</v>
      </c>
      <c r="U26" s="2069" t="str">
        <f t="shared" si="58"/>
        <v>NO</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5">
      <c r="B27" s="1264" t="s">
        <v>603</v>
      </c>
      <c r="C27" s="2043" t="str">
        <f>IF(SUM('Table2(II).B-Hs2'!J13:M13,'Table2(II).B-Hs2'!J26:M26,'Table2(II).B-Hs2'!J39:M39,'Table2(II).B-Hs2'!J52:M52,'Table2(II).B-Hs2'!J65:M65,'Table2(II).B-Hs2'!J78:M78)=0,"NO",SUM('Table2(II).B-Hs2'!J13:M13,'Table2(II).B-Hs2'!J26:M26,'Table2(II).B-Hs2'!J39:M39,'Table2(II).B-Hs2'!J52:M52,'Table2(II).B-Hs2'!J65:M65,'Table2(II).B-Hs2'!J78:M78))</f>
        <v>NO</v>
      </c>
      <c r="D27" s="2044" t="str">
        <f>IF(SUM('Table2(II).B-Hs2'!J14:M14,'Table2(II).B-Hs2'!J27:M27,'Table2(II).B-Hs2'!J40:M40,'Table2(II).B-Hs2'!J53:M53,'Table2(II).B-Hs2'!J66:M66,'Table2(II).B-Hs2'!J79:M79)=0,"NO",SUM('Table2(II).B-Hs2'!J14:M14,'Table2(II).B-Hs2'!J27:M27,'Table2(II).B-Hs2'!J40:M40,'Table2(II).B-Hs2'!J53:M53,'Table2(II).B-Hs2'!J66:M66,'Table2(II).B-Hs2'!J79:M79))</f>
        <v>NO</v>
      </c>
      <c r="E27" s="2044" t="s">
        <v>2146</v>
      </c>
      <c r="F27" s="2044" t="str">
        <f>IF(SUM('Table2(II).B-Hs2'!J15:M15,'Table2(II).B-Hs2'!J28:M28,'Table2(II).B-Hs2'!J41:M41,'Table2(II).B-Hs2'!J54:M54,'Table2(II).B-Hs2'!J67:M67,'Table2(II).B-Hs2'!J80:M80)=0,"NO",SUM('Table2(II).B-Hs2'!J15:M15,'Table2(II).B-Hs2'!J28:M28,'Table2(II).B-Hs2'!J41:M41,'Table2(II).B-Hs2'!J54:M54,'Table2(II).B-Hs2'!J67:M67,'Table2(II).B-Hs2'!J80:M80))</f>
        <v>NO</v>
      </c>
      <c r="G27" s="2044" t="str">
        <f>IF(SUM('Table2(II).B-Hs2'!J16:M16,'Table2(II).B-Hs2'!J29:M29,'Table2(II).B-Hs2'!J42:M42,'Table2(II).B-Hs2'!J55:M55,'Table2(II).B-Hs2'!J68:M68,'Table2(II).B-Hs2'!J81:M81)=0,"NO",SUM('Table2(II).B-Hs2'!J16:M16,'Table2(II).B-Hs2'!J29:M29,'Table2(II).B-Hs2'!J42:M42,'Table2(II).B-Hs2'!J55:M55,'Table2(II).B-Hs2'!J68:M68,'Table2(II).B-Hs2'!J81:M81))</f>
        <v>NO</v>
      </c>
      <c r="H27" s="2044" t="str">
        <f>IF(SUM('Table2(II).B-Hs2'!J17:M17,'Table2(II).B-Hs2'!J30:M30,'Table2(II).B-Hs2'!J43:M43,'Table2(II).B-Hs2'!J56:M56,'Table2(II).B-Hs2'!J69:M69,'Table2(II).B-Hs2'!J82:M82)=0,"NO",SUM('Table2(II).B-Hs2'!J17:M17,'Table2(II).B-Hs2'!J30:M30,'Table2(II).B-Hs2'!J43:M43,'Table2(II).B-Hs2'!J56:M56,'Table2(II).B-Hs2'!J69:M69,'Table2(II).B-Hs2'!J82:M82))</f>
        <v>NO</v>
      </c>
      <c r="I27" s="2044" t="str">
        <f>IF(SUM('Table2(II).B-Hs2'!J18:M18,'Table2(II).B-Hs2'!J31:M31,'Table2(II).B-Hs2'!J44:M44,'Table2(II).B-Hs2'!J57:M57,'Table2(II).B-Hs2'!J70:M70,'Table2(II).B-Hs2'!J83:M83)=0,"NO",SUM('Table2(II).B-Hs2'!J18:M18,'Table2(II).B-Hs2'!J31:M31,'Table2(II).B-Hs2'!J44:M44,'Table2(II).B-Hs2'!J57:M57,'Table2(II).B-Hs2'!J70:M70,'Table2(II).B-Hs2'!J83:M83))</f>
        <v>NO</v>
      </c>
      <c r="J27" s="2044" t="s">
        <v>2146</v>
      </c>
      <c r="K27" s="2044" t="str">
        <f>IF(SUM('Table2(II).B-Hs2'!J19:M19,'Table2(II).B-Hs2'!J32:M32,'Table2(II).B-Hs2'!J45:M45,'Table2(II).B-Hs2'!J58:M58,'Table2(II).B-Hs2'!J71:M71,'Table2(II).B-Hs2'!J84:M84)=0,"NO",SUM('Table2(II).B-Hs2'!J19:M19,'Table2(II).B-Hs2'!J32:M32,'Table2(II).B-Hs2'!J45:M45,'Table2(II).B-Hs2'!J58:M58,'Table2(II).B-Hs2'!J71:M71,'Table2(II).B-Hs2'!J84:M84))</f>
        <v>NO</v>
      </c>
      <c r="L27" s="2044" t="s">
        <v>2146</v>
      </c>
      <c r="M27" s="2044" t="str">
        <f>IF(SUM('Table2(II).B-Hs2'!J20:M20,'Table2(II).B-Hs2'!J33:M33,'Table2(II).B-Hs2'!J46:M46,'Table2(II).B-Hs2'!J59:M59,'Table2(II).B-Hs2'!J72:M72,'Table2(II).B-Hs2'!J85:M85)=0,"NO",SUM('Table2(II).B-Hs2'!J20:M20,'Table2(II).B-Hs2'!J33:M33,'Table2(II).B-Hs2'!J46:M46,'Table2(II).B-Hs2'!J59:M59,'Table2(II).B-Hs2'!J72:M72,'Table2(II).B-Hs2'!J85:M85))</f>
        <v>NO</v>
      </c>
      <c r="N27" s="2044" t="s">
        <v>2146</v>
      </c>
      <c r="O27" s="2044" t="str">
        <f>IF(SUM('Table2(II).B-Hs2'!J21:M21,'Table2(II).B-Hs2'!J34:M34,'Table2(II).B-Hs2'!J47:M47,'Table2(II).B-Hs2'!J60:M60,'Table2(II).B-Hs2'!J73:M73,'Table2(II).B-Hs2'!J86:M86)=0,"NO",SUM('Table2(II).B-Hs2'!J21:M21,'Table2(II).B-Hs2'!J34:M34,'Table2(II).B-Hs2'!J47:M47,'Table2(II).B-Hs2'!J60:M60,'Table2(II).B-Hs2'!J73:M73,'Table2(II).B-Hs2'!J86:M86))</f>
        <v>NO</v>
      </c>
      <c r="P27" s="2044" t="s">
        <v>2146</v>
      </c>
      <c r="Q27" s="2044" t="s">
        <v>2146</v>
      </c>
      <c r="R27" s="2044" t="str">
        <f>IF(SUM('Table2(II).B-Hs2'!J22:M22,'Table2(II).B-Hs2'!J35:M35,'Table2(II).B-Hs2'!J48:M48,'Table2(II).B-Hs2'!J61:M61,'Table2(II).B-Hs2'!J74:M74,'Table2(II).B-Hs2'!J87:M87)=0,"NO",SUM('Table2(II).B-Hs2'!J22:M22,'Table2(II).B-Hs2'!J35:M35,'Table2(II).B-Hs2'!J48:M48,'Table2(II).B-Hs2'!J61:M61,'Table2(II).B-Hs2'!J74:M74,'Table2(II).B-Hs2'!J87:M87))</f>
        <v>NO</v>
      </c>
      <c r="S27" s="2044" t="s">
        <v>2146</v>
      </c>
      <c r="T27" s="2044" t="str">
        <f>IF(SUM('Table2(II).B-Hs2'!J23:M23,'Table2(II).B-Hs2'!J36:M36,'Table2(II).B-Hs2'!J49:M49,'Table2(II).B-Hs2'!J62:M62,'Table2(II).B-Hs2'!J75:M75,'Table2(II).B-Hs2'!J88:M88)=0,"NO",SUM('Table2(II).B-Hs2'!J23:M23,'Table2(II).B-Hs2'!J36:M36,'Table2(II).B-Hs2'!J49:M49,'Table2(II).B-Hs2'!J62:M62,'Table2(II).B-Hs2'!J75:M75,'Table2(II).B-Hs2'!J88:M88))</f>
        <v>NO</v>
      </c>
      <c r="U27" s="2044" t="str">
        <f>IF(SUM('Table2(II).B-Hs2'!J24:M24,'Table2(II).B-Hs2'!J37:M37,'Table2(II).B-Hs2'!J50:M50,'Table2(II).B-Hs2'!J63:M63,'Table2(II).B-Hs2'!J76:M76,'Table2(II).B-Hs2'!J89:M89)=0,"NO",SUM('Table2(II).B-Hs2'!J24:M24,'Table2(II).B-Hs2'!J37:M37,'Table2(II).B-Hs2'!J50:M50,'Table2(II).B-Hs2'!J63:M63,'Table2(II).B-Hs2'!J76:M76,'Table2(II).B-Hs2'!J89:M89))</f>
        <v>NO</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5">
      <c r="B28" s="1264" t="s">
        <v>604</v>
      </c>
      <c r="C28" s="2043" t="str">
        <f>IF(SUM('Table2(II).B-Hs2'!J92:M92,'Table2(II).B-Hs2'!J105:M105)=0,"NO",SUM('Table2(II).B-Hs2'!J92:M92,'Table2(II).B-Hs2'!J105:M105))</f>
        <v>NO</v>
      </c>
      <c r="D28" s="2044" t="str">
        <f>IF(SUM('Table2(II).B-Hs2'!J93:M93,'Table2(II).B-Hs2'!J106:M106)=0,"NO",SUM('Table2(II).B-Hs2'!J93:M93,'Table2(II).B-Hs2'!J106:M106))</f>
        <v>NO</v>
      </c>
      <c r="E28" s="2044" t="s">
        <v>2146</v>
      </c>
      <c r="F28" s="2044" t="str">
        <f>IF(SUM('Table2(II).B-Hs2'!J94:M94,'Table2(II).B-Hs2'!J107:M107)=0,"NO",SUM('Table2(II).B-Hs2'!J94:M94,'Table2(II).B-Hs2'!J107:M107))</f>
        <v>NO</v>
      </c>
      <c r="G28" s="2044" t="str">
        <f>IF(SUM('Table2(II).B-Hs2'!J95:M95,'Table2(II).B-Hs2'!J108:M108)=0,"NO",SUM('Table2(II).B-Hs2'!J95:M95,'Table2(II).B-Hs2'!J108:M108))</f>
        <v>NO</v>
      </c>
      <c r="H28" s="2044" t="str">
        <f>IF(SUM('Table2(II).B-Hs2'!J96:M96,'Table2(II).B-Hs2'!J109:M109)=0,"NO",SUM('Table2(II).B-Hs2'!J96:M96,'Table2(II).B-Hs2'!J109:M109))</f>
        <v>NO</v>
      </c>
      <c r="I28" s="2044" t="str">
        <f>IF(SUM('Table2(II).B-Hs2'!J97:M97,'Table2(II).B-Hs2'!J110:M110)=0,"NO",SUM('Table2(II).B-Hs2'!J97:M97,'Table2(II).B-Hs2'!J110:M110))</f>
        <v>NO</v>
      </c>
      <c r="J28" s="2044" t="s">
        <v>2146</v>
      </c>
      <c r="K28" s="2044" t="str">
        <f>IF(SUM('Table2(II).B-Hs2'!J98:M98,'Table2(II).B-Hs2'!J111:M111)=0,"NO",SUM('Table2(II).B-Hs2'!J98:M98,'Table2(II).B-Hs2'!J111:M111))</f>
        <v>NO</v>
      </c>
      <c r="L28" s="2044" t="s">
        <v>2146</v>
      </c>
      <c r="M28" s="2044" t="str">
        <f>IF(SUM('Table2(II).B-Hs2'!J99:M99,'Table2(II).B-Hs2'!J112:M112)=0,"NO",SUM('Table2(II).B-Hs2'!J99:M99,'Table2(II).B-Hs2'!J112:M112))</f>
        <v>NO</v>
      </c>
      <c r="N28" s="2044" t="s">
        <v>2146</v>
      </c>
      <c r="O28" s="2044" t="str">
        <f>IF(SUM('Table2(II).B-Hs2'!J100:M100,'Table2(II).B-Hs2'!J113:M113)=0,"NO",SUM('Table2(II).B-Hs2'!J100:M100,'Table2(II).B-Hs2'!J113:M113))</f>
        <v>NO</v>
      </c>
      <c r="P28" s="2044" t="s">
        <v>2146</v>
      </c>
      <c r="Q28" s="2044" t="s">
        <v>2146</v>
      </c>
      <c r="R28" s="2044" t="str">
        <f>IF(SUM('Table2(II).B-Hs2'!J101:M101,'Table2(II).B-Hs2'!J114:M114)=0,"NO",SUM('Table2(II).B-Hs2'!J101:M101,'Table2(II).B-Hs2'!J114:M114))</f>
        <v>NO</v>
      </c>
      <c r="S28" s="2044" t="s">
        <v>2146</v>
      </c>
      <c r="T28" s="2044" t="str">
        <f>IF(SUM('Table2(II).B-Hs2'!J102:M102,'Table2(II).B-Hs2'!J115:M115)=0,"NO",SUM('Table2(II).B-Hs2'!J102:M102,'Table2(II).B-Hs2'!J115:M115))</f>
        <v>NO</v>
      </c>
      <c r="U28" s="2044" t="str">
        <f>IF(SUM('Table2(II).B-Hs2'!J103:M103,'Table2(II).B-Hs2'!J116:M116)=0,"NO",SUM('Table2(II).B-Hs2'!J103:M103,'Table2(II).B-Hs2'!J116:M116))</f>
        <v>NO</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5">
      <c r="B29" s="1264" t="s">
        <v>605</v>
      </c>
      <c r="C29" s="2043" t="str">
        <f>IF(SUM('Table2(II).B-Hs2'!J118:M118)=0,"NO",SUM('Table2(II).B-Hs2'!J118:M118))</f>
        <v>NO</v>
      </c>
      <c r="D29" s="2044" t="str">
        <f>IF(SUM('Table2(II).B-Hs2'!J119:M119)=0,"NO",SUM('Table2(II).B-Hs2'!J119:M119))</f>
        <v>NO</v>
      </c>
      <c r="E29" s="2044" t="s">
        <v>2146</v>
      </c>
      <c r="F29" s="2044" t="str">
        <f>IF(SUM('Table2(II).B-Hs2'!J120:M120)=0,"NO",SUM('Table2(II).B-Hs2'!J120:M120))</f>
        <v>NO</v>
      </c>
      <c r="G29" s="2044" t="str">
        <f>IF(SUM('Table2(II).B-Hs2'!J121:M121)=0,"NO",SUM('Table2(II).B-Hs2'!J121:M121))</f>
        <v>NO</v>
      </c>
      <c r="H29" s="2044" t="str">
        <f>IF(SUM('Table2(II).B-Hs2'!J122:M122)=0,"NO",SUM('Table2(II).B-Hs2'!J122:M122))</f>
        <v>NO</v>
      </c>
      <c r="I29" s="2044" t="str">
        <f>IF(SUM('Table2(II).B-Hs2'!J123:M123)=0,"NO",SUM('Table2(II).B-Hs2'!J123:M123))</f>
        <v>NO</v>
      </c>
      <c r="J29" s="2044" t="s">
        <v>2146</v>
      </c>
      <c r="K29" s="2044" t="str">
        <f>IF(SUM('Table2(II).B-Hs2'!J124:M124)=0,"NO",SUM('Table2(II).B-Hs2'!J124:M124))</f>
        <v>NO</v>
      </c>
      <c r="L29" s="2044" t="s">
        <v>2146</v>
      </c>
      <c r="M29" s="2044" t="str">
        <f>IF(SUM('Table2(II).B-Hs2'!J125:M125)=0,"NO",SUM('Table2(II).B-Hs2'!J125:M125))</f>
        <v>NO</v>
      </c>
      <c r="N29" s="2044" t="s">
        <v>2146</v>
      </c>
      <c r="O29" s="2044" t="str">
        <f>IF(SUM('Table2(II).B-Hs2'!J126:M126)=0,"NO",SUM('Table2(II).B-Hs2'!J126:M126))</f>
        <v>NO</v>
      </c>
      <c r="P29" s="2044" t="s">
        <v>2146</v>
      </c>
      <c r="Q29" s="2044" t="s">
        <v>2146</v>
      </c>
      <c r="R29" s="2044" t="str">
        <f>IF(SUM('Table2(II).B-Hs2'!J127:M127)=0,"NO",SUM('Table2(II).B-Hs2'!J127:M127))</f>
        <v>NO</v>
      </c>
      <c r="S29" s="2044" t="s">
        <v>2146</v>
      </c>
      <c r="T29" s="2044" t="str">
        <f>IF(SUM('Table2(II).B-Hs2'!J128:M128)=0,"NO",SUM('Table2(II).B-Hs2'!J128:M128))</f>
        <v>NO</v>
      </c>
      <c r="U29" s="2044" t="str">
        <f>IF(SUM('Table2(II).B-Hs2'!J129:M129)=0,"NO",SUM('Table2(II).B-Hs2'!J129:M129))</f>
        <v>NO</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5">
      <c r="B30" s="1264" t="s">
        <v>606</v>
      </c>
      <c r="C30" s="2043" t="str">
        <f>IF(SUM('Table2(II).B-Hs2'!J132:M132)=0,"NO",SUM('Table2(II).B-Hs2'!J132:M132))</f>
        <v>NO</v>
      </c>
      <c r="D30" s="2044" t="str">
        <f>IF(SUM('Table2(II).B-Hs2'!J133:M133)=0,"NO",SUM('Table2(II).B-Hs2'!J133:M133))</f>
        <v>NO</v>
      </c>
      <c r="E30" s="2044" t="s">
        <v>2146</v>
      </c>
      <c r="F30" s="2044" t="str">
        <f>IF(SUM('Table2(II).B-Hs2'!J134:M134)=0,"NO",SUM('Table2(II).B-Hs2'!J134:M134))</f>
        <v>NO</v>
      </c>
      <c r="G30" s="2044" t="str">
        <f>IF(SUM('Table2(II).B-Hs2'!J135:M135)=0,"NO",SUM('Table2(II).B-Hs2'!J135:M135))</f>
        <v>NO</v>
      </c>
      <c r="H30" s="2044" t="str">
        <f>IF(SUM('Table2(II).B-Hs2'!J136:M136)=0,"NO",SUM('Table2(II).B-Hs2'!J136:M136))</f>
        <v>NO</v>
      </c>
      <c r="I30" s="2044" t="str">
        <f>IF(SUM('Table2(II).B-Hs2'!J137:M137)=0,"NO",SUM('Table2(II).B-Hs2'!J137:M137))</f>
        <v>NO</v>
      </c>
      <c r="J30" s="2044" t="s">
        <v>2146</v>
      </c>
      <c r="K30" s="2044" t="str">
        <f>IF(SUM('Table2(II).B-Hs2'!J138:M138)=0,"NO",SUM('Table2(II).B-Hs2'!J138:M138))</f>
        <v>NO</v>
      </c>
      <c r="L30" s="2044" t="s">
        <v>2146</v>
      </c>
      <c r="M30" s="2044" t="str">
        <f>IF(SUM('Table2(II).B-Hs2'!J139:M139)=0,"NO",SUM('Table2(II).B-Hs2'!J139:M139))</f>
        <v>NO</v>
      </c>
      <c r="N30" s="2044" t="s">
        <v>2146</v>
      </c>
      <c r="O30" s="2044" t="str">
        <f>IF(SUM('Table2(II).B-Hs2'!J140:M140)=0,"NO",SUM('Table2(II).B-Hs2'!J140:M140))</f>
        <v>NO</v>
      </c>
      <c r="P30" s="2044" t="s">
        <v>2146</v>
      </c>
      <c r="Q30" s="2044" t="s">
        <v>2146</v>
      </c>
      <c r="R30" s="2044" t="str">
        <f>IF(SUM('Table2(II).B-Hs2'!J141:M141)=0,"NO",SUM('Table2(II).B-Hs2'!J141:M141))</f>
        <v>NO</v>
      </c>
      <c r="S30" s="2044" t="s">
        <v>2146</v>
      </c>
      <c r="T30" s="2044" t="str">
        <f>IF(SUM('Table2(II).B-Hs2'!J142:M142)=0,"NO",SUM('Table2(II).B-Hs2'!J142:M142))</f>
        <v>NO</v>
      </c>
      <c r="U30" s="2044" t="str">
        <f>IF(SUM('Table2(II).B-Hs2'!J143:M143)=0,"NO",SUM('Table2(II).B-Hs2'!J143:M143))</f>
        <v>NO</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5">
      <c r="B31" s="1264" t="s">
        <v>607</v>
      </c>
      <c r="C31" s="2043" t="str">
        <f>IF(SUM('Table2(II).B-Hs2'!J147:M147)=0,"NO",SUM('Table2(II).B-Hs2'!J147:M147))</f>
        <v>NO</v>
      </c>
      <c r="D31" s="2044" t="str">
        <f>IF(SUM('Table2(II).B-Hs2'!J148:M148)=0,"NO",SUM('Table2(II).B-Hs2'!J148:M148))</f>
        <v>NO</v>
      </c>
      <c r="E31" s="2044" t="s">
        <v>2146</v>
      </c>
      <c r="F31" s="2044" t="str">
        <f>IF(SUM('Table2(II).B-Hs2'!J149:M149)=0,"NO",SUM('Table2(II).B-Hs2'!J149:M149))</f>
        <v>NO</v>
      </c>
      <c r="G31" s="2044" t="str">
        <f>IF(SUM('Table2(II).B-Hs2'!J150:M150)=0,"NO",SUM('Table2(II).B-Hs2'!J150:M150))</f>
        <v>NO</v>
      </c>
      <c r="H31" s="2044" t="str">
        <f>IF(SUM('Table2(II).B-Hs2'!J151:M151)=0,"NO",SUM('Table2(II).B-Hs2'!J151:M151))</f>
        <v>NO</v>
      </c>
      <c r="I31" s="2044" t="str">
        <f>IF(SUM('Table2(II).B-Hs2'!J152:M152)=0,"NO",SUM('Table2(II).B-Hs2'!J152:M152))</f>
        <v>NO</v>
      </c>
      <c r="J31" s="2044" t="s">
        <v>2146</v>
      </c>
      <c r="K31" s="2044" t="str">
        <f>IF(SUM('Table2(II).B-Hs2'!J153:M153)=0,"NO",SUM('Table2(II).B-Hs2'!J153:M153))</f>
        <v>NO</v>
      </c>
      <c r="L31" s="2044" t="s">
        <v>2146</v>
      </c>
      <c r="M31" s="2044" t="str">
        <f>IF(SUM('Table2(II).B-Hs2'!J154:M154)=0,"NO",SUM('Table2(II).B-Hs2'!J154:M154))</f>
        <v>NO</v>
      </c>
      <c r="N31" s="2044" t="s">
        <v>2146</v>
      </c>
      <c r="O31" s="2044" t="str">
        <f>IF(SUM('Table2(II).B-Hs2'!J155:M155)=0,"NO",SUM('Table2(II).B-Hs2'!J155:M155))</f>
        <v>NO</v>
      </c>
      <c r="P31" s="2044" t="s">
        <v>2146</v>
      </c>
      <c r="Q31" s="2044" t="s">
        <v>2146</v>
      </c>
      <c r="R31" s="2044" t="str">
        <f>IF(SUM('Table2(II).B-Hs2'!J156:M156)=0,"NO",SUM('Table2(II).B-Hs2'!J156:M156))</f>
        <v>NO</v>
      </c>
      <c r="S31" s="2044" t="s">
        <v>2146</v>
      </c>
      <c r="T31" s="2044" t="str">
        <f>IF(SUM('Table2(II).B-Hs2'!J157:M157)=0,"NO",SUM('Table2(II).B-Hs2'!J157:M157))</f>
        <v>NO</v>
      </c>
      <c r="U31" s="2044" t="str">
        <f>IF(SUM('Table2(II).B-Hs2'!J158:M158)=0,"NO",SUM('Table2(II).B-Hs2'!J158:M158))</f>
        <v>NO</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3">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5">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9.6736708047799524</v>
      </c>
      <c r="AK33" s="2075" t="str">
        <f t="shared" ref="AK33" si="71">IF(SUM(AK34:AK36)=0,"NO",SUM(AK34:AK36))</f>
        <v>NO</v>
      </c>
    </row>
    <row r="34" spans="2:37" ht="18" customHeight="1" x14ac:dyDescent="0.25">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9.0922755767967232</v>
      </c>
      <c r="AK34" s="2075" t="s">
        <v>2146</v>
      </c>
    </row>
    <row r="35" spans="2:37" ht="18" customHeight="1" x14ac:dyDescent="0.25">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0.58139522798322929</v>
      </c>
      <c r="AK35" s="2060"/>
    </row>
    <row r="36" spans="2:37" ht="18" customHeight="1" thickBot="1" x14ac:dyDescent="0.3">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3">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3">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5">
      <c r="B39" s="1288" t="s">
        <v>1871</v>
      </c>
      <c r="C39" s="4195">
        <f>IF(SUM(C40:C45)=0,"NO",SUM(C40:C45))</f>
        <v>1193.6537599999999</v>
      </c>
      <c r="D39" s="4196" t="str">
        <f t="shared" ref="D39:AK39" si="72">IF(SUM(D40:D45)=0,"NO",SUM(D40:D45))</f>
        <v>NO</v>
      </c>
      <c r="E39" s="4196" t="str">
        <f t="shared" si="72"/>
        <v>NO</v>
      </c>
      <c r="F39" s="4196" t="str">
        <f t="shared" si="72"/>
        <v>NO</v>
      </c>
      <c r="G39" s="4196" t="str">
        <f t="shared" si="72"/>
        <v>NO</v>
      </c>
      <c r="H39" s="4196" t="str">
        <f t="shared" si="72"/>
        <v>NO</v>
      </c>
      <c r="I39" s="4196" t="str">
        <f t="shared" si="72"/>
        <v>NO</v>
      </c>
      <c r="J39" s="4196" t="str">
        <f t="shared" si="72"/>
        <v>NO</v>
      </c>
      <c r="K39" s="4196" t="str">
        <f t="shared" si="72"/>
        <v>NO</v>
      </c>
      <c r="L39" s="4196" t="str">
        <f t="shared" si="72"/>
        <v>NO</v>
      </c>
      <c r="M39" s="4196" t="str">
        <f t="shared" si="72"/>
        <v>NO</v>
      </c>
      <c r="N39" s="4196" t="str">
        <f t="shared" si="72"/>
        <v>NO</v>
      </c>
      <c r="O39" s="4196" t="str">
        <f t="shared" si="72"/>
        <v>NO</v>
      </c>
      <c r="P39" s="4196" t="str">
        <f t="shared" si="72"/>
        <v>NO</v>
      </c>
      <c r="Q39" s="4196" t="str">
        <f t="shared" si="72"/>
        <v>NO</v>
      </c>
      <c r="R39" s="4196" t="str">
        <f t="shared" si="72"/>
        <v>NO</v>
      </c>
      <c r="S39" s="4196" t="str">
        <f t="shared" si="72"/>
        <v>NO</v>
      </c>
      <c r="T39" s="4196" t="str">
        <f t="shared" si="72"/>
        <v>NO</v>
      </c>
      <c r="U39" s="4196" t="str">
        <f t="shared" si="72"/>
        <v>NO</v>
      </c>
      <c r="V39" s="4196" t="str">
        <f t="shared" si="72"/>
        <v>NO</v>
      </c>
      <c r="W39" s="4196">
        <f t="shared" si="72"/>
        <v>1193.6537599999999</v>
      </c>
      <c r="X39" s="4196">
        <f t="shared" si="72"/>
        <v>3403.5080464399107</v>
      </c>
      <c r="Y39" s="4196">
        <f t="shared" si="72"/>
        <v>740.02349249380507</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4143.5315389337156</v>
      </c>
      <c r="AI39" s="4197" t="str">
        <f t="shared" si="72"/>
        <v>NO</v>
      </c>
      <c r="AJ39" s="4197">
        <f t="shared" si="72"/>
        <v>227.33126391232886</v>
      </c>
      <c r="AK39" s="2918" t="str">
        <f t="shared" si="72"/>
        <v>NO</v>
      </c>
    </row>
    <row r="40" spans="2:37" ht="18" customHeight="1" x14ac:dyDescent="0.25">
      <c r="B40" s="1292" t="s">
        <v>595</v>
      </c>
      <c r="C40" s="4198">
        <f>IF(SUM(C11)=0,"NO",C11*12400/1000)</f>
        <v>1193.6537599999999</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f>IF(SUM(C40:V40)=0,"NO",SUM(C40:V40))</f>
        <v>1193.6537599999999</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5">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3403.5080464399107</v>
      </c>
      <c r="Y41" s="4199">
        <f>IF(SUM(Y16)=0,"NO",Y16*11100/1000)</f>
        <v>740.02349249380507</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4143.5315389337156</v>
      </c>
      <c r="AI41" s="4200" t="str">
        <f>IF(SUM(AI16)=0,"NO",AI16*1/1000)</f>
        <v>NO</v>
      </c>
      <c r="AJ41" s="4200" t="str">
        <f>IF(SUM(AJ16)=0,"NO",AJ16*23500/1000)</f>
        <v>NO</v>
      </c>
      <c r="AK41" s="4201" t="str">
        <f>IF(SUM(AK16)=0,"NO",AK16*16100/1000)</f>
        <v>NO</v>
      </c>
    </row>
    <row r="42" spans="2:37" ht="18" customHeight="1" x14ac:dyDescent="0.25">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5">
      <c r="B43" s="1295" t="s">
        <v>612</v>
      </c>
      <c r="C43" s="4198" t="str">
        <f>IF(SUM(C26)=0,"NO",C26*12400/1000)</f>
        <v>NO</v>
      </c>
      <c r="D43" s="4199" t="str">
        <f>IF(SUM(D26)=0,"NO",D26*677/1000)</f>
        <v>NO</v>
      </c>
      <c r="E43" s="4199" t="str">
        <f>IF(SUM(E26)=0,"NO",E26*116/1000)</f>
        <v>NO</v>
      </c>
      <c r="F43" s="4199" t="str">
        <f>IF(SUM(F26)=0,"NO",F26*1650/1000)</f>
        <v>NO</v>
      </c>
      <c r="G43" s="4199" t="str">
        <f>IF(SUM(G26)=0,"NO",G26*3170/1000)</f>
        <v>NO</v>
      </c>
      <c r="H43" s="4199" t="str">
        <f>IF(SUM(H26)=0,"NO",H26*1120/1000)</f>
        <v>NO</v>
      </c>
      <c r="I43" s="4199" t="str">
        <f>IF(SUM(I26)=0,"NO",I26*1300/1000)</f>
        <v>NO</v>
      </c>
      <c r="J43" s="4199" t="str">
        <f>IF(SUM(J26)=0,"NO",J26*328/1000)</f>
        <v>NO</v>
      </c>
      <c r="K43" s="4199" t="str">
        <f>IF(SUM(K26)=0,"NO",K26*4800/1000)</f>
        <v>NO</v>
      </c>
      <c r="L43" s="4199" t="str">
        <f>IF(SUM(L26)=0,"NO",L26*16/1000)</f>
        <v>NO</v>
      </c>
      <c r="M43" s="4199" t="str">
        <f>IF(SUM(M26)=0,"NO",M26*138/1000)</f>
        <v>NO</v>
      </c>
      <c r="N43" s="4199" t="str">
        <f>IF(SUM(N26)=0,"NO",N26*4/1000)</f>
        <v>NO</v>
      </c>
      <c r="O43" s="4199" t="str">
        <f>IF(SUM(O26)=0,"NO",O26*3350/1000)</f>
        <v>NO</v>
      </c>
      <c r="P43" s="4199" t="str">
        <f>IF(SUM(P26)=0,"NO",P26*1210/1000)</f>
        <v>NO</v>
      </c>
      <c r="Q43" s="4199" t="str">
        <f>IF(SUM(Q26)=0,"NO",Q26*1330/1000)</f>
        <v>NO</v>
      </c>
      <c r="R43" s="4199" t="str">
        <f>IF(SUM(R26)=0,"NO",R26*8060/1000)</f>
        <v>NO</v>
      </c>
      <c r="S43" s="4199" t="str">
        <f>IF(SUM(S26)=0,"NO",S26*716/1000)</f>
        <v>NO</v>
      </c>
      <c r="T43" s="4199" t="str">
        <f>IF(SUM(T26)=0,"NO",T26*858/1000)</f>
        <v>NO</v>
      </c>
      <c r="U43" s="4199" t="str">
        <f>IF(SUM(U26)=0,"NO",U26*804/1000)</f>
        <v>NO</v>
      </c>
      <c r="V43" s="4199" t="str">
        <f>IF(SUM(V26)=0,"NO",V26*1/1000)</f>
        <v>NO</v>
      </c>
      <c r="W43" s="4199" t="str">
        <f t="shared" si="73"/>
        <v>NO</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5">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227.33126391232886</v>
      </c>
      <c r="AK44" s="4201" t="str">
        <f>IF(SUM(AK33)=0,"NO",AK33*16100/1000)</f>
        <v>NO</v>
      </c>
    </row>
    <row r="45" spans="2:37" ht="18" customHeight="1" thickBot="1" x14ac:dyDescent="0.3">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5">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5">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5">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5">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5">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5">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5">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3">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5">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5">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5">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5">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5">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3">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09375" defaultRowHeight="12" customHeight="1" x14ac:dyDescent="0.25"/>
  <cols>
    <col min="1" max="1" width="1.88671875" customWidth="1"/>
    <col min="2" max="2" width="50" customWidth="1"/>
    <col min="3" max="3" width="25.5546875" customWidth="1"/>
    <col min="4" max="4" width="10.44140625" customWidth="1"/>
    <col min="5" max="5" width="13.109375" customWidth="1"/>
    <col min="6" max="7" width="12.109375" customWidth="1"/>
    <col min="8" max="11" width="9.109375" bestFit="1" customWidth="1"/>
    <col min="12" max="12" width="9.5546875" customWidth="1"/>
    <col min="13" max="14" width="9.109375" bestFit="1" customWidth="1"/>
  </cols>
  <sheetData>
    <row r="1" spans="2:14" ht="15.75" customHeight="1" x14ac:dyDescent="0.3">
      <c r="B1" s="208" t="s">
        <v>485</v>
      </c>
      <c r="C1" s="208"/>
      <c r="D1" s="208"/>
      <c r="E1" s="208"/>
      <c r="F1" s="208"/>
      <c r="G1" s="208"/>
      <c r="H1" s="208"/>
      <c r="K1" s="208"/>
      <c r="N1" s="14" t="s">
        <v>2521</v>
      </c>
    </row>
    <row r="2" spans="2:14" ht="17.25" customHeight="1" x14ac:dyDescent="0.4">
      <c r="B2" s="215" t="s">
        <v>486</v>
      </c>
      <c r="N2" s="14" t="s">
        <v>2522</v>
      </c>
    </row>
    <row r="3" spans="2:14" ht="15.75" customHeight="1" x14ac:dyDescent="0.3">
      <c r="B3" s="215" t="s">
        <v>62</v>
      </c>
      <c r="J3" s="226"/>
      <c r="N3" s="14" t="s">
        <v>2144</v>
      </c>
    </row>
    <row r="4" spans="2:14" ht="12" customHeight="1" x14ac:dyDescent="0.3">
      <c r="B4" s="215"/>
      <c r="J4" s="226"/>
      <c r="N4" s="226"/>
    </row>
    <row r="5" spans="2:14" ht="12" hidden="1" customHeight="1" x14ac:dyDescent="0.3">
      <c r="B5" s="215"/>
      <c r="J5" s="226"/>
      <c r="N5" s="226"/>
    </row>
    <row r="6" spans="2:14" ht="12.75" customHeight="1" thickBot="1" x14ac:dyDescent="0.3">
      <c r="B6" s="2450" t="s">
        <v>64</v>
      </c>
      <c r="C6" s="253"/>
      <c r="D6" s="254"/>
      <c r="E6" s="254"/>
      <c r="F6" s="254"/>
      <c r="G6" s="254"/>
      <c r="H6" s="254"/>
      <c r="I6" s="254"/>
      <c r="J6" s="254"/>
      <c r="K6" s="254"/>
      <c r="L6" s="254"/>
      <c r="M6" s="254"/>
      <c r="N6" s="254"/>
    </row>
    <row r="7" spans="2:14" ht="14.25" customHeight="1" x14ac:dyDescent="0.25">
      <c r="B7" s="45" t="s">
        <v>326</v>
      </c>
      <c r="C7" s="177" t="s">
        <v>419</v>
      </c>
      <c r="D7" s="178"/>
      <c r="E7" s="177" t="s">
        <v>2017</v>
      </c>
      <c r="F7" s="178"/>
      <c r="G7" s="179"/>
      <c r="H7" s="177" t="s">
        <v>654</v>
      </c>
      <c r="I7" s="178"/>
      <c r="J7" s="179"/>
      <c r="K7" s="178" t="s">
        <v>2101</v>
      </c>
      <c r="L7" s="178"/>
      <c r="M7" s="178"/>
      <c r="N7" s="203"/>
    </row>
    <row r="8" spans="2:14" ht="39.6" x14ac:dyDescent="0.25">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3">
      <c r="B9" s="2094"/>
      <c r="C9" s="266" t="s">
        <v>2018</v>
      </c>
      <c r="D9" s="267" t="s">
        <v>73</v>
      </c>
      <c r="E9" s="2095" t="s">
        <v>489</v>
      </c>
      <c r="F9" s="2096"/>
      <c r="G9" s="2096"/>
      <c r="H9" s="1748" t="s">
        <v>73</v>
      </c>
      <c r="I9" s="344"/>
      <c r="J9" s="1772"/>
      <c r="K9" s="344" t="s">
        <v>73</v>
      </c>
      <c r="L9" s="344"/>
      <c r="M9" s="344"/>
      <c r="N9" s="345"/>
    </row>
    <row r="10" spans="2:14" ht="18" customHeight="1" thickTop="1" x14ac:dyDescent="0.25">
      <c r="B10" s="1276" t="s">
        <v>490</v>
      </c>
      <c r="C10" s="2097"/>
      <c r="D10" s="3779"/>
      <c r="E10" s="2134"/>
      <c r="F10" s="2134"/>
      <c r="G10" s="3780"/>
      <c r="H10" s="3192">
        <f>IF(SUM(H11:H14)=0,"IE",SUM(H11:H14))</f>
        <v>5489.5881371538135</v>
      </c>
      <c r="I10" s="628"/>
      <c r="J10" s="628"/>
      <c r="K10" s="3192" t="str">
        <f>IF(SUM(K11:K14)=0,"NO",SUM(K11:K14))</f>
        <v>NO</v>
      </c>
      <c r="L10" s="3192" t="str">
        <f>IF(SUM(L11:L14)=0,"NO",SUM(L11:L14))</f>
        <v>NO</v>
      </c>
      <c r="M10" s="628"/>
      <c r="N10" s="1838"/>
    </row>
    <row r="11" spans="2:14" ht="18" customHeight="1" x14ac:dyDescent="0.25">
      <c r="B11" s="287" t="s">
        <v>491</v>
      </c>
      <c r="C11" s="2099" t="s">
        <v>2181</v>
      </c>
      <c r="D11" s="691">
        <v>6205.4369999999999</v>
      </c>
      <c r="E11" s="1913">
        <f>IF(SUM($D11)=0,"NA",H11/$D11)</f>
        <v>0.55803833186929475</v>
      </c>
      <c r="F11" s="628"/>
      <c r="G11" s="628"/>
      <c r="H11" s="3180">
        <v>3462.8717120000006</v>
      </c>
      <c r="I11" s="628"/>
      <c r="J11" s="628"/>
      <c r="K11" s="3180" t="s">
        <v>2146</v>
      </c>
      <c r="L11" s="691" t="s">
        <v>2146</v>
      </c>
      <c r="M11" s="628"/>
      <c r="N11" s="1838"/>
    </row>
    <row r="12" spans="2:14" ht="18" customHeight="1" x14ac:dyDescent="0.25">
      <c r="B12" s="287" t="s">
        <v>492</v>
      </c>
      <c r="C12" s="2100" t="s">
        <v>2182</v>
      </c>
      <c r="D12" s="691">
        <v>1036.3688478984384</v>
      </c>
      <c r="E12" s="1913">
        <f>IF(SUM($D12)=0,"NA",H12/$D12)</f>
        <v>0.74816397192122164</v>
      </c>
      <c r="F12" s="628"/>
      <c r="G12" s="628"/>
      <c r="H12" s="3180">
        <v>775.37383361911611</v>
      </c>
      <c r="I12" s="628"/>
      <c r="J12" s="628"/>
      <c r="K12" s="3180" t="s">
        <v>2146</v>
      </c>
      <c r="L12" s="691" t="s">
        <v>2146</v>
      </c>
      <c r="M12" s="628"/>
      <c r="N12" s="1838"/>
    </row>
    <row r="13" spans="2:14" ht="18" customHeight="1" x14ac:dyDescent="0.25">
      <c r="B13" s="287" t="s">
        <v>493</v>
      </c>
      <c r="C13" s="2100" t="s">
        <v>2267</v>
      </c>
      <c r="D13" s="691">
        <v>218.69085704456836</v>
      </c>
      <c r="E13" s="1913">
        <f>IF(SUM($D13)=0,"NA",H13/$D13)</f>
        <v>0.39573900000000001</v>
      </c>
      <c r="F13" s="628"/>
      <c r="G13" s="628"/>
      <c r="H13" s="3180">
        <v>86.54450107596044</v>
      </c>
      <c r="I13" s="628"/>
      <c r="J13" s="628"/>
      <c r="K13" s="3180" t="s">
        <v>2146</v>
      </c>
      <c r="L13" s="691" t="s">
        <v>2146</v>
      </c>
      <c r="M13" s="628"/>
      <c r="N13" s="1838"/>
    </row>
    <row r="14" spans="2:14" ht="18" customHeight="1" x14ac:dyDescent="0.25">
      <c r="B14" s="287" t="s">
        <v>494</v>
      </c>
      <c r="C14" s="2101"/>
      <c r="D14" s="1879"/>
      <c r="E14" s="1879"/>
      <c r="F14" s="628"/>
      <c r="G14" s="628"/>
      <c r="H14" s="3193">
        <f>IF(SUM(H15:H18)=0,"IE",SUM(H15:H18))</f>
        <v>1164.7980904587366</v>
      </c>
      <c r="I14" s="628"/>
      <c r="J14" s="628"/>
      <c r="K14" s="3193" t="str">
        <f>IF(SUM(K15:K18)=0,"NO",SUM(K15:K18))</f>
        <v>NO</v>
      </c>
      <c r="L14" s="3193" t="str">
        <f>IF(SUM(L15:L18)=0,"NO",SUM(L15:L18))</f>
        <v>NO</v>
      </c>
      <c r="M14" s="628"/>
      <c r="N14" s="1838"/>
    </row>
    <row r="15" spans="2:14" ht="18" customHeight="1" x14ac:dyDescent="0.25">
      <c r="B15" s="160" t="s">
        <v>495</v>
      </c>
      <c r="C15" s="484" t="s">
        <v>2315</v>
      </c>
      <c r="D15" s="2905" t="s">
        <v>2147</v>
      </c>
      <c r="E15" s="1913" t="str">
        <f>IF(SUM($D15)=0,"NA",H15/$D15)</f>
        <v>NA</v>
      </c>
      <c r="F15" s="628"/>
      <c r="G15" s="628"/>
      <c r="H15" s="3180">
        <v>44.071170805133335</v>
      </c>
      <c r="I15" s="628"/>
      <c r="J15" s="628"/>
      <c r="K15" s="3180" t="s">
        <v>2146</v>
      </c>
      <c r="L15" s="691" t="s">
        <v>2146</v>
      </c>
      <c r="M15" s="628"/>
      <c r="N15" s="1838"/>
    </row>
    <row r="16" spans="2:14" ht="18" customHeight="1" x14ac:dyDescent="0.25">
      <c r="B16" s="160" t="s">
        <v>496</v>
      </c>
      <c r="C16" s="484" t="s">
        <v>2316</v>
      </c>
      <c r="D16" s="2905">
        <v>450</v>
      </c>
      <c r="E16" s="1913">
        <f>IF(SUM($D16)=0,"NA",H16/$D16)</f>
        <v>0.41492000000000001</v>
      </c>
      <c r="F16" s="628"/>
      <c r="G16" s="628"/>
      <c r="H16" s="3180">
        <v>186.714</v>
      </c>
      <c r="I16" s="628"/>
      <c r="J16" s="628"/>
      <c r="K16" s="3180" t="s">
        <v>2146</v>
      </c>
      <c r="L16" s="691" t="s">
        <v>2146</v>
      </c>
      <c r="M16" s="628"/>
      <c r="N16" s="1838"/>
    </row>
    <row r="17" spans="2:14" ht="18" customHeight="1" x14ac:dyDescent="0.25">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5">
      <c r="B18" s="160" t="s">
        <v>2102</v>
      </c>
      <c r="C18" s="2101"/>
      <c r="D18" s="1879"/>
      <c r="E18" s="1879"/>
      <c r="F18" s="628"/>
      <c r="G18" s="628"/>
      <c r="H18" s="3181">
        <f>SUM(H19:H21)</f>
        <v>934.01291965360338</v>
      </c>
      <c r="I18" s="628"/>
      <c r="J18" s="628"/>
      <c r="K18" s="3181" t="str">
        <f>K19</f>
        <v>NO</v>
      </c>
      <c r="L18" s="3193" t="str">
        <f>L19</f>
        <v>NO</v>
      </c>
      <c r="M18" s="628"/>
      <c r="N18" s="1838"/>
    </row>
    <row r="19" spans="2:14" ht="18" customHeight="1" x14ac:dyDescent="0.25">
      <c r="B19" s="3182" t="s">
        <v>2265</v>
      </c>
      <c r="C19" s="484" t="s">
        <v>2267</v>
      </c>
      <c r="D19" s="2905">
        <v>2056.4011829554315</v>
      </c>
      <c r="E19" s="1913">
        <f>IF(SUM($D19)=0,"NA",H19/$D19)</f>
        <v>0.41539417246051702</v>
      </c>
      <c r="F19" s="628"/>
      <c r="G19" s="628"/>
      <c r="H19" s="3180">
        <v>854.21706764059968</v>
      </c>
      <c r="I19" s="628"/>
      <c r="J19" s="628"/>
      <c r="K19" s="3180" t="s">
        <v>2146</v>
      </c>
      <c r="L19" s="3180" t="s">
        <v>2146</v>
      </c>
      <c r="M19" s="628"/>
      <c r="N19" s="1838"/>
    </row>
    <row r="20" spans="2:14" ht="18" customHeight="1" x14ac:dyDescent="0.25">
      <c r="B20" s="3183" t="s">
        <v>2264</v>
      </c>
      <c r="C20" s="484" t="s">
        <v>2267</v>
      </c>
      <c r="D20" s="2905">
        <v>72.690810782229249</v>
      </c>
      <c r="E20" s="1913">
        <f>IF(SUM($D20)=0,"NA",H20/$D20)</f>
        <v>0.47385994877939991</v>
      </c>
      <c r="F20" s="628"/>
      <c r="G20" s="628"/>
      <c r="H20" s="3180">
        <v>34.445263874000204</v>
      </c>
      <c r="I20" s="628"/>
      <c r="J20" s="628"/>
      <c r="K20" s="3180" t="s">
        <v>2146</v>
      </c>
      <c r="L20" s="3180" t="s">
        <v>2146</v>
      </c>
      <c r="M20" s="2135"/>
      <c r="N20" s="2149"/>
    </row>
    <row r="21" spans="2:14" ht="18" customHeight="1" thickBot="1" x14ac:dyDescent="0.3">
      <c r="B21" s="3183" t="s">
        <v>2266</v>
      </c>
      <c r="C21" s="484" t="s">
        <v>2267</v>
      </c>
      <c r="D21" s="2905">
        <v>606.11108149999995</v>
      </c>
      <c r="E21" s="1913">
        <f>IF(SUM($D21)=0,"NA",H21/$D21)</f>
        <v>7.4822238898470811E-2</v>
      </c>
      <c r="F21" s="628"/>
      <c r="G21" s="628"/>
      <c r="H21" s="3180">
        <v>45.350588139003506</v>
      </c>
      <c r="I21" s="628"/>
      <c r="J21" s="628"/>
      <c r="K21" s="3180" t="s">
        <v>2146</v>
      </c>
      <c r="L21" s="3180" t="s">
        <v>2146</v>
      </c>
      <c r="M21" s="2135"/>
      <c r="N21" s="2149"/>
    </row>
    <row r="22" spans="2:14" ht="18" customHeight="1" x14ac:dyDescent="0.25">
      <c r="B22" s="1278" t="s">
        <v>498</v>
      </c>
      <c r="C22" s="2102"/>
      <c r="D22" s="3052"/>
      <c r="E22" s="3081"/>
      <c r="F22" s="1929"/>
      <c r="G22" s="1930"/>
      <c r="H22" s="3067">
        <f>IF(SUM(H23:H26,H30,H33:H35,H47)=0,"IE",SUM(H23:H26,H30,H33:H35,H47))</f>
        <v>1143.8498648904385</v>
      </c>
      <c r="I22" s="3067">
        <f>IF(SUM(I23:I26,I30,I33:I35,I47)=0,"IE",SUM(I23:I26,I30,I33:I35,I47))</f>
        <v>0.43762607399999998</v>
      </c>
      <c r="J22" s="3067">
        <f>IF(SUM(J23:J26,J30,J33:J35,J47)=0,"IE",SUM(J23:J26,J30,J33:J35,J47))</f>
        <v>3.33906306</v>
      </c>
      <c r="K22" s="3067">
        <f>IF(SUM(K23:K26,K30,K33:K35,K47)=0,"NO",SUM(K23:K26,K30,K33:K35,K47))</f>
        <v>-89.160161909491293</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5">
      <c r="B23" s="287" t="s">
        <v>499</v>
      </c>
      <c r="C23" s="484" t="s">
        <v>220</v>
      </c>
      <c r="D23" s="691">
        <v>447.77340178600002</v>
      </c>
      <c r="E23" s="1913">
        <f>IF(SUM($D23)=0,"NA",H23/$D23)</f>
        <v>1.4136602286831954</v>
      </c>
      <c r="F23" s="1913" t="str">
        <f>IFERROR(IF(SUM($D23)=0,"NA",I23/$D23),"NA")</f>
        <v>NA</v>
      </c>
      <c r="G23" s="1913" t="str">
        <f>IFERROR(IF(SUM($D23)=0,"NA",J23/$D23),"NA")</f>
        <v>NA</v>
      </c>
      <c r="H23" s="691">
        <v>632.99944956704917</v>
      </c>
      <c r="I23" s="691" t="s">
        <v>2146</v>
      </c>
      <c r="J23" s="691" t="s">
        <v>2146</v>
      </c>
      <c r="K23" s="3180">
        <v>-89.160161909491293</v>
      </c>
      <c r="L23" s="691" t="s">
        <v>2146</v>
      </c>
      <c r="M23" s="691" t="s">
        <v>2146</v>
      </c>
      <c r="N23" s="2911" t="s">
        <v>2146</v>
      </c>
    </row>
    <row r="24" spans="2:14" ht="18" customHeight="1" x14ac:dyDescent="0.25">
      <c r="B24" s="287" t="s">
        <v>500</v>
      </c>
      <c r="C24" s="484" t="s">
        <v>220</v>
      </c>
      <c r="D24" s="691">
        <v>297.197</v>
      </c>
      <c r="E24" s="2108"/>
      <c r="F24" s="2108"/>
      <c r="G24" s="1913">
        <f>IF(SUM($D24)=0,"NA",J24/$D24)</f>
        <v>1.1235184271712028E-2</v>
      </c>
      <c r="H24" s="2108"/>
      <c r="I24" s="2108"/>
      <c r="J24" s="691">
        <v>3.33906306</v>
      </c>
      <c r="K24" s="3194"/>
      <c r="L24" s="2108"/>
      <c r="M24" s="2108"/>
      <c r="N24" s="2911" t="s">
        <v>2146</v>
      </c>
    </row>
    <row r="25" spans="2:14" ht="18" customHeight="1" x14ac:dyDescent="0.25">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5">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5">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5">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5">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5">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5">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5">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5">
      <c r="B33" s="1280" t="s">
        <v>508</v>
      </c>
      <c r="C33" s="2100" t="s">
        <v>220</v>
      </c>
      <c r="D33" s="691" t="s">
        <v>2184</v>
      </c>
      <c r="E33" s="1913" t="str">
        <f t="shared" si="0"/>
        <v>NA</v>
      </c>
      <c r="F33" s="1879"/>
      <c r="G33" s="628"/>
      <c r="H33" s="691">
        <v>415.11969387755096</v>
      </c>
      <c r="I33" s="1879"/>
      <c r="J33" s="628"/>
      <c r="K33" s="691" t="s">
        <v>2146</v>
      </c>
      <c r="L33" s="691" t="s">
        <v>2146</v>
      </c>
      <c r="M33" s="1879"/>
      <c r="N33" s="1838"/>
    </row>
    <row r="34" spans="2:16" ht="18" customHeight="1" x14ac:dyDescent="0.25">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5">
      <c r="B35" s="1280" t="s">
        <v>510</v>
      </c>
      <c r="C35" s="2101"/>
      <c r="D35" s="1879"/>
      <c r="E35" s="1879"/>
      <c r="F35" s="1879"/>
      <c r="G35" s="2108"/>
      <c r="H35" s="3196" t="str">
        <f>H46</f>
        <v>NO</v>
      </c>
      <c r="I35" s="3196">
        <f>I46</f>
        <v>0.43762607399999998</v>
      </c>
      <c r="J35" s="628"/>
      <c r="K35" s="3196" t="str">
        <f>IF(SUM(K36:K42)=0,"NO",SUM(K36:K42))</f>
        <v>NO</v>
      </c>
      <c r="L35" s="3196" t="str">
        <f>IF(SUM(L36:L42)=0,"NO",SUM(L36:L42))</f>
        <v>NO</v>
      </c>
      <c r="M35" s="3196" t="str">
        <f>IF(SUM(M36:M42)=0,"NO",SUM(M36:M42))</f>
        <v>NO</v>
      </c>
      <c r="N35" s="1838"/>
    </row>
    <row r="36" spans="2:16" ht="18" customHeight="1" x14ac:dyDescent="0.25">
      <c r="B36" s="282" t="s">
        <v>511</v>
      </c>
      <c r="C36" s="2100" t="s">
        <v>220</v>
      </c>
      <c r="D36" s="691" t="s">
        <v>2184</v>
      </c>
      <c r="E36" s="1913" t="str">
        <f t="shared" ref="E36:F41" si="1">IF(SUM($D36)=0,"NA",H36/$D36)</f>
        <v>NA</v>
      </c>
      <c r="F36" s="1913" t="str">
        <f t="shared" si="1"/>
        <v>NA</v>
      </c>
      <c r="G36" s="628"/>
      <c r="H36" s="691" t="str">
        <f>IF(H$46="NO","NO","IE")</f>
        <v>NO</v>
      </c>
      <c r="I36" s="691" t="s">
        <v>2153</v>
      </c>
      <c r="J36" s="628"/>
      <c r="K36" s="3180" t="s">
        <v>2146</v>
      </c>
      <c r="L36" s="3180" t="s">
        <v>2146</v>
      </c>
      <c r="M36" s="3180" t="s">
        <v>2146</v>
      </c>
      <c r="N36" s="1838"/>
      <c r="P36" s="1788"/>
    </row>
    <row r="37" spans="2:16" ht="18" customHeight="1" x14ac:dyDescent="0.25">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5">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5">
      <c r="B39" s="282" t="s">
        <v>514</v>
      </c>
      <c r="C39" s="2100" t="s">
        <v>220</v>
      </c>
      <c r="D39" s="691" t="s">
        <v>2184</v>
      </c>
      <c r="E39" s="1913" t="str">
        <f t="shared" si="1"/>
        <v>NA</v>
      </c>
      <c r="F39" s="1913" t="str">
        <f t="shared" si="1"/>
        <v>NA</v>
      </c>
      <c r="G39" s="628"/>
      <c r="H39" s="691" t="str">
        <f>IF(H$46="NO","NO","IE")</f>
        <v>NO</v>
      </c>
      <c r="I39" s="691" t="s">
        <v>2146</v>
      </c>
      <c r="J39" s="628"/>
      <c r="K39" s="3180" t="s">
        <v>2146</v>
      </c>
      <c r="L39" s="3180" t="s">
        <v>2146</v>
      </c>
      <c r="M39" s="3180" t="s">
        <v>2146</v>
      </c>
      <c r="N39" s="1838"/>
    </row>
    <row r="40" spans="2:16" ht="18" customHeight="1" x14ac:dyDescent="0.25">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5">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5">
      <c r="B42" s="282" t="s">
        <v>517</v>
      </c>
      <c r="C42" s="621"/>
      <c r="D42" s="628"/>
      <c r="E42" s="628"/>
      <c r="F42" s="628"/>
      <c r="G42" s="628"/>
      <c r="H42" s="3198" t="str">
        <f>IF(SUM(H44:H45)=0,"NO",SUM(H44:H45))</f>
        <v>NO</v>
      </c>
      <c r="I42" s="3198">
        <f>IF(SUM(I44:I45)=0,"NO",SUM(I44:I45))</f>
        <v>0.43762607399999998</v>
      </c>
      <c r="J42" s="628"/>
      <c r="K42" s="3198" t="str">
        <f>IF(SUM(K44:K45)=0,"NO",SUM(K44:K45))</f>
        <v>NO</v>
      </c>
      <c r="L42" s="3198" t="str">
        <f>IF(SUM(L44:L45)=0,"NO",SUM(L44:L45))</f>
        <v>NO</v>
      </c>
      <c r="M42" s="3198" t="str">
        <f>IF(SUM(M44:M45)=0,"NO",SUM(M44:M45))</f>
        <v>NO</v>
      </c>
      <c r="N42" s="1838"/>
    </row>
    <row r="43" spans="2:16" ht="18" customHeight="1" x14ac:dyDescent="0.25">
      <c r="B43" s="1282" t="s">
        <v>203</v>
      </c>
      <c r="C43" s="2103"/>
      <c r="D43" s="3097"/>
      <c r="E43" s="3097"/>
      <c r="F43" s="3097"/>
      <c r="G43" s="3097"/>
      <c r="H43" s="3097"/>
      <c r="I43" s="3097"/>
      <c r="J43" s="3097"/>
      <c r="K43" s="3097"/>
      <c r="L43" s="3097"/>
      <c r="M43" s="3097"/>
      <c r="N43" s="3111"/>
    </row>
    <row r="44" spans="2:16" ht="18" customHeight="1" x14ac:dyDescent="0.25">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5">
      <c r="B45" s="1282" t="s">
        <v>519</v>
      </c>
      <c r="C45" s="621"/>
      <c r="D45" s="628"/>
      <c r="E45" s="628"/>
      <c r="F45" s="628"/>
      <c r="G45" s="628"/>
      <c r="H45" s="3198" t="str">
        <f>H46</f>
        <v>NO</v>
      </c>
      <c r="I45" s="3198">
        <f>I46</f>
        <v>0.43762607399999998</v>
      </c>
      <c r="J45" s="628"/>
      <c r="K45" s="3198" t="str">
        <f>K46</f>
        <v>NO</v>
      </c>
      <c r="L45" s="3198" t="str">
        <f>L46</f>
        <v>NO</v>
      </c>
      <c r="M45" s="3198" t="str">
        <f>M46</f>
        <v>NO</v>
      </c>
      <c r="N45" s="1838"/>
    </row>
    <row r="46" spans="2:16" ht="18" customHeight="1" x14ac:dyDescent="0.25">
      <c r="B46" s="3184" t="s">
        <v>2268</v>
      </c>
      <c r="C46" s="2100" t="s">
        <v>220</v>
      </c>
      <c r="D46" s="691" t="s">
        <v>2184</v>
      </c>
      <c r="E46" s="1913" t="str">
        <f>IF(SUM($D46)=0,"NA",H46/$D46)</f>
        <v>NA</v>
      </c>
      <c r="F46" s="1913" t="str">
        <f>IF(SUM($D46)=0,"NA",I46/$D46)</f>
        <v>NA</v>
      </c>
      <c r="G46" s="628"/>
      <c r="H46" s="691" t="s">
        <v>2146</v>
      </c>
      <c r="I46" s="691">
        <v>0.43762607399999998</v>
      </c>
      <c r="J46" s="628"/>
      <c r="K46" s="691" t="s">
        <v>2146</v>
      </c>
      <c r="L46" s="691" t="s">
        <v>2146</v>
      </c>
      <c r="M46" s="691" t="s">
        <v>2146</v>
      </c>
      <c r="N46" s="1838"/>
    </row>
    <row r="47" spans="2:16" ht="18" customHeight="1" x14ac:dyDescent="0.25">
      <c r="B47" s="287" t="s">
        <v>520</v>
      </c>
      <c r="C47" s="2104"/>
      <c r="D47" s="628"/>
      <c r="E47" s="628"/>
      <c r="F47" s="628"/>
      <c r="G47" s="628"/>
      <c r="H47" s="3198">
        <f>H50</f>
        <v>95.730721445838583</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5">
      <c r="B48" s="1242" t="s">
        <v>203</v>
      </c>
      <c r="C48" s="2103"/>
      <c r="D48" s="2285"/>
      <c r="E48" s="2285"/>
      <c r="F48" s="2285"/>
      <c r="G48" s="2285"/>
      <c r="H48" s="3097"/>
      <c r="I48" s="3097"/>
      <c r="J48" s="3097"/>
      <c r="K48" s="3097"/>
      <c r="L48" s="3097"/>
      <c r="M48" s="3097"/>
      <c r="N48" s="3111"/>
    </row>
    <row r="49" spans="2:14" ht="18" customHeight="1" x14ac:dyDescent="0.25">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5">
      <c r="B50" s="2416" t="s">
        <v>522</v>
      </c>
      <c r="C50" s="2385"/>
      <c r="D50" s="2386"/>
      <c r="E50" s="2386"/>
      <c r="F50" s="2386"/>
      <c r="G50" s="2386"/>
      <c r="H50" s="3095">
        <f>H51</f>
        <v>95.730721445838583</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3">
      <c r="B51" s="3185" t="s">
        <v>2269</v>
      </c>
      <c r="C51" s="506" t="s">
        <v>220</v>
      </c>
      <c r="D51" s="245" t="s">
        <v>2184</v>
      </c>
      <c r="E51" s="511" t="str">
        <f>IF(SUM($D51)=0,"NA",H51/$D51)</f>
        <v>NA</v>
      </c>
      <c r="F51" s="511" t="str">
        <f>IF(SUM($D51)=0,"NA",I51/$D51)</f>
        <v>NA</v>
      </c>
      <c r="G51" s="511" t="str">
        <f>IF(SUM($D51)=0,"NA",J51/$D51)</f>
        <v>NA</v>
      </c>
      <c r="H51" s="3137">
        <v>95.730721445838583</v>
      </c>
      <c r="I51" s="3137" t="s">
        <v>2146</v>
      </c>
      <c r="J51" s="3137" t="s">
        <v>2146</v>
      </c>
      <c r="K51" s="3202" t="s">
        <v>2184</v>
      </c>
      <c r="L51" s="3137" t="s">
        <v>2184</v>
      </c>
      <c r="M51" s="3137" t="s">
        <v>2146</v>
      </c>
      <c r="N51" s="3203" t="s">
        <v>2146</v>
      </c>
    </row>
    <row r="52" spans="2:14" s="83" customFormat="1" ht="18" customHeight="1" x14ac:dyDescent="0.25">
      <c r="B52" s="1276" t="s">
        <v>523</v>
      </c>
      <c r="C52" s="2105"/>
      <c r="D52" s="231"/>
      <c r="E52" s="2098"/>
      <c r="F52" s="2098"/>
      <c r="G52" s="2106"/>
      <c r="H52" s="3067">
        <f>IF(SUM(H53,H62:H67)=0,"IE",SUM(H53,H62:H67))</f>
        <v>11644.473410340323</v>
      </c>
      <c r="I52" s="3192">
        <f>IF(SUM(I53,I62:I67)=0,"IE",SUM(I53,I62:I67))</f>
        <v>2.8270217935884054</v>
      </c>
      <c r="J52" s="1909">
        <f>J67</f>
        <v>7.4738578775190162E-2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5">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5">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5">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5">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5">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5">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5">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5">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5">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5">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5">
      <c r="B63" s="287" t="s">
        <v>532</v>
      </c>
      <c r="C63" s="2604" t="s">
        <v>220</v>
      </c>
      <c r="D63" s="4179">
        <v>1235</v>
      </c>
      <c r="E63" s="4130">
        <f>IF(SUM($D63)=0,"NA",H63/$D63)</f>
        <v>1.6664799557239485</v>
      </c>
      <c r="F63" s="1892"/>
      <c r="G63" s="2107"/>
      <c r="H63" s="691">
        <v>2058.1027453190763</v>
      </c>
      <c r="I63" s="1879"/>
      <c r="J63" s="2108"/>
      <c r="K63" s="3180" t="s">
        <v>2146</v>
      </c>
      <c r="L63" s="691" t="s">
        <v>2146</v>
      </c>
      <c r="M63" s="3119"/>
      <c r="N63" s="2109"/>
    </row>
    <row r="64" spans="2:14" s="83" customFormat="1" ht="18" customHeight="1" x14ac:dyDescent="0.25">
      <c r="B64" s="1283" t="s">
        <v>533</v>
      </c>
      <c r="C64" s="2604" t="s">
        <v>2188</v>
      </c>
      <c r="D64" s="277" t="s">
        <v>2146</v>
      </c>
      <c r="E64" s="276" t="str">
        <f>IF(SUM($D64)=0,"NA",H64/$D64)</f>
        <v>NA</v>
      </c>
      <c r="F64" s="1892"/>
      <c r="G64" s="2107"/>
      <c r="H64" s="691" t="str">
        <f>IF(D64="NO","NO","NA")</f>
        <v>NO</v>
      </c>
      <c r="I64" s="1879"/>
      <c r="J64" s="2108"/>
      <c r="K64" s="3180" t="s">
        <v>2146</v>
      </c>
      <c r="L64" s="691" t="s">
        <v>2146</v>
      </c>
      <c r="M64" s="3119"/>
      <c r="N64" s="2109"/>
    </row>
    <row r="65" spans="2:14" s="83" customFormat="1" ht="18" customHeight="1" x14ac:dyDescent="0.25">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5">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5">
      <c r="B67" s="287" t="s">
        <v>2061</v>
      </c>
      <c r="C67" s="2605"/>
      <c r="D67" s="621"/>
      <c r="E67" s="621"/>
      <c r="F67" s="621"/>
      <c r="G67" s="621"/>
      <c r="H67" s="3199">
        <f>IF(SUM(H69:H70)=0,H70,SUM(H69:H70))</f>
        <v>9586.3706650212462</v>
      </c>
      <c r="I67" s="3199">
        <f t="shared" ref="I67:N67" si="8">IF(SUM(I69:I70)=0,I70,SUM(I69:I70))</f>
        <v>2.8270217935884054</v>
      </c>
      <c r="J67" s="3199">
        <f t="shared" si="8"/>
        <v>7.4738578775190162E-2</v>
      </c>
      <c r="K67" s="3199" t="str">
        <f t="shared" si="8"/>
        <v>NO</v>
      </c>
      <c r="L67" s="1913" t="str">
        <f t="shared" si="8"/>
        <v>NO</v>
      </c>
      <c r="M67" s="1913" t="str">
        <f t="shared" si="8"/>
        <v>NO</v>
      </c>
      <c r="N67" s="3085" t="str">
        <f t="shared" si="8"/>
        <v>NO</v>
      </c>
    </row>
    <row r="68" spans="2:14" s="83" customFormat="1" ht="18" customHeight="1" x14ac:dyDescent="0.25">
      <c r="B68" s="1242" t="s">
        <v>203</v>
      </c>
      <c r="C68" s="2103"/>
      <c r="D68" s="2285"/>
      <c r="E68" s="2285"/>
      <c r="F68" s="2285"/>
      <c r="G68" s="2285"/>
      <c r="H68" s="3097"/>
      <c r="I68" s="3097"/>
      <c r="J68" s="3097"/>
      <c r="K68" s="3097"/>
      <c r="L68" s="3097"/>
      <c r="M68" s="3097"/>
      <c r="N68" s="3111"/>
    </row>
    <row r="69" spans="2:14" s="83" customFormat="1" ht="18" customHeight="1" x14ac:dyDescent="0.25">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5">
      <c r="B70" s="2416" t="s">
        <v>538</v>
      </c>
      <c r="C70" s="2388"/>
      <c r="D70" s="2384"/>
      <c r="E70" s="2384"/>
      <c r="F70" s="2384"/>
      <c r="G70" s="2384"/>
      <c r="H70" s="3095">
        <f t="shared" ref="H70:M70" si="9">H71</f>
        <v>9586.3706650212462</v>
      </c>
      <c r="I70" s="3095">
        <f t="shared" si="9"/>
        <v>2.8270217935884054</v>
      </c>
      <c r="J70" s="3095">
        <f t="shared" si="9"/>
        <v>7.4738578775190162E-2</v>
      </c>
      <c r="K70" s="3207" t="str">
        <f t="shared" si="9"/>
        <v>NO</v>
      </c>
      <c r="L70" s="3095" t="str">
        <f t="shared" si="9"/>
        <v>NO</v>
      </c>
      <c r="M70" s="3095" t="str">
        <f t="shared" si="9"/>
        <v>NO</v>
      </c>
      <c r="N70" s="3208" t="str">
        <f>N71</f>
        <v>NO</v>
      </c>
    </row>
    <row r="71" spans="2:14" s="83" customFormat="1" ht="18" customHeight="1" thickBot="1" x14ac:dyDescent="0.3">
      <c r="B71" s="2598" t="s">
        <v>2185</v>
      </c>
      <c r="C71" s="2599" t="s">
        <v>220</v>
      </c>
      <c r="D71" s="2114" t="s">
        <v>2184</v>
      </c>
      <c r="E71" s="511" t="str">
        <f>IF(SUM($D71)=0,"NA",H71/$D71)</f>
        <v>NA</v>
      </c>
      <c r="F71" s="511" t="str">
        <f>IF(SUM($D71)=0,"NA",I71/$D71)</f>
        <v>NA</v>
      </c>
      <c r="G71" s="511" t="str">
        <f>IF(SUM($D71)=0,"NA",J71/$D71)</f>
        <v>NA</v>
      </c>
      <c r="H71" s="3123">
        <v>9586.3706650212462</v>
      </c>
      <c r="I71" s="3123">
        <v>2.8270217935884054</v>
      </c>
      <c r="J71" s="3123">
        <v>7.4738578775190162E-2</v>
      </c>
      <c r="K71" s="3209" t="s">
        <v>2146</v>
      </c>
      <c r="L71" s="3209" t="s">
        <v>2146</v>
      </c>
      <c r="M71" s="3123" t="s">
        <v>2146</v>
      </c>
      <c r="N71" s="3210" t="s">
        <v>2146</v>
      </c>
    </row>
    <row r="72" spans="2:14" s="83" customFormat="1" ht="18" customHeight="1" x14ac:dyDescent="0.25">
      <c r="B72" s="2417" t="s">
        <v>2105</v>
      </c>
      <c r="C72" s="231"/>
      <c r="D72" s="621"/>
      <c r="E72" s="2115"/>
      <c r="F72" s="2115"/>
      <c r="G72" s="2115"/>
      <c r="H72" s="1913">
        <f t="shared" ref="H72:L72" si="10">IF(SUM(H73:H75)=0,"NO",SUM(H73:H75))</f>
        <v>281.30450949999999</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5">
      <c r="B73" s="287" t="s">
        <v>539</v>
      </c>
      <c r="C73" s="82" t="s">
        <v>2183</v>
      </c>
      <c r="D73" s="3191">
        <v>518.04123715100002</v>
      </c>
      <c r="E73" s="4130">
        <f t="shared" ref="E73:G74" si="11">IF(SUM($D73)=0,"NA",H73/$D73)</f>
        <v>0.54301567004019147</v>
      </c>
      <c r="F73" s="276" t="s">
        <v>2147</v>
      </c>
      <c r="G73" s="276" t="s">
        <v>2147</v>
      </c>
      <c r="H73" s="3122">
        <v>281.30450949999999</v>
      </c>
      <c r="I73" s="3122" t="s">
        <v>2146</v>
      </c>
      <c r="J73" s="3122" t="s">
        <v>2146</v>
      </c>
      <c r="K73" s="3211" t="s">
        <v>2146</v>
      </c>
      <c r="L73" s="3122" t="s">
        <v>2146</v>
      </c>
      <c r="M73" s="3122" t="s">
        <v>2146</v>
      </c>
      <c r="N73" s="3212" t="s">
        <v>2146</v>
      </c>
    </row>
    <row r="74" spans="2:14" s="83" customFormat="1" ht="18" customHeight="1" x14ac:dyDescent="0.25">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5">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5">
      <c r="B76" s="1242" t="s">
        <v>203</v>
      </c>
      <c r="C76" s="2103"/>
      <c r="D76" s="2285"/>
      <c r="E76" s="2285"/>
      <c r="F76" s="2285"/>
      <c r="G76" s="2285"/>
      <c r="H76" s="3097"/>
      <c r="I76" s="3097"/>
      <c r="J76" s="3097"/>
      <c r="K76" s="3097"/>
      <c r="L76" s="3097"/>
      <c r="M76" s="3097"/>
      <c r="N76" s="3111"/>
    </row>
    <row r="77" spans="2:14" s="83" customFormat="1" ht="18" customHeight="1" x14ac:dyDescent="0.25">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5">
      <c r="B78" s="1285" t="s">
        <v>543</v>
      </c>
      <c r="C78" s="82" t="s">
        <v>2183</v>
      </c>
      <c r="D78" s="82">
        <v>278.24045454545501</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5">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5">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3">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5">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5">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5">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5">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3">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5">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5">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5">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5">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5">
      <c r="B91" s="2506" t="s">
        <v>203</v>
      </c>
      <c r="C91" s="2103"/>
      <c r="D91" s="2285"/>
      <c r="E91" s="2285"/>
      <c r="F91" s="2285"/>
      <c r="G91" s="2285"/>
      <c r="H91" s="3097"/>
      <c r="I91" s="3097"/>
      <c r="J91" s="3097"/>
      <c r="K91" s="3097"/>
      <c r="L91" s="3097"/>
      <c r="M91" s="3097"/>
      <c r="N91" s="3111"/>
    </row>
    <row r="92" spans="2:14" s="83" customFormat="1" ht="18" customHeight="1" x14ac:dyDescent="0.25">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5">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5">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5">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3">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5">
      <c r="B97" s="1276" t="s">
        <v>554</v>
      </c>
      <c r="C97" s="149"/>
      <c r="D97" s="2125"/>
      <c r="E97" s="2125"/>
      <c r="F97" s="2125"/>
      <c r="G97" s="2125"/>
      <c r="H97" s="1909">
        <f>IF(SUM(H99:H101)=0,"NO",SUM(H99:H101))</f>
        <v>82.573034651705768</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5">
      <c r="B98" s="1241" t="s">
        <v>203</v>
      </c>
      <c r="C98" s="2110"/>
      <c r="D98" s="2288"/>
      <c r="E98" s="2288"/>
      <c r="F98" s="2288"/>
      <c r="G98" s="2288"/>
      <c r="H98" s="3097"/>
      <c r="I98" s="3097"/>
      <c r="J98" s="3097"/>
      <c r="K98" s="3097"/>
      <c r="L98" s="3097"/>
      <c r="M98" s="3097"/>
      <c r="N98" s="3111"/>
    </row>
    <row r="99" spans="2:14" s="83" customFormat="1" ht="18" customHeight="1" x14ac:dyDescent="0.25">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5">
      <c r="B100" s="287" t="s">
        <v>556</v>
      </c>
      <c r="C100" s="2604" t="s">
        <v>220</v>
      </c>
      <c r="D100" s="277" t="s">
        <v>2184</v>
      </c>
      <c r="E100" s="276" t="str">
        <f t="shared" si="17"/>
        <v>NA</v>
      </c>
      <c r="F100" s="276" t="str">
        <f t="shared" si="17"/>
        <v>NA</v>
      </c>
      <c r="G100" s="276" t="str">
        <f t="shared" si="17"/>
        <v>NA</v>
      </c>
      <c r="H100" s="692">
        <v>82.573034651705768</v>
      </c>
      <c r="I100" s="692" t="s">
        <v>2146</v>
      </c>
      <c r="J100" s="692" t="s">
        <v>2146</v>
      </c>
      <c r="K100" s="3223" t="s">
        <v>2146</v>
      </c>
      <c r="L100" s="692" t="s">
        <v>2146</v>
      </c>
      <c r="M100" s="692" t="s">
        <v>2146</v>
      </c>
      <c r="N100" s="2919" t="s">
        <v>2146</v>
      </c>
    </row>
    <row r="101" spans="2:14" s="83" customFormat="1" ht="18" customHeight="1" x14ac:dyDescent="0.25">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3">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5">
      <c r="B103" s="1"/>
      <c r="C103" s="1"/>
      <c r="D103" s="1"/>
      <c r="E103" s="1"/>
      <c r="F103" s="1"/>
      <c r="G103" s="1"/>
      <c r="H103" s="1"/>
      <c r="I103" s="1"/>
      <c r="J103" s="1"/>
      <c r="K103" s="1"/>
      <c r="L103" s="1"/>
      <c r="M103" s="1"/>
      <c r="N103" s="1"/>
    </row>
    <row r="104" spans="2:14" ht="14.4" x14ac:dyDescent="0.25">
      <c r="B104" s="1050"/>
      <c r="C104" s="1050"/>
      <c r="D104" s="1050"/>
      <c r="E104" s="1050"/>
      <c r="F104" s="1050"/>
      <c r="G104" s="1050"/>
      <c r="H104" s="1050"/>
      <c r="I104" s="1050"/>
      <c r="J104" s="1050"/>
      <c r="K104" s="1050"/>
      <c r="L104" s="1050"/>
      <c r="M104" s="1050"/>
      <c r="N104" s="1050"/>
    </row>
    <row r="105" spans="2:14" ht="14.4" x14ac:dyDescent="0.25">
      <c r="B105" s="994"/>
      <c r="C105" s="994"/>
      <c r="D105" s="994"/>
      <c r="E105" s="994"/>
      <c r="F105" s="994"/>
      <c r="G105" s="994"/>
      <c r="H105" s="994"/>
      <c r="K105" s="994"/>
      <c r="L105" s="994"/>
    </row>
    <row r="106" spans="2:14" ht="14.4" x14ac:dyDescent="0.25">
      <c r="B106" s="994"/>
      <c r="C106" s="994"/>
      <c r="D106" s="994"/>
      <c r="E106" s="994"/>
    </row>
    <row r="107" spans="2:14" ht="14.4" x14ac:dyDescent="0.25">
      <c r="B107" s="994"/>
      <c r="C107" s="994"/>
      <c r="D107" s="994"/>
    </row>
    <row r="108" spans="2:14" ht="14.4" x14ac:dyDescent="0.25">
      <c r="B108" s="1050"/>
      <c r="C108" s="1050"/>
      <c r="D108" s="1050"/>
      <c r="E108" s="1050"/>
      <c r="F108" s="1050"/>
      <c r="G108" s="1050"/>
      <c r="H108" s="1050"/>
      <c r="I108" s="1050"/>
      <c r="J108" s="1049"/>
      <c r="K108" s="1050"/>
      <c r="L108" s="1050"/>
      <c r="M108" s="1050"/>
      <c r="N108" s="1049"/>
    </row>
    <row r="109" spans="2:14" ht="14.4" x14ac:dyDescent="0.25">
      <c r="B109" s="1050"/>
      <c r="C109" s="1050"/>
      <c r="D109" s="1050"/>
      <c r="E109" s="1050"/>
      <c r="F109" s="1050"/>
      <c r="G109" s="1050"/>
      <c r="H109" s="1050"/>
      <c r="I109" s="1050"/>
      <c r="J109" s="1049"/>
      <c r="K109" s="1050"/>
      <c r="L109" s="1050"/>
      <c r="M109" s="1050"/>
      <c r="N109" s="1049"/>
    </row>
    <row r="111" spans="2:14" ht="25.5" customHeight="1" x14ac:dyDescent="0.25"/>
    <row r="112" spans="2:14" ht="25.5" customHeight="1" x14ac:dyDescent="0.25"/>
    <row r="113" spans="2:14" ht="13.5" customHeight="1" x14ac:dyDescent="0.25"/>
    <row r="114" spans="2:14" ht="13.5" customHeight="1" x14ac:dyDescent="0.25"/>
    <row r="115" spans="2:14" ht="13.5" customHeight="1" x14ac:dyDescent="0.25"/>
    <row r="116" spans="2:14" ht="13.5" customHeight="1" x14ac:dyDescent="0.25"/>
    <row r="127" spans="2:14" ht="12" customHeight="1" thickBot="1" x14ac:dyDescent="0.3"/>
    <row r="128" spans="2:14" ht="12" customHeight="1" x14ac:dyDescent="0.25">
      <c r="B128" s="991" t="s">
        <v>118</v>
      </c>
      <c r="C128" s="992"/>
      <c r="D128" s="992"/>
      <c r="E128" s="992"/>
      <c r="F128" s="992"/>
      <c r="G128" s="992"/>
      <c r="H128" s="992"/>
      <c r="I128" s="992"/>
      <c r="J128" s="992"/>
      <c r="K128" s="992"/>
      <c r="L128" s="992"/>
      <c r="M128" s="992"/>
      <c r="N128" s="993"/>
    </row>
    <row r="129" spans="2:14" ht="12" customHeight="1" x14ac:dyDescent="0.25">
      <c r="B129" s="2239"/>
      <c r="C129" s="1042"/>
      <c r="D129" s="1042"/>
      <c r="E129" s="1042"/>
      <c r="F129" s="1042"/>
      <c r="G129" s="1042"/>
      <c r="H129" s="1042"/>
      <c r="I129" s="1042"/>
      <c r="J129" s="1042"/>
      <c r="K129" s="1042"/>
      <c r="L129" s="1042"/>
      <c r="M129" s="1042"/>
      <c r="N129" s="1043"/>
    </row>
    <row r="130" spans="2:14" ht="12" customHeight="1" x14ac:dyDescent="0.25">
      <c r="B130" s="1025"/>
      <c r="C130" s="2240"/>
      <c r="D130" s="2240"/>
      <c r="E130" s="2240"/>
      <c r="F130" s="2240"/>
      <c r="G130" s="2240"/>
      <c r="H130" s="2240"/>
      <c r="I130" s="2240"/>
      <c r="J130" s="2240"/>
      <c r="K130" s="2240"/>
      <c r="L130" s="2240"/>
      <c r="M130" s="2240"/>
      <c r="N130" s="2241"/>
    </row>
    <row r="131" spans="2:14" ht="12" customHeight="1" x14ac:dyDescent="0.25">
      <c r="B131" s="1025"/>
      <c r="C131" s="2240"/>
      <c r="D131" s="2240"/>
      <c r="E131" s="2240"/>
      <c r="F131" s="2240"/>
      <c r="G131" s="2240"/>
      <c r="H131" s="2240"/>
      <c r="I131" s="2240"/>
      <c r="J131" s="2240"/>
      <c r="K131" s="2240"/>
      <c r="L131" s="2240"/>
      <c r="M131" s="2240"/>
      <c r="N131" s="2241"/>
    </row>
    <row r="132" spans="2:14" ht="12" customHeight="1" x14ac:dyDescent="0.25">
      <c r="B132" s="1025"/>
      <c r="C132" s="2240"/>
      <c r="D132" s="2240"/>
      <c r="E132" s="2240"/>
      <c r="F132" s="2240"/>
      <c r="G132" s="2240"/>
      <c r="H132" s="2240"/>
      <c r="I132" s="2240"/>
      <c r="J132" s="2240"/>
      <c r="K132" s="2240"/>
      <c r="L132" s="2240"/>
      <c r="M132" s="2240"/>
      <c r="N132" s="2241"/>
    </row>
    <row r="133" spans="2:14" ht="12" customHeight="1" x14ac:dyDescent="0.25">
      <c r="B133" s="2242"/>
      <c r="C133" s="997"/>
      <c r="D133" s="997"/>
      <c r="E133" s="997"/>
      <c r="F133" s="997"/>
      <c r="G133" s="997"/>
      <c r="H133" s="997"/>
      <c r="I133" s="997"/>
      <c r="J133" s="997"/>
      <c r="K133" s="997"/>
      <c r="L133" s="997"/>
      <c r="M133" s="997"/>
      <c r="N133" s="998"/>
    </row>
    <row r="134" spans="2:14" ht="12" customHeight="1" thickBot="1" x14ac:dyDescent="0.3">
      <c r="B134" s="4437" t="s">
        <v>2261</v>
      </c>
      <c r="C134" s="4438"/>
      <c r="D134" s="4438"/>
      <c r="E134" s="4438"/>
      <c r="F134" s="4438"/>
      <c r="G134" s="4438"/>
      <c r="H134" s="4438"/>
      <c r="I134" s="4438"/>
      <c r="J134" s="4438"/>
      <c r="K134" s="4438"/>
      <c r="L134" s="4438"/>
      <c r="M134" s="4438"/>
      <c r="N134" s="4439"/>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8671875" defaultRowHeight="13.2" x14ac:dyDescent="0.25"/>
  <cols>
    <col min="1" max="1" width="1.88671875" customWidth="1"/>
    <col min="2" max="2" width="53.44140625" bestFit="1" customWidth="1"/>
    <col min="3" max="3" width="31.44140625" customWidth="1"/>
    <col min="4" max="4" width="30" customWidth="1"/>
    <col min="5" max="5" width="15.88671875" customWidth="1"/>
    <col min="6" max="6" width="17.44140625" bestFit="1" customWidth="1"/>
    <col min="7" max="7" width="18.5546875" customWidth="1"/>
    <col min="8" max="8" width="13.88671875" customWidth="1"/>
  </cols>
  <sheetData>
    <row r="1" spans="2:8" ht="15.6" x14ac:dyDescent="0.25">
      <c r="B1" s="213" t="s">
        <v>614</v>
      </c>
      <c r="C1" s="213"/>
      <c r="D1" s="213"/>
      <c r="E1" s="213"/>
      <c r="F1" s="213"/>
      <c r="H1" s="14" t="s">
        <v>2521</v>
      </c>
    </row>
    <row r="2" spans="2:8" ht="15.6" x14ac:dyDescent="0.25">
      <c r="B2" s="3" t="s">
        <v>615</v>
      </c>
      <c r="C2" s="3"/>
      <c r="D2" s="3"/>
      <c r="H2" s="14" t="s">
        <v>2522</v>
      </c>
    </row>
    <row r="3" spans="2:8" ht="15.6" x14ac:dyDescent="0.25">
      <c r="B3" s="3" t="s">
        <v>616</v>
      </c>
      <c r="C3" s="3"/>
      <c r="D3" s="3"/>
      <c r="H3" s="14" t="s">
        <v>2144</v>
      </c>
    </row>
    <row r="4" spans="2:8" ht="15.6" x14ac:dyDescent="0.25">
      <c r="B4" s="3"/>
      <c r="C4" s="3"/>
      <c r="D4" s="3"/>
      <c r="H4" s="226"/>
    </row>
    <row r="5" spans="2:8" ht="15.6" hidden="1" x14ac:dyDescent="0.25">
      <c r="B5" s="3"/>
      <c r="C5" s="3"/>
      <c r="D5" s="3"/>
      <c r="H5" s="226"/>
    </row>
    <row r="6" spans="2:8" ht="15.6" hidden="1" x14ac:dyDescent="0.25">
      <c r="B6" s="3"/>
      <c r="C6" s="3"/>
      <c r="D6" s="3"/>
      <c r="H6" s="226"/>
    </row>
    <row r="7" spans="2:8" ht="13.8" thickBot="1" x14ac:dyDescent="0.3">
      <c r="B7" s="2446" t="s">
        <v>64</v>
      </c>
    </row>
    <row r="8" spans="2:8" ht="51.75" customHeight="1" x14ac:dyDescent="0.25">
      <c r="B8" s="90" t="s">
        <v>65</v>
      </c>
      <c r="C8" s="1820" t="s">
        <v>617</v>
      </c>
      <c r="D8" s="1744" t="s">
        <v>327</v>
      </c>
      <c r="E8" s="1817"/>
      <c r="F8" s="2233" t="s">
        <v>618</v>
      </c>
      <c r="G8" s="2233" t="s">
        <v>654</v>
      </c>
      <c r="H8" s="2233" t="s">
        <v>2097</v>
      </c>
    </row>
    <row r="9" spans="2:8" ht="13.8" thickBot="1" x14ac:dyDescent="0.3">
      <c r="B9" s="103"/>
      <c r="C9" s="1813"/>
      <c r="D9" s="1813" t="s">
        <v>619</v>
      </c>
      <c r="E9" s="1813" t="s">
        <v>593</v>
      </c>
      <c r="F9" s="266" t="s">
        <v>620</v>
      </c>
      <c r="G9" s="1821" t="s">
        <v>593</v>
      </c>
      <c r="H9" s="1822" t="s">
        <v>593</v>
      </c>
    </row>
    <row r="10" spans="2:8" ht="18" customHeight="1" thickTop="1" x14ac:dyDescent="0.25">
      <c r="B10" s="102" t="s">
        <v>621</v>
      </c>
      <c r="C10" s="2507"/>
      <c r="D10" s="1823"/>
      <c r="E10" s="1824"/>
      <c r="F10" s="4313"/>
      <c r="G10" s="1909">
        <f t="shared" ref="G10:H12" si="0">G11</f>
        <v>96.2624</v>
      </c>
      <c r="H10" s="2612" t="str">
        <f t="shared" si="0"/>
        <v>NO</v>
      </c>
    </row>
    <row r="11" spans="2:8" ht="18" customHeight="1" x14ac:dyDescent="0.25">
      <c r="B11" s="169" t="s">
        <v>596</v>
      </c>
      <c r="C11" s="2507"/>
      <c r="D11" s="1825"/>
      <c r="E11" s="1826"/>
      <c r="F11" s="4314"/>
      <c r="G11" s="1913">
        <f t="shared" si="0"/>
        <v>96.2624</v>
      </c>
      <c r="H11" s="2611" t="str">
        <f t="shared" si="0"/>
        <v>NO</v>
      </c>
    </row>
    <row r="12" spans="2:8" ht="18" customHeight="1" x14ac:dyDescent="0.25">
      <c r="B12" s="1169" t="s">
        <v>597</v>
      </c>
      <c r="C12" s="2507"/>
      <c r="D12" s="1825"/>
      <c r="E12" s="1826"/>
      <c r="F12" s="4314"/>
      <c r="G12" s="1913">
        <f t="shared" si="0"/>
        <v>96.2624</v>
      </c>
      <c r="H12" s="2611" t="str">
        <f t="shared" si="0"/>
        <v>NO</v>
      </c>
    </row>
    <row r="13" spans="2:8" ht="18" customHeight="1" x14ac:dyDescent="0.25">
      <c r="B13" s="1170" t="s">
        <v>622</v>
      </c>
      <c r="C13" s="2620" t="s">
        <v>559</v>
      </c>
      <c r="D13" s="73" t="s">
        <v>624</v>
      </c>
      <c r="E13" s="2608">
        <v>2406.56</v>
      </c>
      <c r="F13" s="4312">
        <f>IF(SUM(E13)=0,"NA",SUM(G13)*1000/E13)</f>
        <v>40</v>
      </c>
      <c r="G13" s="691">
        <v>96.2624</v>
      </c>
      <c r="H13" s="2610" t="s">
        <v>2146</v>
      </c>
    </row>
    <row r="14" spans="2:8" ht="18" customHeight="1" x14ac:dyDescent="0.25">
      <c r="B14" s="1170" t="s">
        <v>625</v>
      </c>
      <c r="C14" s="2507"/>
      <c r="D14" s="1826"/>
      <c r="E14" s="1826"/>
      <c r="F14" s="4314"/>
      <c r="G14" s="1913" t="str">
        <f>G15</f>
        <v>NO</v>
      </c>
      <c r="H14" s="2611" t="str">
        <f>H15</f>
        <v>NO</v>
      </c>
    </row>
    <row r="15" spans="2:8" ht="18" customHeight="1" x14ac:dyDescent="0.25">
      <c r="B15" s="2609" t="s">
        <v>2147</v>
      </c>
      <c r="C15" s="2507"/>
      <c r="D15" s="74" t="s">
        <v>629</v>
      </c>
      <c r="E15" s="2608" t="s">
        <v>2146</v>
      </c>
      <c r="F15" s="4312" t="str">
        <f>IF(SUM(E15)=0,"NA",SUM(G15)*1000/E15)</f>
        <v>NA</v>
      </c>
      <c r="G15" s="691" t="s">
        <v>2146</v>
      </c>
      <c r="H15" s="2610" t="s">
        <v>2146</v>
      </c>
    </row>
    <row r="16" spans="2:8" ht="18" customHeight="1" x14ac:dyDescent="0.25">
      <c r="B16" s="1169" t="s">
        <v>626</v>
      </c>
      <c r="C16" s="2507"/>
      <c r="D16" s="1825"/>
      <c r="E16" s="1826"/>
      <c r="F16" s="4314"/>
      <c r="G16" s="1913" t="str">
        <f>G17</f>
        <v>NO</v>
      </c>
      <c r="H16" s="2611" t="str">
        <f>H17</f>
        <v>NO</v>
      </c>
    </row>
    <row r="17" spans="2:8" ht="18" customHeight="1" x14ac:dyDescent="0.25">
      <c r="B17" s="1170" t="s">
        <v>627</v>
      </c>
      <c r="C17" s="2507" t="s">
        <v>628</v>
      </c>
      <c r="D17" s="74" t="s">
        <v>629</v>
      </c>
      <c r="E17" s="2608" t="s">
        <v>2146</v>
      </c>
      <c r="F17" s="4312" t="str">
        <f t="shared" ref="F17:F19" si="1">IF(SUM(E17)=0,"NA",SUM(G17)*1000/E17)</f>
        <v>NA</v>
      </c>
      <c r="G17" s="691" t="s">
        <v>2146</v>
      </c>
      <c r="H17" s="2610" t="s">
        <v>2146</v>
      </c>
    </row>
    <row r="18" spans="2:8" ht="18" customHeight="1" x14ac:dyDescent="0.3">
      <c r="B18" s="1170" t="s">
        <v>630</v>
      </c>
      <c r="C18" s="2507" t="s">
        <v>631</v>
      </c>
      <c r="D18" s="74" t="s">
        <v>629</v>
      </c>
      <c r="E18" s="2608" t="s">
        <v>2146</v>
      </c>
      <c r="F18" s="4312" t="str">
        <f t="shared" si="1"/>
        <v>NA</v>
      </c>
      <c r="G18" s="691" t="s">
        <v>2146</v>
      </c>
      <c r="H18" s="2610" t="s">
        <v>2146</v>
      </c>
    </row>
    <row r="19" spans="2:8" ht="18" customHeight="1" x14ac:dyDescent="0.3">
      <c r="B19" s="1170" t="s">
        <v>632</v>
      </c>
      <c r="C19" s="2507" t="s">
        <v>633</v>
      </c>
      <c r="D19" s="74" t="s">
        <v>629</v>
      </c>
      <c r="E19" s="2608" t="s">
        <v>2146</v>
      </c>
      <c r="F19" s="4312" t="str">
        <f t="shared" si="1"/>
        <v>NA</v>
      </c>
      <c r="G19" s="691" t="s">
        <v>2146</v>
      </c>
      <c r="H19" s="2610" t="s">
        <v>2146</v>
      </c>
    </row>
    <row r="20" spans="2:8" ht="18" customHeight="1" x14ac:dyDescent="0.25">
      <c r="B20" s="1170" t="s">
        <v>634</v>
      </c>
      <c r="C20" s="2507"/>
      <c r="D20" s="75"/>
      <c r="E20" s="75"/>
      <c r="F20" s="4314"/>
      <c r="G20" s="1913" t="str">
        <f>G21</f>
        <v>NO</v>
      </c>
      <c r="H20" s="2611" t="str">
        <f>H21</f>
        <v>NO</v>
      </c>
    </row>
    <row r="21" spans="2:8" ht="18" customHeight="1" x14ac:dyDescent="0.25">
      <c r="B21" s="2609" t="s">
        <v>2147</v>
      </c>
      <c r="C21" s="2507"/>
      <c r="D21" s="74" t="s">
        <v>629</v>
      </c>
      <c r="E21" s="2608" t="s">
        <v>2146</v>
      </c>
      <c r="F21" s="4312" t="str">
        <f>IF(SUM(E21)=0,"NA",SUM(G21)*1000/E21)</f>
        <v>NA</v>
      </c>
      <c r="G21" s="691" t="s">
        <v>2146</v>
      </c>
      <c r="H21" s="2610" t="s">
        <v>2146</v>
      </c>
    </row>
    <row r="22" spans="2:8" ht="18" customHeight="1" x14ac:dyDescent="0.25">
      <c r="B22" s="89" t="s">
        <v>635</v>
      </c>
      <c r="C22" s="2507"/>
      <c r="D22" s="1828"/>
      <c r="E22" s="1829"/>
      <c r="F22" s="4314"/>
      <c r="G22" s="3188">
        <f>IF(SUM(G23,G28,G29)=0,"NO",SUM(G23,G28,G29))</f>
        <v>580.0184130381549</v>
      </c>
      <c r="H22" s="2611" t="str">
        <f>H23</f>
        <v>NO</v>
      </c>
    </row>
    <row r="23" spans="2:8" ht="18" customHeight="1" x14ac:dyDescent="0.25">
      <c r="B23" s="169" t="s">
        <v>636</v>
      </c>
      <c r="C23" s="2507"/>
      <c r="D23" s="76"/>
      <c r="E23" s="76"/>
      <c r="F23" s="4314"/>
      <c r="G23" s="3188">
        <f>IF(SUM(G24,G27)=0,"NO",SUM(G24,G27))</f>
        <v>580.0184130381549</v>
      </c>
      <c r="H23" s="2611" t="str">
        <f>H24</f>
        <v>NO</v>
      </c>
    </row>
    <row r="24" spans="2:8" ht="18" customHeight="1" x14ac:dyDescent="0.25">
      <c r="B24" s="171" t="s">
        <v>637</v>
      </c>
      <c r="C24" s="2507"/>
      <c r="D24" s="76"/>
      <c r="E24" s="76"/>
      <c r="F24" s="4314"/>
      <c r="G24" s="3188">
        <f>IF(SUM(G25:G26)=0,"NO",SUM(G25:G26))</f>
        <v>580.0184130381549</v>
      </c>
      <c r="H24" s="2611" t="str">
        <f>H25</f>
        <v>NO</v>
      </c>
    </row>
    <row r="25" spans="2:8" ht="18" customHeight="1" x14ac:dyDescent="0.3">
      <c r="B25" s="2609" t="s">
        <v>1741</v>
      </c>
      <c r="C25" s="2620" t="s">
        <v>1741</v>
      </c>
      <c r="D25" s="73" t="s">
        <v>638</v>
      </c>
      <c r="E25" s="691">
        <v>1235000</v>
      </c>
      <c r="F25" s="4312">
        <f t="shared" ref="F25:F28" si="2">IF(SUM(E25)=0,"NA",G25*1000/E25)</f>
        <v>0.41566771654299994</v>
      </c>
      <c r="G25" s="691">
        <v>513.34962993060492</v>
      </c>
      <c r="H25" s="2610" t="s">
        <v>2146</v>
      </c>
    </row>
    <row r="26" spans="2:8" ht="18" customHeight="1" x14ac:dyDescent="0.3">
      <c r="B26" s="2609" t="s">
        <v>1742</v>
      </c>
      <c r="C26" s="2620" t="s">
        <v>1742</v>
      </c>
      <c r="D26" s="73" t="s">
        <v>638</v>
      </c>
      <c r="E26" s="691">
        <v>1235000</v>
      </c>
      <c r="F26" s="4312">
        <f t="shared" si="2"/>
        <v>5.398282033E-2</v>
      </c>
      <c r="G26" s="691">
        <v>66.668783107549999</v>
      </c>
      <c r="H26" s="2610" t="s">
        <v>2146</v>
      </c>
    </row>
    <row r="27" spans="2:8" ht="18" customHeight="1" x14ac:dyDescent="0.25">
      <c r="B27" s="171" t="s">
        <v>639</v>
      </c>
      <c r="C27" s="2507"/>
      <c r="D27" s="1830"/>
      <c r="E27" s="1831" t="s">
        <v>2146</v>
      </c>
      <c r="F27" s="4312" t="str">
        <f t="shared" si="2"/>
        <v>NA</v>
      </c>
      <c r="G27" s="3189" t="s">
        <v>2146</v>
      </c>
      <c r="H27" s="2610" t="s">
        <v>2146</v>
      </c>
    </row>
    <row r="28" spans="2:8" ht="18" customHeight="1" x14ac:dyDescent="0.25">
      <c r="B28" s="169" t="s">
        <v>640</v>
      </c>
      <c r="C28" s="2620" t="s">
        <v>2193</v>
      </c>
      <c r="D28" s="1830" t="s">
        <v>2292</v>
      </c>
      <c r="E28" s="4211" t="s">
        <v>2146</v>
      </c>
      <c r="F28" s="4312" t="str">
        <f t="shared" si="2"/>
        <v>NA</v>
      </c>
      <c r="G28" s="691" t="s">
        <v>2146</v>
      </c>
      <c r="H28" s="2610" t="s">
        <v>2146</v>
      </c>
    </row>
    <row r="29" spans="2:8" ht="18" customHeight="1" x14ac:dyDescent="0.25">
      <c r="B29" s="169" t="s">
        <v>536</v>
      </c>
      <c r="C29" s="2507"/>
      <c r="D29" s="1832"/>
      <c r="E29" s="1833"/>
      <c r="F29" s="4314"/>
      <c r="G29" s="3188" t="s">
        <v>2146</v>
      </c>
      <c r="H29" s="2611" t="s">
        <v>2146</v>
      </c>
    </row>
    <row r="30" spans="2:8" ht="18" customHeight="1" x14ac:dyDescent="0.25">
      <c r="B30" s="1242" t="s">
        <v>203</v>
      </c>
      <c r="C30" s="2507"/>
      <c r="D30" s="2390"/>
      <c r="E30" s="2391"/>
      <c r="F30" s="3190"/>
      <c r="G30" s="3190"/>
      <c r="H30" s="2392"/>
    </row>
    <row r="31" spans="2:8" ht="18" customHeight="1" x14ac:dyDescent="0.25">
      <c r="B31" s="1170" t="s">
        <v>537</v>
      </c>
      <c r="C31" s="2507"/>
      <c r="D31" s="1830"/>
      <c r="E31" s="2608" t="s">
        <v>2146</v>
      </c>
      <c r="F31" s="4312" t="str">
        <f>IF(SUM(E31)=0,"NA",G31*1000/E31)</f>
        <v>NA</v>
      </c>
      <c r="G31" s="691" t="s">
        <v>2146</v>
      </c>
      <c r="H31" s="2610" t="s">
        <v>2146</v>
      </c>
    </row>
    <row r="32" spans="2:8" ht="18" customHeight="1" x14ac:dyDescent="0.25">
      <c r="B32" s="2421" t="s">
        <v>641</v>
      </c>
      <c r="C32" s="2507"/>
      <c r="D32" s="1832"/>
      <c r="E32" s="1833"/>
      <c r="F32" s="4314"/>
      <c r="G32" s="3188" t="s">
        <v>2146</v>
      </c>
      <c r="H32" s="2611" t="s">
        <v>2146</v>
      </c>
    </row>
    <row r="33" spans="2:8" ht="18" customHeight="1" x14ac:dyDescent="0.25">
      <c r="B33" s="2609" t="s">
        <v>2185</v>
      </c>
      <c r="C33" s="2507"/>
      <c r="D33" s="1830"/>
      <c r="E33" s="2608" t="s">
        <v>2146</v>
      </c>
      <c r="F33" s="4312" t="str">
        <f>IF(SUM(E33)=0,"NA",SUM(G33)*1000/E33)</f>
        <v>NA</v>
      </c>
      <c r="G33" s="691" t="s">
        <v>2146</v>
      </c>
      <c r="H33" s="2610" t="s">
        <v>2146</v>
      </c>
    </row>
    <row r="34" spans="2:8" ht="18" customHeight="1" x14ac:dyDescent="0.25">
      <c r="B34" s="89" t="s">
        <v>642</v>
      </c>
      <c r="C34" s="2507"/>
      <c r="D34" s="75"/>
      <c r="E34" s="75"/>
      <c r="F34" s="4314"/>
      <c r="G34" s="3188" t="s">
        <v>2146</v>
      </c>
      <c r="H34" s="2611" t="s">
        <v>2146</v>
      </c>
    </row>
    <row r="35" spans="2:8" ht="18" customHeight="1" x14ac:dyDescent="0.25">
      <c r="B35" s="170" t="s">
        <v>547</v>
      </c>
      <c r="C35" s="2507" t="s">
        <v>643</v>
      </c>
      <c r="D35" s="144" t="s">
        <v>644</v>
      </c>
      <c r="E35" s="2608" t="s">
        <v>2146</v>
      </c>
      <c r="F35" s="4312" t="str">
        <f t="shared" ref="F35:F38" si="3">IF(SUM(E35)=0,"NA",SUM(G35)*1000/E35)</f>
        <v>NA</v>
      </c>
      <c r="G35" s="691" t="s">
        <v>2146</v>
      </c>
      <c r="H35" s="2610" t="s">
        <v>2146</v>
      </c>
    </row>
    <row r="36" spans="2:8" ht="18" customHeight="1" x14ac:dyDescent="0.25">
      <c r="B36" s="170" t="s">
        <v>548</v>
      </c>
      <c r="C36" s="2507" t="s">
        <v>645</v>
      </c>
      <c r="D36" s="144" t="s">
        <v>644</v>
      </c>
      <c r="E36" s="2608" t="s">
        <v>2146</v>
      </c>
      <c r="F36" s="4312" t="str">
        <f t="shared" si="3"/>
        <v>NA</v>
      </c>
      <c r="G36" s="691" t="s">
        <v>2146</v>
      </c>
      <c r="H36" s="2610" t="s">
        <v>2146</v>
      </c>
    </row>
    <row r="37" spans="2:8" ht="18" customHeight="1" x14ac:dyDescent="0.25">
      <c r="B37" s="170" t="s">
        <v>601</v>
      </c>
      <c r="C37" s="2507" t="s">
        <v>2098</v>
      </c>
      <c r="D37" s="144" t="s">
        <v>644</v>
      </c>
      <c r="E37" s="2608" t="s">
        <v>2146</v>
      </c>
      <c r="F37" s="4312" t="str">
        <f t="shared" si="3"/>
        <v>NA</v>
      </c>
      <c r="G37" s="691" t="s">
        <v>2146</v>
      </c>
      <c r="H37" s="2610" t="s">
        <v>2146</v>
      </c>
    </row>
    <row r="38" spans="2:8" ht="18" customHeight="1" x14ac:dyDescent="0.25">
      <c r="B38" s="170" t="s">
        <v>602</v>
      </c>
      <c r="C38" s="2507" t="s">
        <v>646</v>
      </c>
      <c r="D38" s="144" t="s">
        <v>644</v>
      </c>
      <c r="E38" s="2608" t="s">
        <v>2146</v>
      </c>
      <c r="F38" s="4312" t="str">
        <f t="shared" si="3"/>
        <v>NA</v>
      </c>
      <c r="G38" s="691" t="s">
        <v>2146</v>
      </c>
      <c r="H38" s="2610" t="s">
        <v>2146</v>
      </c>
    </row>
    <row r="39" spans="2:8" ht="18" customHeight="1" x14ac:dyDescent="0.25">
      <c r="B39" s="170" t="s">
        <v>647</v>
      </c>
      <c r="C39" s="2507"/>
      <c r="D39" s="145"/>
      <c r="E39" s="107"/>
      <c r="F39" s="4315"/>
      <c r="G39" s="3188" t="s">
        <v>2146</v>
      </c>
      <c r="H39" s="2611" t="s">
        <v>2146</v>
      </c>
    </row>
    <row r="40" spans="2:8" ht="18" customHeight="1" x14ac:dyDescent="0.25">
      <c r="B40" s="1242" t="s">
        <v>203</v>
      </c>
      <c r="C40" s="2507"/>
      <c r="D40" s="2390"/>
      <c r="E40" s="2391"/>
      <c r="F40" s="3190"/>
      <c r="G40" s="3190"/>
      <c r="H40" s="2392"/>
    </row>
    <row r="41" spans="2:8" ht="18" customHeight="1" x14ac:dyDescent="0.25">
      <c r="B41" s="2422" t="s">
        <v>648</v>
      </c>
      <c r="C41" s="2507"/>
      <c r="D41" s="2389" t="s">
        <v>644</v>
      </c>
      <c r="E41" s="2608" t="s">
        <v>2146</v>
      </c>
      <c r="F41" s="4312" t="str">
        <f>IF(SUM(E41)=0,"NA",SUM(G41)*1000/E41)</f>
        <v>NA</v>
      </c>
      <c r="G41" s="691" t="s">
        <v>2146</v>
      </c>
      <c r="H41" s="2610" t="s">
        <v>2146</v>
      </c>
    </row>
    <row r="42" spans="2:8" ht="18" customHeight="1" x14ac:dyDescent="0.25">
      <c r="B42" s="2421" t="s">
        <v>649</v>
      </c>
      <c r="C42" s="2507"/>
      <c r="D42" s="145"/>
      <c r="E42" s="107"/>
      <c r="F42" s="4315"/>
      <c r="G42" s="3188" t="s">
        <v>2146</v>
      </c>
      <c r="H42" s="2611" t="s">
        <v>2146</v>
      </c>
    </row>
    <row r="43" spans="2:8" ht="18" customHeight="1" thickBot="1" x14ac:dyDescent="0.3">
      <c r="B43" s="2613" t="s">
        <v>2147</v>
      </c>
      <c r="C43" s="2512"/>
      <c r="D43" s="146" t="s">
        <v>644</v>
      </c>
      <c r="E43" s="2614" t="s">
        <v>2146</v>
      </c>
      <c r="F43" s="4316" t="str">
        <f>IF(SUM(E43)=0,"NA",SUM(G43)*1000/E43)</f>
        <v>NA</v>
      </c>
      <c r="G43" s="1559" t="s">
        <v>2146</v>
      </c>
      <c r="H43" s="2615" t="s">
        <v>2146</v>
      </c>
    </row>
    <row r="44" spans="2:8" x14ac:dyDescent="0.25">
      <c r="B44" s="1993"/>
    </row>
    <row r="45" spans="2:8" x14ac:dyDescent="0.25">
      <c r="B45" s="2015"/>
      <c r="C45" s="2015"/>
    </row>
    <row r="47" spans="2:8" ht="14.4" x14ac:dyDescent="0.25">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8671875" defaultRowHeight="13.2" x14ac:dyDescent="0.25"/>
  <cols>
    <col min="1" max="1" width="1.88671875" customWidth="1"/>
    <col min="2" max="2" width="53.44140625" bestFit="1" customWidth="1"/>
    <col min="3" max="3" width="27.5546875" bestFit="1" customWidth="1"/>
    <col min="4" max="4" width="12.109375" customWidth="1"/>
    <col min="5" max="5" width="13.44140625" customWidth="1"/>
    <col min="6" max="6" width="18.109375" customWidth="1"/>
    <col min="7" max="7" width="16.44140625" customWidth="1"/>
    <col min="8" max="9" width="12.109375" customWidth="1"/>
    <col min="10" max="10" width="15.44140625" customWidth="1"/>
    <col min="11" max="12" width="12.109375" customWidth="1"/>
    <col min="13" max="13" width="12.88671875" customWidth="1"/>
  </cols>
  <sheetData>
    <row r="1" spans="1:13" ht="15.6" x14ac:dyDescent="0.25">
      <c r="B1" s="213" t="s">
        <v>614</v>
      </c>
      <c r="C1" s="213"/>
      <c r="D1" s="213"/>
      <c r="E1" s="213"/>
      <c r="F1" s="213"/>
      <c r="G1" s="213"/>
      <c r="H1" s="226"/>
      <c r="M1" s="14" t="s">
        <v>2521</v>
      </c>
    </row>
    <row r="2" spans="1:13" ht="15.6" x14ac:dyDescent="0.25">
      <c r="B2" s="3" t="s">
        <v>615</v>
      </c>
      <c r="C2" s="3"/>
      <c r="D2" s="3"/>
      <c r="H2" s="226"/>
      <c r="M2" s="14" t="s">
        <v>2522</v>
      </c>
    </row>
    <row r="3" spans="1:13" ht="15.6" x14ac:dyDescent="0.25">
      <c r="B3" s="3" t="s">
        <v>650</v>
      </c>
      <c r="C3" s="3"/>
      <c r="D3" s="3"/>
      <c r="H3" s="226"/>
      <c r="M3" s="14" t="s">
        <v>2144</v>
      </c>
    </row>
    <row r="4" spans="1:13" ht="12" customHeight="1" x14ac:dyDescent="0.25">
      <c r="B4" s="3"/>
      <c r="C4" s="3"/>
      <c r="D4" s="3"/>
      <c r="H4" s="226"/>
      <c r="M4" s="226"/>
    </row>
    <row r="5" spans="1:13" ht="12" hidden="1" customHeight="1" x14ac:dyDescent="0.25">
      <c r="A5" t="s">
        <v>1933</v>
      </c>
      <c r="B5" s="3"/>
      <c r="C5" s="3"/>
      <c r="D5" s="3"/>
      <c r="H5" s="226"/>
      <c r="M5" s="226"/>
    </row>
    <row r="6" spans="1:13" ht="13.8" thickBot="1" x14ac:dyDescent="0.3">
      <c r="B6" s="2446" t="s">
        <v>64</v>
      </c>
    </row>
    <row r="7" spans="1:13" ht="25.8" x14ac:dyDescent="0.25">
      <c r="B7" s="45" t="s">
        <v>65</v>
      </c>
      <c r="C7" s="431" t="s">
        <v>651</v>
      </c>
      <c r="D7" s="1885" t="s">
        <v>652</v>
      </c>
      <c r="E7" s="1816"/>
      <c r="F7" s="1817"/>
      <c r="G7" s="177" t="s">
        <v>653</v>
      </c>
      <c r="H7" s="178"/>
      <c r="I7" s="178"/>
      <c r="J7" s="177" t="s">
        <v>654</v>
      </c>
      <c r="K7" s="178"/>
      <c r="L7" s="178"/>
      <c r="M7" s="258" t="s">
        <v>2097</v>
      </c>
    </row>
    <row r="8" spans="1:13" ht="71.25" customHeight="1" x14ac:dyDescent="0.25">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3">
      <c r="B9" s="1818"/>
      <c r="C9" s="1819"/>
      <c r="D9" s="1748" t="s">
        <v>664</v>
      </c>
      <c r="E9" s="344"/>
      <c r="F9" s="1772"/>
      <c r="G9" s="1748" t="s">
        <v>665</v>
      </c>
      <c r="H9" s="344"/>
      <c r="I9" s="1772"/>
      <c r="J9" s="1748" t="s">
        <v>593</v>
      </c>
      <c r="K9" s="344"/>
      <c r="L9" s="344"/>
      <c r="M9" s="345"/>
    </row>
    <row r="10" spans="1:13" ht="18" customHeight="1" thickTop="1" x14ac:dyDescent="0.25">
      <c r="B10" s="94" t="s">
        <v>666</v>
      </c>
      <c r="C10" s="2508"/>
      <c r="D10" s="2136"/>
      <c r="E10" s="2136"/>
      <c r="F10" s="2136"/>
      <c r="G10" s="2136"/>
      <c r="H10" s="2136"/>
      <c r="I10" s="2136"/>
      <c r="J10" s="3224" t="str">
        <f>IF(SUM(J11,J90,J117,J130,J146,J159)=0,"NO",SUM(J11,J90,J117,J130,J146,J159))</f>
        <v>NO</v>
      </c>
      <c r="K10" s="3224" t="str">
        <f>IF(SUM(K11,K90,K117,K130,K146,K159)=0,"NO",SUM(K11,K90,K117,K130,K146,K159))</f>
        <v>NO</v>
      </c>
      <c r="L10" s="3225" t="str">
        <f>IF(SUM(L11,L90,L117,L130,L146,L159)=0,"NO",SUM(L11,L90,L117,L130,L146,L159))</f>
        <v>NO</v>
      </c>
      <c r="M10" s="3498" t="str">
        <f>IF(SUM(M11,M90,M117,M130,M146,M159)=0,"NO",SUM(M11,M90,M117,M130,M146,M159))</f>
        <v>NO</v>
      </c>
    </row>
    <row r="11" spans="1:13" ht="18" customHeight="1" x14ac:dyDescent="0.25">
      <c r="B11" s="147" t="s">
        <v>667</v>
      </c>
      <c r="C11" s="2508"/>
      <c r="D11" s="2108"/>
      <c r="E11" s="2108"/>
      <c r="F11" s="2108"/>
      <c r="G11" s="2108"/>
      <c r="H11" s="2108"/>
      <c r="I11" s="2108"/>
      <c r="J11" s="3103" t="str">
        <f>IF(SUM(J12,J25,J38,J51,J64,J77)=0,"NO",SUM(J12,J25,J38,J51,J64,J77))</f>
        <v>NO</v>
      </c>
      <c r="K11" s="3103" t="str">
        <f t="shared" ref="K11:M11" si="0">IF(SUM(K12,K25,K38,K51,K64,K77)=0,"NO",SUM(K12,K25,K38,K51,K64,K77))</f>
        <v>NO</v>
      </c>
      <c r="L11" s="3103" t="str">
        <f t="shared" si="0"/>
        <v>NO</v>
      </c>
      <c r="M11" s="3226" t="str">
        <f t="shared" si="0"/>
        <v>NO</v>
      </c>
    </row>
    <row r="12" spans="1:13" ht="18" customHeight="1" x14ac:dyDescent="0.25">
      <c r="B12" s="104" t="s">
        <v>668</v>
      </c>
      <c r="C12" s="2508"/>
      <c r="D12" s="2108"/>
      <c r="E12" s="2108"/>
      <c r="F12" s="2108"/>
      <c r="G12" s="2108"/>
      <c r="H12" s="2108"/>
      <c r="I12" s="2108"/>
      <c r="J12" s="3103" t="str">
        <f>IF(SUM(J13:J24)=0,"NO",SUM(J13:J24))</f>
        <v>NO</v>
      </c>
      <c r="K12" s="3103" t="str">
        <f>IF(SUM(K13:K24)=0,"NO",SUM(K13:K24))</f>
        <v>NO</v>
      </c>
      <c r="L12" s="3103" t="str">
        <f>IF(SUM(L13:L24)=0,"NO",SUM(L13:L24))</f>
        <v>NO</v>
      </c>
      <c r="M12" s="3226" t="str">
        <f>IF(SUM(M13:M24)=0,"NO",SUM(M13:M24))</f>
        <v>NO</v>
      </c>
    </row>
    <row r="13" spans="1:13" ht="18" customHeight="1" x14ac:dyDescent="0.25">
      <c r="B13" s="2616" t="s">
        <v>559</v>
      </c>
      <c r="C13" s="2618" t="s">
        <v>559</v>
      </c>
      <c r="D13" s="3227" t="s">
        <v>2146</v>
      </c>
      <c r="E13" s="3227" t="s">
        <v>2146</v>
      </c>
      <c r="F13" s="3227" t="s">
        <v>2146</v>
      </c>
      <c r="G13" s="3103" t="str">
        <f>IF(SUM(D13)=0,"NA",J13/D13)</f>
        <v>NA</v>
      </c>
      <c r="H13" s="3103" t="str">
        <f>IF(SUM(E13)=0,"NA",K13/E13)</f>
        <v>NA</v>
      </c>
      <c r="I13" s="3103" t="str">
        <f>IF(SUM(F13)=0,"NA",(SUM(L13:M13))/F13)</f>
        <v>NA</v>
      </c>
      <c r="J13" s="3227" t="s">
        <v>2146</v>
      </c>
      <c r="K13" s="3227" t="s">
        <v>2146</v>
      </c>
      <c r="L13" s="3227" t="s">
        <v>2146</v>
      </c>
      <c r="M13" s="3497" t="s">
        <v>2146</v>
      </c>
    </row>
    <row r="14" spans="1:13" ht="18" customHeight="1" x14ac:dyDescent="0.25">
      <c r="B14" s="2616" t="s">
        <v>560</v>
      </c>
      <c r="C14" s="2618" t="s">
        <v>560</v>
      </c>
      <c r="D14" s="3227" t="s">
        <v>2146</v>
      </c>
      <c r="E14" s="3227" t="s">
        <v>2146</v>
      </c>
      <c r="F14" s="3227" t="s">
        <v>2146</v>
      </c>
      <c r="G14" s="3103" t="str">
        <f t="shared" ref="G14:G24" si="1">IF(SUM(D14)=0,"NA",J14/D14)</f>
        <v>NA</v>
      </c>
      <c r="H14" s="3103" t="str">
        <f t="shared" ref="H14:H24" si="2">IF(SUM(E14)=0,"NA",K14/E14)</f>
        <v>NA</v>
      </c>
      <c r="I14" s="3103" t="str">
        <f t="shared" ref="I14:I78" si="3">IF(SUM(F14)=0,"NA",(SUM(L14:M14))/F14)</f>
        <v>NA</v>
      </c>
      <c r="J14" s="3227" t="s">
        <v>2146</v>
      </c>
      <c r="K14" s="3227" t="s">
        <v>2146</v>
      </c>
      <c r="L14" s="3227" t="s">
        <v>2146</v>
      </c>
      <c r="M14" s="3497" t="s">
        <v>2146</v>
      </c>
    </row>
    <row r="15" spans="1:13" ht="18" customHeight="1" x14ac:dyDescent="0.25">
      <c r="B15" s="2616" t="s">
        <v>562</v>
      </c>
      <c r="C15" s="2618" t="s">
        <v>562</v>
      </c>
      <c r="D15" s="3227" t="s">
        <v>2146</v>
      </c>
      <c r="E15" s="3227" t="s">
        <v>2146</v>
      </c>
      <c r="F15" s="3227" t="s">
        <v>2146</v>
      </c>
      <c r="G15" s="3103" t="str">
        <f t="shared" ref="G15" si="4">IF(SUM(D15)=0,"NA",J15/D15)</f>
        <v>NA</v>
      </c>
      <c r="H15" s="3103" t="str">
        <f t="shared" ref="H15" si="5">IF(SUM(E15)=0,"NA",K15/E15)</f>
        <v>NA</v>
      </c>
      <c r="I15" s="3103" t="str">
        <f t="shared" si="3"/>
        <v>NA</v>
      </c>
      <c r="J15" s="3227" t="s">
        <v>2146</v>
      </c>
      <c r="K15" s="3227" t="s">
        <v>2146</v>
      </c>
      <c r="L15" s="3227" t="s">
        <v>2146</v>
      </c>
      <c r="M15" s="3497" t="s">
        <v>2146</v>
      </c>
    </row>
    <row r="16" spans="1:13" ht="18" customHeight="1" x14ac:dyDescent="0.25">
      <c r="B16" s="2616" t="s">
        <v>563</v>
      </c>
      <c r="C16" s="2618" t="s">
        <v>563</v>
      </c>
      <c r="D16" s="3227" t="s">
        <v>2146</v>
      </c>
      <c r="E16" s="3227" t="s">
        <v>2146</v>
      </c>
      <c r="F16" s="3227" t="s">
        <v>2146</v>
      </c>
      <c r="G16" s="3103" t="str">
        <f t="shared" si="1"/>
        <v>NA</v>
      </c>
      <c r="H16" s="3103" t="str">
        <f t="shared" si="2"/>
        <v>NA</v>
      </c>
      <c r="I16" s="3103" t="str">
        <f t="shared" si="3"/>
        <v>NA</v>
      </c>
      <c r="J16" s="3227" t="s">
        <v>2146</v>
      </c>
      <c r="K16" s="3227" t="s">
        <v>2146</v>
      </c>
      <c r="L16" s="3227" t="s">
        <v>2146</v>
      </c>
      <c r="M16" s="3497" t="s">
        <v>2146</v>
      </c>
    </row>
    <row r="17" spans="2:13" ht="18" customHeight="1" x14ac:dyDescent="0.25">
      <c r="B17" s="2616" t="s">
        <v>564</v>
      </c>
      <c r="C17" s="2618" t="s">
        <v>564</v>
      </c>
      <c r="D17" s="3227" t="s">
        <v>2146</v>
      </c>
      <c r="E17" s="3227" t="s">
        <v>2146</v>
      </c>
      <c r="F17" s="3227" t="s">
        <v>2146</v>
      </c>
      <c r="G17" s="3103" t="str">
        <f t="shared" si="1"/>
        <v>NA</v>
      </c>
      <c r="H17" s="3103" t="str">
        <f t="shared" si="2"/>
        <v>NA</v>
      </c>
      <c r="I17" s="3103" t="str">
        <f t="shared" si="3"/>
        <v>NA</v>
      </c>
      <c r="J17" s="3227" t="s">
        <v>2146</v>
      </c>
      <c r="K17" s="3227" t="s">
        <v>2146</v>
      </c>
      <c r="L17" s="3227" t="s">
        <v>2146</v>
      </c>
      <c r="M17" s="3497" t="s">
        <v>2146</v>
      </c>
    </row>
    <row r="18" spans="2:13" ht="18" customHeight="1" x14ac:dyDescent="0.25">
      <c r="B18" s="2616" t="s">
        <v>565</v>
      </c>
      <c r="C18" s="2618" t="s">
        <v>565</v>
      </c>
      <c r="D18" s="3227" t="s">
        <v>2146</v>
      </c>
      <c r="E18" s="3227" t="s">
        <v>2146</v>
      </c>
      <c r="F18" s="3227" t="s">
        <v>2146</v>
      </c>
      <c r="G18" s="3103" t="str">
        <f t="shared" si="1"/>
        <v>NA</v>
      </c>
      <c r="H18" s="3103" t="str">
        <f t="shared" si="2"/>
        <v>NA</v>
      </c>
      <c r="I18" s="3103" t="str">
        <f t="shared" si="3"/>
        <v>NA</v>
      </c>
      <c r="J18" s="3227" t="s">
        <v>2146</v>
      </c>
      <c r="K18" s="3227" t="s">
        <v>2146</v>
      </c>
      <c r="L18" s="3227" t="s">
        <v>2146</v>
      </c>
      <c r="M18" s="3497" t="s">
        <v>2146</v>
      </c>
    </row>
    <row r="19" spans="2:13" ht="18" customHeight="1" x14ac:dyDescent="0.25">
      <c r="B19" s="2616" t="s">
        <v>567</v>
      </c>
      <c r="C19" s="2618" t="s">
        <v>567</v>
      </c>
      <c r="D19" s="3227" t="s">
        <v>2146</v>
      </c>
      <c r="E19" s="3227" t="s">
        <v>2146</v>
      </c>
      <c r="F19" s="3227" t="s">
        <v>2146</v>
      </c>
      <c r="G19" s="3103" t="str">
        <f t="shared" si="1"/>
        <v>NA</v>
      </c>
      <c r="H19" s="3103" t="str">
        <f t="shared" si="2"/>
        <v>NA</v>
      </c>
      <c r="I19" s="3103" t="str">
        <f t="shared" si="3"/>
        <v>NA</v>
      </c>
      <c r="J19" s="3227" t="s">
        <v>2146</v>
      </c>
      <c r="K19" s="3227" t="s">
        <v>2146</v>
      </c>
      <c r="L19" s="3227" t="s">
        <v>2146</v>
      </c>
      <c r="M19" s="3497" t="s">
        <v>2146</v>
      </c>
    </row>
    <row r="20" spans="2:13" ht="18" customHeight="1" x14ac:dyDescent="0.25">
      <c r="B20" s="2616" t="s">
        <v>569</v>
      </c>
      <c r="C20" s="2618" t="s">
        <v>569</v>
      </c>
      <c r="D20" s="3227" t="s">
        <v>2146</v>
      </c>
      <c r="E20" s="3227" t="s">
        <v>2146</v>
      </c>
      <c r="F20" s="3227" t="s">
        <v>2146</v>
      </c>
      <c r="G20" s="3103" t="str">
        <f t="shared" si="1"/>
        <v>NA</v>
      </c>
      <c r="H20" s="3103" t="str">
        <f t="shared" si="2"/>
        <v>NA</v>
      </c>
      <c r="I20" s="3103" t="str">
        <f t="shared" si="3"/>
        <v>NA</v>
      </c>
      <c r="J20" s="3227" t="s">
        <v>2146</v>
      </c>
      <c r="K20" s="3227" t="s">
        <v>2146</v>
      </c>
      <c r="L20" s="3227" t="s">
        <v>2146</v>
      </c>
      <c r="M20" s="3497" t="s">
        <v>2146</v>
      </c>
    </row>
    <row r="21" spans="2:13" ht="18" customHeight="1" x14ac:dyDescent="0.25">
      <c r="B21" s="2616" t="s">
        <v>571</v>
      </c>
      <c r="C21" s="2618" t="s">
        <v>571</v>
      </c>
      <c r="D21" s="3227" t="s">
        <v>2146</v>
      </c>
      <c r="E21" s="3227" t="s">
        <v>2146</v>
      </c>
      <c r="F21" s="3227" t="s">
        <v>2146</v>
      </c>
      <c r="G21" s="3103" t="str">
        <f t="shared" si="1"/>
        <v>NA</v>
      </c>
      <c r="H21" s="3103" t="str">
        <f t="shared" si="2"/>
        <v>NA</v>
      </c>
      <c r="I21" s="3103" t="str">
        <f t="shared" si="3"/>
        <v>NA</v>
      </c>
      <c r="J21" s="3227" t="s">
        <v>2146</v>
      </c>
      <c r="K21" s="3227" t="s">
        <v>2146</v>
      </c>
      <c r="L21" s="3227" t="s">
        <v>2146</v>
      </c>
      <c r="M21" s="3497" t="s">
        <v>2146</v>
      </c>
    </row>
    <row r="22" spans="2:13" ht="18" customHeight="1" x14ac:dyDescent="0.25">
      <c r="B22" s="2616" t="s">
        <v>574</v>
      </c>
      <c r="C22" s="2618" t="s">
        <v>574</v>
      </c>
      <c r="D22" s="3227" t="s">
        <v>2146</v>
      </c>
      <c r="E22" s="3227" t="s">
        <v>2146</v>
      </c>
      <c r="F22" s="3227" t="s">
        <v>2146</v>
      </c>
      <c r="G22" s="3103" t="str">
        <f t="shared" si="1"/>
        <v>NA</v>
      </c>
      <c r="H22" s="3103" t="str">
        <f t="shared" si="2"/>
        <v>NA</v>
      </c>
      <c r="I22" s="3103" t="str">
        <f t="shared" si="3"/>
        <v>NA</v>
      </c>
      <c r="J22" s="3227" t="s">
        <v>2146</v>
      </c>
      <c r="K22" s="3227" t="s">
        <v>2146</v>
      </c>
      <c r="L22" s="3227" t="s">
        <v>2146</v>
      </c>
      <c r="M22" s="3497" t="s">
        <v>2146</v>
      </c>
    </row>
    <row r="23" spans="2:13" ht="18" customHeight="1" x14ac:dyDescent="0.25">
      <c r="B23" s="2616" t="s">
        <v>576</v>
      </c>
      <c r="C23" s="2618" t="s">
        <v>576</v>
      </c>
      <c r="D23" s="3227" t="s">
        <v>2146</v>
      </c>
      <c r="E23" s="3227" t="s">
        <v>2146</v>
      </c>
      <c r="F23" s="3227" t="s">
        <v>2146</v>
      </c>
      <c r="G23" s="3103" t="str">
        <f t="shared" si="1"/>
        <v>NA</v>
      </c>
      <c r="H23" s="3103" t="str">
        <f t="shared" si="2"/>
        <v>NA</v>
      </c>
      <c r="I23" s="3103" t="str">
        <f t="shared" si="3"/>
        <v>NA</v>
      </c>
      <c r="J23" s="3227" t="s">
        <v>2146</v>
      </c>
      <c r="K23" s="3227" t="s">
        <v>2146</v>
      </c>
      <c r="L23" s="3227" t="s">
        <v>2146</v>
      </c>
      <c r="M23" s="3497" t="s">
        <v>2146</v>
      </c>
    </row>
    <row r="24" spans="2:13" ht="18" customHeight="1" x14ac:dyDescent="0.25">
      <c r="B24" s="2616" t="s">
        <v>577</v>
      </c>
      <c r="C24" s="2618" t="s">
        <v>577</v>
      </c>
      <c r="D24" s="3227" t="s">
        <v>2146</v>
      </c>
      <c r="E24" s="3227" t="s">
        <v>2146</v>
      </c>
      <c r="F24" s="3227" t="s">
        <v>2146</v>
      </c>
      <c r="G24" s="3103" t="str">
        <f t="shared" si="1"/>
        <v>NA</v>
      </c>
      <c r="H24" s="3103" t="str">
        <f t="shared" si="2"/>
        <v>NA</v>
      </c>
      <c r="I24" s="3103" t="str">
        <f t="shared" si="3"/>
        <v>NA</v>
      </c>
      <c r="J24" s="3227" t="s">
        <v>2146</v>
      </c>
      <c r="K24" s="3227" t="s">
        <v>2146</v>
      </c>
      <c r="L24" s="3227" t="s">
        <v>2146</v>
      </c>
      <c r="M24" s="3497" t="s">
        <v>2146</v>
      </c>
    </row>
    <row r="25" spans="2:13" ht="18" customHeight="1" x14ac:dyDescent="0.25">
      <c r="B25" s="105" t="s">
        <v>669</v>
      </c>
      <c r="C25" s="2508"/>
      <c r="D25" s="2108"/>
      <c r="E25" s="2108"/>
      <c r="F25" s="2108"/>
      <c r="G25" s="2108"/>
      <c r="H25" s="2108"/>
      <c r="I25" s="2108"/>
      <c r="J25" s="3103" t="str">
        <f>IF(SUM(J26:J37)=0,"NO",SUM(J26:J37))</f>
        <v>NO</v>
      </c>
      <c r="K25" s="3103" t="str">
        <f>IF(SUM(K26:K37)=0,"NO",SUM(K26:K37))</f>
        <v>NO</v>
      </c>
      <c r="L25" s="3103" t="str">
        <f>IF(SUM(L26:L37)=0,"NO",SUM(L26:L37))</f>
        <v>NO</v>
      </c>
      <c r="M25" s="3226" t="str">
        <f>IF(SUM(M26:M37)=0,"NO",SUM(M26:M37))</f>
        <v>NO</v>
      </c>
    </row>
    <row r="26" spans="2:13" ht="18" customHeight="1" x14ac:dyDescent="0.25">
      <c r="B26" s="2616" t="s">
        <v>559</v>
      </c>
      <c r="C26" s="2618" t="s">
        <v>559</v>
      </c>
      <c r="D26" s="3227" t="s">
        <v>2146</v>
      </c>
      <c r="E26" s="3227" t="s">
        <v>2146</v>
      </c>
      <c r="F26" s="3227" t="s">
        <v>2146</v>
      </c>
      <c r="G26" s="3103" t="str">
        <f>IF(SUM(D26)=0,"NA",J26/D26)</f>
        <v>NA</v>
      </c>
      <c r="H26" s="3103" t="str">
        <f>IF(SUM(E26)=0,"NA",K26/E26)</f>
        <v>NA</v>
      </c>
      <c r="I26" s="3103" t="str">
        <f t="shared" si="3"/>
        <v>NA</v>
      </c>
      <c r="J26" s="3227" t="s">
        <v>2146</v>
      </c>
      <c r="K26" s="3227" t="s">
        <v>2146</v>
      </c>
      <c r="L26" s="3227" t="s">
        <v>2146</v>
      </c>
      <c r="M26" s="3497" t="s">
        <v>2146</v>
      </c>
    </row>
    <row r="27" spans="2:13" ht="18" customHeight="1" x14ac:dyDescent="0.25">
      <c r="B27" s="2616" t="s">
        <v>560</v>
      </c>
      <c r="C27" s="2618" t="s">
        <v>560</v>
      </c>
      <c r="D27" s="3227" t="s">
        <v>2146</v>
      </c>
      <c r="E27" s="3227" t="s">
        <v>2146</v>
      </c>
      <c r="F27" s="3227" t="s">
        <v>2146</v>
      </c>
      <c r="G27" s="3103" t="str">
        <f t="shared" ref="G27:G37" si="6">IF(SUM(D27)=0,"NA",J27/D27)</f>
        <v>NA</v>
      </c>
      <c r="H27" s="3103" t="str">
        <f t="shared" ref="H27:H37" si="7">IF(SUM(E27)=0,"NA",K27/E27)</f>
        <v>NA</v>
      </c>
      <c r="I27" s="3103" t="str">
        <f t="shared" si="3"/>
        <v>NA</v>
      </c>
      <c r="J27" s="3227" t="s">
        <v>2146</v>
      </c>
      <c r="K27" s="3227" t="s">
        <v>2146</v>
      </c>
      <c r="L27" s="3227" t="s">
        <v>2146</v>
      </c>
      <c r="M27" s="3497" t="s">
        <v>2146</v>
      </c>
    </row>
    <row r="28" spans="2:13" ht="18" customHeight="1" x14ac:dyDescent="0.25">
      <c r="B28" s="2616" t="s">
        <v>562</v>
      </c>
      <c r="C28" s="2618" t="s">
        <v>562</v>
      </c>
      <c r="D28" s="3227" t="s">
        <v>2146</v>
      </c>
      <c r="E28" s="3227" t="s">
        <v>2146</v>
      </c>
      <c r="F28" s="3227" t="s">
        <v>2146</v>
      </c>
      <c r="G28" s="3103" t="str">
        <f t="shared" si="6"/>
        <v>NA</v>
      </c>
      <c r="H28" s="3103" t="str">
        <f t="shared" si="7"/>
        <v>NA</v>
      </c>
      <c r="I28" s="3103" t="str">
        <f t="shared" si="3"/>
        <v>NA</v>
      </c>
      <c r="J28" s="3227" t="s">
        <v>2146</v>
      </c>
      <c r="K28" s="3227" t="s">
        <v>2146</v>
      </c>
      <c r="L28" s="3227" t="s">
        <v>2146</v>
      </c>
      <c r="M28" s="3497" t="s">
        <v>2146</v>
      </c>
    </row>
    <row r="29" spans="2:13" ht="18" customHeight="1" x14ac:dyDescent="0.25">
      <c r="B29" s="2616" t="s">
        <v>563</v>
      </c>
      <c r="C29" s="2618" t="s">
        <v>563</v>
      </c>
      <c r="D29" s="3227" t="s">
        <v>2146</v>
      </c>
      <c r="E29" s="3227" t="s">
        <v>2146</v>
      </c>
      <c r="F29" s="3227" t="s">
        <v>2146</v>
      </c>
      <c r="G29" s="3103" t="str">
        <f t="shared" si="6"/>
        <v>NA</v>
      </c>
      <c r="H29" s="3103" t="str">
        <f t="shared" si="7"/>
        <v>NA</v>
      </c>
      <c r="I29" s="3103" t="str">
        <f t="shared" si="3"/>
        <v>NA</v>
      </c>
      <c r="J29" s="3227" t="s">
        <v>2146</v>
      </c>
      <c r="K29" s="3227" t="s">
        <v>2146</v>
      </c>
      <c r="L29" s="3227" t="s">
        <v>2146</v>
      </c>
      <c r="M29" s="3497" t="s">
        <v>2146</v>
      </c>
    </row>
    <row r="30" spans="2:13" ht="18" customHeight="1" x14ac:dyDescent="0.25">
      <c r="B30" s="2616" t="s">
        <v>564</v>
      </c>
      <c r="C30" s="2618" t="s">
        <v>564</v>
      </c>
      <c r="D30" s="3227" t="s">
        <v>2146</v>
      </c>
      <c r="E30" s="3227" t="s">
        <v>2146</v>
      </c>
      <c r="F30" s="3227" t="s">
        <v>2146</v>
      </c>
      <c r="G30" s="3103" t="str">
        <f t="shared" si="6"/>
        <v>NA</v>
      </c>
      <c r="H30" s="3103" t="str">
        <f t="shared" si="7"/>
        <v>NA</v>
      </c>
      <c r="I30" s="3103" t="str">
        <f t="shared" si="3"/>
        <v>NA</v>
      </c>
      <c r="J30" s="3227" t="s">
        <v>2146</v>
      </c>
      <c r="K30" s="3227" t="s">
        <v>2146</v>
      </c>
      <c r="L30" s="3227" t="s">
        <v>2146</v>
      </c>
      <c r="M30" s="3497" t="s">
        <v>2146</v>
      </c>
    </row>
    <row r="31" spans="2:13" ht="18" customHeight="1" x14ac:dyDescent="0.25">
      <c r="B31" s="2616" t="s">
        <v>565</v>
      </c>
      <c r="C31" s="2618" t="s">
        <v>565</v>
      </c>
      <c r="D31" s="3227" t="s">
        <v>2146</v>
      </c>
      <c r="E31" s="3227" t="s">
        <v>2146</v>
      </c>
      <c r="F31" s="3227" t="s">
        <v>2146</v>
      </c>
      <c r="G31" s="3103" t="str">
        <f t="shared" si="6"/>
        <v>NA</v>
      </c>
      <c r="H31" s="3103" t="str">
        <f t="shared" si="7"/>
        <v>NA</v>
      </c>
      <c r="I31" s="3103" t="str">
        <f t="shared" si="3"/>
        <v>NA</v>
      </c>
      <c r="J31" s="3227" t="s">
        <v>2146</v>
      </c>
      <c r="K31" s="3227" t="s">
        <v>2146</v>
      </c>
      <c r="L31" s="3227" t="s">
        <v>2146</v>
      </c>
      <c r="M31" s="3497" t="s">
        <v>2146</v>
      </c>
    </row>
    <row r="32" spans="2:13" ht="18" customHeight="1" x14ac:dyDescent="0.25">
      <c r="B32" s="2616" t="s">
        <v>567</v>
      </c>
      <c r="C32" s="2618" t="s">
        <v>567</v>
      </c>
      <c r="D32" s="3227" t="s">
        <v>2146</v>
      </c>
      <c r="E32" s="3227" t="s">
        <v>2146</v>
      </c>
      <c r="F32" s="3227" t="s">
        <v>2146</v>
      </c>
      <c r="G32" s="3103" t="str">
        <f t="shared" si="6"/>
        <v>NA</v>
      </c>
      <c r="H32" s="3103" t="str">
        <f t="shared" si="7"/>
        <v>NA</v>
      </c>
      <c r="I32" s="3103" t="str">
        <f t="shared" si="3"/>
        <v>NA</v>
      </c>
      <c r="J32" s="3227" t="s">
        <v>2146</v>
      </c>
      <c r="K32" s="3227" t="s">
        <v>2146</v>
      </c>
      <c r="L32" s="3227" t="s">
        <v>2146</v>
      </c>
      <c r="M32" s="3497" t="s">
        <v>2146</v>
      </c>
    </row>
    <row r="33" spans="2:13" ht="18" customHeight="1" x14ac:dyDescent="0.25">
      <c r="B33" s="2616" t="s">
        <v>569</v>
      </c>
      <c r="C33" s="2618" t="s">
        <v>569</v>
      </c>
      <c r="D33" s="3227" t="s">
        <v>2146</v>
      </c>
      <c r="E33" s="3227" t="s">
        <v>2146</v>
      </c>
      <c r="F33" s="3227" t="s">
        <v>2146</v>
      </c>
      <c r="G33" s="3103" t="str">
        <f t="shared" si="6"/>
        <v>NA</v>
      </c>
      <c r="H33" s="3103" t="str">
        <f t="shared" si="7"/>
        <v>NA</v>
      </c>
      <c r="I33" s="3103" t="str">
        <f t="shared" si="3"/>
        <v>NA</v>
      </c>
      <c r="J33" s="3227" t="s">
        <v>2146</v>
      </c>
      <c r="K33" s="3227" t="s">
        <v>2146</v>
      </c>
      <c r="L33" s="3227" t="s">
        <v>2146</v>
      </c>
      <c r="M33" s="3497" t="s">
        <v>2146</v>
      </c>
    </row>
    <row r="34" spans="2:13" ht="18" customHeight="1" x14ac:dyDescent="0.25">
      <c r="B34" s="2616" t="s">
        <v>571</v>
      </c>
      <c r="C34" s="2618" t="s">
        <v>571</v>
      </c>
      <c r="D34" s="3227" t="s">
        <v>2146</v>
      </c>
      <c r="E34" s="3227" t="s">
        <v>2146</v>
      </c>
      <c r="F34" s="3227" t="s">
        <v>2146</v>
      </c>
      <c r="G34" s="3103" t="str">
        <f t="shared" si="6"/>
        <v>NA</v>
      </c>
      <c r="H34" s="3103" t="str">
        <f t="shared" si="7"/>
        <v>NA</v>
      </c>
      <c r="I34" s="3103" t="str">
        <f t="shared" si="3"/>
        <v>NA</v>
      </c>
      <c r="J34" s="3227" t="s">
        <v>2146</v>
      </c>
      <c r="K34" s="3227" t="s">
        <v>2146</v>
      </c>
      <c r="L34" s="3227" t="s">
        <v>2146</v>
      </c>
      <c r="M34" s="3497" t="s">
        <v>2146</v>
      </c>
    </row>
    <row r="35" spans="2:13" ht="18" customHeight="1" x14ac:dyDescent="0.25">
      <c r="B35" s="2616" t="s">
        <v>574</v>
      </c>
      <c r="C35" s="2618" t="s">
        <v>574</v>
      </c>
      <c r="D35" s="3227" t="s">
        <v>2146</v>
      </c>
      <c r="E35" s="3227" t="s">
        <v>2146</v>
      </c>
      <c r="F35" s="3227" t="s">
        <v>2146</v>
      </c>
      <c r="G35" s="3103" t="str">
        <f t="shared" si="6"/>
        <v>NA</v>
      </c>
      <c r="H35" s="3103" t="str">
        <f t="shared" si="7"/>
        <v>NA</v>
      </c>
      <c r="I35" s="3103" t="str">
        <f t="shared" si="3"/>
        <v>NA</v>
      </c>
      <c r="J35" s="3227" t="s">
        <v>2146</v>
      </c>
      <c r="K35" s="3227" t="s">
        <v>2146</v>
      </c>
      <c r="L35" s="3227" t="s">
        <v>2146</v>
      </c>
      <c r="M35" s="3497" t="s">
        <v>2146</v>
      </c>
    </row>
    <row r="36" spans="2:13" ht="18" customHeight="1" x14ac:dyDescent="0.25">
      <c r="B36" s="2616" t="s">
        <v>576</v>
      </c>
      <c r="C36" s="2618" t="s">
        <v>576</v>
      </c>
      <c r="D36" s="3227" t="s">
        <v>2146</v>
      </c>
      <c r="E36" s="3227" t="s">
        <v>2146</v>
      </c>
      <c r="F36" s="3227" t="s">
        <v>2146</v>
      </c>
      <c r="G36" s="3103" t="str">
        <f t="shared" si="6"/>
        <v>NA</v>
      </c>
      <c r="H36" s="3103" t="str">
        <f t="shared" si="7"/>
        <v>NA</v>
      </c>
      <c r="I36" s="3103" t="str">
        <f t="shared" si="3"/>
        <v>NA</v>
      </c>
      <c r="J36" s="3227" t="s">
        <v>2146</v>
      </c>
      <c r="K36" s="3227" t="s">
        <v>2146</v>
      </c>
      <c r="L36" s="3227" t="s">
        <v>2146</v>
      </c>
      <c r="M36" s="3497" t="s">
        <v>2146</v>
      </c>
    </row>
    <row r="37" spans="2:13" ht="18" customHeight="1" x14ac:dyDescent="0.25">
      <c r="B37" s="2616" t="s">
        <v>577</v>
      </c>
      <c r="C37" s="2618" t="s">
        <v>577</v>
      </c>
      <c r="D37" s="3227" t="s">
        <v>2146</v>
      </c>
      <c r="E37" s="3227" t="s">
        <v>2146</v>
      </c>
      <c r="F37" s="3227" t="s">
        <v>2146</v>
      </c>
      <c r="G37" s="3103" t="str">
        <f t="shared" si="6"/>
        <v>NA</v>
      </c>
      <c r="H37" s="3103" t="str">
        <f t="shared" si="7"/>
        <v>NA</v>
      </c>
      <c r="I37" s="3103" t="str">
        <f t="shared" si="3"/>
        <v>NA</v>
      </c>
      <c r="J37" s="3227" t="s">
        <v>2146</v>
      </c>
      <c r="K37" s="3227" t="s">
        <v>2146</v>
      </c>
      <c r="L37" s="3227" t="s">
        <v>2146</v>
      </c>
      <c r="M37" s="3497" t="s">
        <v>2146</v>
      </c>
    </row>
    <row r="38" spans="2:13" ht="18" customHeight="1" x14ac:dyDescent="0.25">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5">
      <c r="B39" s="2616" t="s">
        <v>559</v>
      </c>
      <c r="C39" s="2618" t="s">
        <v>559</v>
      </c>
      <c r="D39" s="3227" t="str">
        <f>IF(D13="NO","NO","IE")</f>
        <v>NO</v>
      </c>
      <c r="E39" s="3227" t="str">
        <f t="shared" ref="E39:F39" si="8">IF(E13="NO","NO","IE")</f>
        <v>NO</v>
      </c>
      <c r="F39" s="3227" t="str">
        <f t="shared" si="8"/>
        <v>NO</v>
      </c>
      <c r="G39" s="3103" t="str">
        <f>IF(SUM(D39)=0,"NA",J39/D39)</f>
        <v>NA</v>
      </c>
      <c r="H39" s="3103" t="str">
        <f>IF(SUM(E39)=0,"NA",K39/E39)</f>
        <v>NA</v>
      </c>
      <c r="I39" s="3103" t="str">
        <f t="shared" si="3"/>
        <v>NA</v>
      </c>
      <c r="J39" s="3227" t="str">
        <f>IF(J13="NO","NO","IE")</f>
        <v>NO</v>
      </c>
      <c r="K39" s="3227" t="str">
        <f t="shared" ref="K39:L39" si="9">IF(K13="NO","NO","IE")</f>
        <v>NO</v>
      </c>
      <c r="L39" s="3227" t="str">
        <f t="shared" si="9"/>
        <v>NO</v>
      </c>
      <c r="M39" s="3497" t="str">
        <f t="shared" ref="M39" si="10">IF(M13="NO","NO","IE")</f>
        <v>NO</v>
      </c>
    </row>
    <row r="40" spans="2:13" ht="18" customHeight="1" x14ac:dyDescent="0.25">
      <c r="B40" s="2616" t="s">
        <v>560</v>
      </c>
      <c r="C40" s="2618" t="s">
        <v>560</v>
      </c>
      <c r="D40" s="3227" t="str">
        <f t="shared" ref="D40:F50" si="11">IF(D14="NO","NO","IE")</f>
        <v>NO</v>
      </c>
      <c r="E40" s="3227" t="str">
        <f t="shared" si="11"/>
        <v>NO</v>
      </c>
      <c r="F40" s="3227" t="str">
        <f t="shared" si="11"/>
        <v>NO</v>
      </c>
      <c r="G40" s="3103" t="str">
        <f t="shared" ref="G40:G50" si="12">IF(SUM(D40)=0,"NA",J40/D40)</f>
        <v>NA</v>
      </c>
      <c r="H40" s="3103" t="str">
        <f t="shared" ref="H40:H50" si="13">IF(SUM(E40)=0,"NA",K40/E40)</f>
        <v>NA</v>
      </c>
      <c r="I40" s="3103" t="str">
        <f t="shared" si="3"/>
        <v>NA</v>
      </c>
      <c r="J40" s="3227" t="str">
        <f t="shared" ref="J40:L40" si="14">IF(J14="NO","NO","IE")</f>
        <v>NO</v>
      </c>
      <c r="K40" s="3227" t="str">
        <f t="shared" si="14"/>
        <v>NO</v>
      </c>
      <c r="L40" s="3227" t="str">
        <f t="shared" si="14"/>
        <v>NO</v>
      </c>
      <c r="M40" s="3497" t="str">
        <f t="shared" ref="M40" si="15">IF(M14="NO","NO","IE")</f>
        <v>NO</v>
      </c>
    </row>
    <row r="41" spans="2:13" ht="18" customHeight="1" x14ac:dyDescent="0.25">
      <c r="B41" s="2616" t="s">
        <v>562</v>
      </c>
      <c r="C41" s="2618" t="s">
        <v>562</v>
      </c>
      <c r="D41" s="3227" t="str">
        <f t="shared" si="11"/>
        <v>NO</v>
      </c>
      <c r="E41" s="3227" t="str">
        <f t="shared" si="11"/>
        <v>NO</v>
      </c>
      <c r="F41" s="3227" t="str">
        <f t="shared" si="11"/>
        <v>NO</v>
      </c>
      <c r="G41" s="3103" t="str">
        <f t="shared" si="12"/>
        <v>NA</v>
      </c>
      <c r="H41" s="3103" t="str">
        <f t="shared" si="13"/>
        <v>NA</v>
      </c>
      <c r="I41" s="3103" t="str">
        <f t="shared" si="3"/>
        <v>NA</v>
      </c>
      <c r="J41" s="3227" t="str">
        <f t="shared" ref="J41:L41" si="16">IF(J15="NO","NO","IE")</f>
        <v>NO</v>
      </c>
      <c r="K41" s="3227" t="str">
        <f t="shared" si="16"/>
        <v>NO</v>
      </c>
      <c r="L41" s="3227" t="str">
        <f t="shared" si="16"/>
        <v>NO</v>
      </c>
      <c r="M41" s="3497" t="str">
        <f t="shared" ref="M41" si="17">IF(M15="NO","NO","IE")</f>
        <v>NO</v>
      </c>
    </row>
    <row r="42" spans="2:13" ht="18" customHeight="1" x14ac:dyDescent="0.25">
      <c r="B42" s="2616" t="s">
        <v>563</v>
      </c>
      <c r="C42" s="2618" t="s">
        <v>563</v>
      </c>
      <c r="D42" s="3227" t="str">
        <f t="shared" si="11"/>
        <v>NO</v>
      </c>
      <c r="E42" s="3227" t="str">
        <f t="shared" si="11"/>
        <v>NO</v>
      </c>
      <c r="F42" s="3227" t="str">
        <f t="shared" si="11"/>
        <v>NO</v>
      </c>
      <c r="G42" s="3103" t="str">
        <f t="shared" si="12"/>
        <v>NA</v>
      </c>
      <c r="H42" s="3103" t="str">
        <f t="shared" si="13"/>
        <v>NA</v>
      </c>
      <c r="I42" s="3103" t="str">
        <f t="shared" si="3"/>
        <v>NA</v>
      </c>
      <c r="J42" s="3227" t="str">
        <f t="shared" ref="J42:L42" si="18">IF(J16="NO","NO","IE")</f>
        <v>NO</v>
      </c>
      <c r="K42" s="3227" t="str">
        <f t="shared" si="18"/>
        <v>NO</v>
      </c>
      <c r="L42" s="3227" t="str">
        <f t="shared" si="18"/>
        <v>NO</v>
      </c>
      <c r="M42" s="3497" t="str">
        <f t="shared" ref="M42" si="19">IF(M16="NO","NO","IE")</f>
        <v>NO</v>
      </c>
    </row>
    <row r="43" spans="2:13" ht="18" customHeight="1" x14ac:dyDescent="0.25">
      <c r="B43" s="2616" t="s">
        <v>564</v>
      </c>
      <c r="C43" s="2618" t="s">
        <v>564</v>
      </c>
      <c r="D43" s="3227" t="str">
        <f t="shared" si="11"/>
        <v>NO</v>
      </c>
      <c r="E43" s="3227" t="str">
        <f t="shared" si="11"/>
        <v>NO</v>
      </c>
      <c r="F43" s="3227" t="str">
        <f t="shared" si="11"/>
        <v>NO</v>
      </c>
      <c r="G43" s="3103" t="str">
        <f t="shared" si="12"/>
        <v>NA</v>
      </c>
      <c r="H43" s="3103" t="str">
        <f t="shared" si="13"/>
        <v>NA</v>
      </c>
      <c r="I43" s="3103" t="str">
        <f t="shared" si="3"/>
        <v>NA</v>
      </c>
      <c r="J43" s="3227" t="str">
        <f t="shared" ref="J43:L43" si="20">IF(J17="NO","NO","IE")</f>
        <v>NO</v>
      </c>
      <c r="K43" s="3227" t="str">
        <f t="shared" si="20"/>
        <v>NO</v>
      </c>
      <c r="L43" s="3227" t="str">
        <f t="shared" si="20"/>
        <v>NO</v>
      </c>
      <c r="M43" s="3497" t="str">
        <f t="shared" ref="M43" si="21">IF(M17="NO","NO","IE")</f>
        <v>NO</v>
      </c>
    </row>
    <row r="44" spans="2:13" ht="18" customHeight="1" x14ac:dyDescent="0.25">
      <c r="B44" s="2616" t="s">
        <v>565</v>
      </c>
      <c r="C44" s="2618" t="s">
        <v>565</v>
      </c>
      <c r="D44" s="3227" t="str">
        <f t="shared" si="11"/>
        <v>NO</v>
      </c>
      <c r="E44" s="3227" t="str">
        <f t="shared" si="11"/>
        <v>NO</v>
      </c>
      <c r="F44" s="3227" t="str">
        <f t="shared" si="11"/>
        <v>NO</v>
      </c>
      <c r="G44" s="3103" t="str">
        <f t="shared" si="12"/>
        <v>NA</v>
      </c>
      <c r="H44" s="3103" t="str">
        <f t="shared" si="13"/>
        <v>NA</v>
      </c>
      <c r="I44" s="3103" t="str">
        <f t="shared" si="3"/>
        <v>NA</v>
      </c>
      <c r="J44" s="3227" t="str">
        <f t="shared" ref="J44:L44" si="22">IF(J18="NO","NO","IE")</f>
        <v>NO</v>
      </c>
      <c r="K44" s="3227" t="str">
        <f t="shared" si="22"/>
        <v>NO</v>
      </c>
      <c r="L44" s="3227" t="str">
        <f t="shared" si="22"/>
        <v>NO</v>
      </c>
      <c r="M44" s="3497" t="str">
        <f t="shared" ref="M44" si="23">IF(M18="NO","NO","IE")</f>
        <v>NO</v>
      </c>
    </row>
    <row r="45" spans="2:13" ht="18" customHeight="1" x14ac:dyDescent="0.25">
      <c r="B45" s="2616" t="s">
        <v>567</v>
      </c>
      <c r="C45" s="2618" t="s">
        <v>567</v>
      </c>
      <c r="D45" s="3227" t="str">
        <f t="shared" si="11"/>
        <v>NO</v>
      </c>
      <c r="E45" s="3227" t="str">
        <f t="shared" si="11"/>
        <v>NO</v>
      </c>
      <c r="F45" s="3227" t="str">
        <f t="shared" si="11"/>
        <v>NO</v>
      </c>
      <c r="G45" s="3103" t="str">
        <f t="shared" si="12"/>
        <v>NA</v>
      </c>
      <c r="H45" s="3103" t="str">
        <f t="shared" si="13"/>
        <v>NA</v>
      </c>
      <c r="I45" s="3103" t="str">
        <f t="shared" si="3"/>
        <v>NA</v>
      </c>
      <c r="J45" s="3227" t="str">
        <f t="shared" ref="J45:L45" si="24">IF(J19="NO","NO","IE")</f>
        <v>NO</v>
      </c>
      <c r="K45" s="3227" t="str">
        <f t="shared" si="24"/>
        <v>NO</v>
      </c>
      <c r="L45" s="3227" t="str">
        <f t="shared" si="24"/>
        <v>NO</v>
      </c>
      <c r="M45" s="3497" t="str">
        <f t="shared" ref="M45" si="25">IF(M19="NO","NO","IE")</f>
        <v>NO</v>
      </c>
    </row>
    <row r="46" spans="2:13" ht="18" customHeight="1" x14ac:dyDescent="0.25">
      <c r="B46" s="2616" t="s">
        <v>569</v>
      </c>
      <c r="C46" s="2618" t="s">
        <v>569</v>
      </c>
      <c r="D46" s="3227" t="str">
        <f t="shared" si="11"/>
        <v>NO</v>
      </c>
      <c r="E46" s="3227" t="str">
        <f t="shared" si="11"/>
        <v>NO</v>
      </c>
      <c r="F46" s="3227" t="str">
        <f t="shared" si="11"/>
        <v>NO</v>
      </c>
      <c r="G46" s="3103" t="str">
        <f t="shared" si="12"/>
        <v>NA</v>
      </c>
      <c r="H46" s="3103" t="str">
        <f t="shared" si="13"/>
        <v>NA</v>
      </c>
      <c r="I46" s="3103" t="str">
        <f t="shared" si="3"/>
        <v>NA</v>
      </c>
      <c r="J46" s="3227" t="str">
        <f t="shared" ref="J46:L46" si="26">IF(J20="NO","NO","IE")</f>
        <v>NO</v>
      </c>
      <c r="K46" s="3227" t="str">
        <f t="shared" si="26"/>
        <v>NO</v>
      </c>
      <c r="L46" s="3227" t="str">
        <f t="shared" si="26"/>
        <v>NO</v>
      </c>
      <c r="M46" s="3497" t="str">
        <f t="shared" ref="M46" si="27">IF(M20="NO","NO","IE")</f>
        <v>NO</v>
      </c>
    </row>
    <row r="47" spans="2:13" ht="18" customHeight="1" x14ac:dyDescent="0.25">
      <c r="B47" s="2616" t="s">
        <v>571</v>
      </c>
      <c r="C47" s="2618" t="s">
        <v>571</v>
      </c>
      <c r="D47" s="3227" t="str">
        <f t="shared" si="11"/>
        <v>NO</v>
      </c>
      <c r="E47" s="3227" t="str">
        <f t="shared" si="11"/>
        <v>NO</v>
      </c>
      <c r="F47" s="3227" t="str">
        <f t="shared" si="11"/>
        <v>NO</v>
      </c>
      <c r="G47" s="3103" t="str">
        <f t="shared" si="12"/>
        <v>NA</v>
      </c>
      <c r="H47" s="3103" t="str">
        <f t="shared" si="13"/>
        <v>NA</v>
      </c>
      <c r="I47" s="3103" t="str">
        <f t="shared" si="3"/>
        <v>NA</v>
      </c>
      <c r="J47" s="3227" t="str">
        <f t="shared" ref="J47:L47" si="28">IF(J21="NO","NO","IE")</f>
        <v>NO</v>
      </c>
      <c r="K47" s="3227" t="str">
        <f t="shared" si="28"/>
        <v>NO</v>
      </c>
      <c r="L47" s="3227" t="str">
        <f t="shared" si="28"/>
        <v>NO</v>
      </c>
      <c r="M47" s="3497" t="str">
        <f t="shared" ref="M47" si="29">IF(M21="NO","NO","IE")</f>
        <v>NO</v>
      </c>
    </row>
    <row r="48" spans="2:13" ht="18" customHeight="1" x14ac:dyDescent="0.25">
      <c r="B48" s="2616" t="s">
        <v>574</v>
      </c>
      <c r="C48" s="2618" t="s">
        <v>574</v>
      </c>
      <c r="D48" s="3227" t="str">
        <f t="shared" si="11"/>
        <v>NO</v>
      </c>
      <c r="E48" s="3227" t="str">
        <f t="shared" si="11"/>
        <v>NO</v>
      </c>
      <c r="F48" s="3227" t="str">
        <f t="shared" si="11"/>
        <v>NO</v>
      </c>
      <c r="G48" s="3103" t="str">
        <f t="shared" si="12"/>
        <v>NA</v>
      </c>
      <c r="H48" s="3103" t="str">
        <f t="shared" si="13"/>
        <v>NA</v>
      </c>
      <c r="I48" s="3103" t="str">
        <f t="shared" si="3"/>
        <v>NA</v>
      </c>
      <c r="J48" s="3227" t="str">
        <f t="shared" ref="J48:L48" si="30">IF(J22="NO","NO","IE")</f>
        <v>NO</v>
      </c>
      <c r="K48" s="3227" t="str">
        <f t="shared" si="30"/>
        <v>NO</v>
      </c>
      <c r="L48" s="3227" t="str">
        <f t="shared" si="30"/>
        <v>NO</v>
      </c>
      <c r="M48" s="3497" t="str">
        <f t="shared" ref="M48" si="31">IF(M22="NO","NO","IE")</f>
        <v>NO</v>
      </c>
    </row>
    <row r="49" spans="2:13" ht="18" customHeight="1" x14ac:dyDescent="0.25">
      <c r="B49" s="2616" t="s">
        <v>576</v>
      </c>
      <c r="C49" s="2618" t="s">
        <v>576</v>
      </c>
      <c r="D49" s="3227" t="str">
        <f t="shared" si="11"/>
        <v>NO</v>
      </c>
      <c r="E49" s="3227" t="str">
        <f t="shared" si="11"/>
        <v>NO</v>
      </c>
      <c r="F49" s="3227" t="str">
        <f t="shared" si="11"/>
        <v>NO</v>
      </c>
      <c r="G49" s="3103" t="str">
        <f t="shared" si="12"/>
        <v>NA</v>
      </c>
      <c r="H49" s="3103" t="str">
        <f t="shared" si="13"/>
        <v>NA</v>
      </c>
      <c r="I49" s="3103" t="str">
        <f t="shared" si="3"/>
        <v>NA</v>
      </c>
      <c r="J49" s="3227" t="str">
        <f t="shared" ref="J49:L49" si="32">IF(J23="NO","NO","IE")</f>
        <v>NO</v>
      </c>
      <c r="K49" s="3227" t="str">
        <f t="shared" si="32"/>
        <v>NO</v>
      </c>
      <c r="L49" s="3227" t="str">
        <f t="shared" si="32"/>
        <v>NO</v>
      </c>
      <c r="M49" s="3497" t="str">
        <f t="shared" ref="M49" si="33">IF(M23="NO","NO","IE")</f>
        <v>NO</v>
      </c>
    </row>
    <row r="50" spans="2:13" ht="18" customHeight="1" x14ac:dyDescent="0.25">
      <c r="B50" s="2616" t="s">
        <v>577</v>
      </c>
      <c r="C50" s="2618" t="s">
        <v>577</v>
      </c>
      <c r="D50" s="3227" t="str">
        <f t="shared" si="11"/>
        <v>NO</v>
      </c>
      <c r="E50" s="3227" t="str">
        <f t="shared" si="11"/>
        <v>NO</v>
      </c>
      <c r="F50" s="3227" t="str">
        <f t="shared" si="11"/>
        <v>NO</v>
      </c>
      <c r="G50" s="3103" t="str">
        <f t="shared" si="12"/>
        <v>NA</v>
      </c>
      <c r="H50" s="3103" t="str">
        <f t="shared" si="13"/>
        <v>NA</v>
      </c>
      <c r="I50" s="3103" t="str">
        <f t="shared" si="3"/>
        <v>NA</v>
      </c>
      <c r="J50" s="3227" t="str">
        <f t="shared" ref="J50:L50" si="34">IF(J24="NO","NO","IE")</f>
        <v>NO</v>
      </c>
      <c r="K50" s="3227" t="str">
        <f t="shared" si="34"/>
        <v>NO</v>
      </c>
      <c r="L50" s="3227" t="str">
        <f t="shared" si="34"/>
        <v>NO</v>
      </c>
      <c r="M50" s="3497" t="str">
        <f t="shared" ref="M50" si="35">IF(M24="NO","NO","IE")</f>
        <v>NO</v>
      </c>
    </row>
    <row r="51" spans="2:13" ht="18" customHeight="1" x14ac:dyDescent="0.25">
      <c r="B51" s="104" t="s">
        <v>671</v>
      </c>
      <c r="C51" s="2508"/>
      <c r="D51" s="2108"/>
      <c r="E51" s="2108"/>
      <c r="F51" s="2108"/>
      <c r="G51" s="2108"/>
      <c r="H51" s="2108"/>
      <c r="I51" s="2108"/>
      <c r="J51" s="3103" t="str">
        <f>IF(SUM(J52:J63)=0,"NO",SUM(J52:J63))</f>
        <v>NO</v>
      </c>
      <c r="K51" s="3103" t="str">
        <f>IF(SUM(K52:K63)=0,"NO",SUM(K52:K63))</f>
        <v>NO</v>
      </c>
      <c r="L51" s="3103" t="str">
        <f>IF(SUM(L52:L63)=0,"NO",SUM(L52:L63))</f>
        <v>NO</v>
      </c>
      <c r="M51" s="3226" t="str">
        <f>IF(SUM(M52:M63)=0,"NO",SUM(M52:M63))</f>
        <v>NO</v>
      </c>
    </row>
    <row r="52" spans="2:13" ht="18" customHeight="1" x14ac:dyDescent="0.25">
      <c r="B52" s="2616" t="s">
        <v>559</v>
      </c>
      <c r="C52" s="2618" t="s">
        <v>559</v>
      </c>
      <c r="D52" s="3227" t="s">
        <v>2146</v>
      </c>
      <c r="E52" s="3227" t="s">
        <v>2146</v>
      </c>
      <c r="F52" s="3227" t="s">
        <v>2146</v>
      </c>
      <c r="G52" s="3103" t="str">
        <f>IF(SUM(D52)=0,"NA",J52/D52)</f>
        <v>NA</v>
      </c>
      <c r="H52" s="3103" t="str">
        <f>IF(SUM(E52)=0,"NA",K52/E52)</f>
        <v>NA</v>
      </c>
      <c r="I52" s="3103" t="str">
        <f t="shared" si="3"/>
        <v>NA</v>
      </c>
      <c r="J52" s="3227" t="s">
        <v>2146</v>
      </c>
      <c r="K52" s="3227" t="s">
        <v>2146</v>
      </c>
      <c r="L52" s="3227" t="s">
        <v>2146</v>
      </c>
      <c r="M52" s="3497" t="s">
        <v>2146</v>
      </c>
    </row>
    <row r="53" spans="2:13" ht="18" customHeight="1" x14ac:dyDescent="0.25">
      <c r="B53" s="2616" t="s">
        <v>560</v>
      </c>
      <c r="C53" s="2618" t="s">
        <v>560</v>
      </c>
      <c r="D53" s="3227" t="s">
        <v>2146</v>
      </c>
      <c r="E53" s="3227" t="s">
        <v>2146</v>
      </c>
      <c r="F53" s="3227" t="s">
        <v>2146</v>
      </c>
      <c r="G53" s="3103" t="str">
        <f t="shared" ref="G53:G63" si="36">IF(SUM(D53)=0,"NA",J53/D53)</f>
        <v>NA</v>
      </c>
      <c r="H53" s="3103" t="str">
        <f t="shared" ref="H53:H63" si="37">IF(SUM(E53)=0,"NA",K53/E53)</f>
        <v>NA</v>
      </c>
      <c r="I53" s="3103" t="str">
        <f t="shared" si="3"/>
        <v>NA</v>
      </c>
      <c r="J53" s="3227" t="s">
        <v>2146</v>
      </c>
      <c r="K53" s="3227" t="s">
        <v>2146</v>
      </c>
      <c r="L53" s="3227" t="s">
        <v>2146</v>
      </c>
      <c r="M53" s="3497" t="s">
        <v>2146</v>
      </c>
    </row>
    <row r="54" spans="2:13" ht="18" customHeight="1" x14ac:dyDescent="0.25">
      <c r="B54" s="2616" t="s">
        <v>562</v>
      </c>
      <c r="C54" s="2618" t="s">
        <v>562</v>
      </c>
      <c r="D54" s="3227" t="s">
        <v>2146</v>
      </c>
      <c r="E54" s="3227" t="s">
        <v>2146</v>
      </c>
      <c r="F54" s="3227" t="s">
        <v>2146</v>
      </c>
      <c r="G54" s="3103" t="str">
        <f t="shared" si="36"/>
        <v>NA</v>
      </c>
      <c r="H54" s="3103" t="str">
        <f t="shared" si="37"/>
        <v>NA</v>
      </c>
      <c r="I54" s="3103" t="str">
        <f t="shared" si="3"/>
        <v>NA</v>
      </c>
      <c r="J54" s="3227" t="s">
        <v>2146</v>
      </c>
      <c r="K54" s="3227" t="s">
        <v>2146</v>
      </c>
      <c r="L54" s="3227" t="s">
        <v>2146</v>
      </c>
      <c r="M54" s="3497" t="s">
        <v>2146</v>
      </c>
    </row>
    <row r="55" spans="2:13" ht="18" customHeight="1" x14ac:dyDescent="0.25">
      <c r="B55" s="2616" t="s">
        <v>563</v>
      </c>
      <c r="C55" s="2618" t="s">
        <v>563</v>
      </c>
      <c r="D55" s="3227" t="s">
        <v>2146</v>
      </c>
      <c r="E55" s="3227" t="s">
        <v>2146</v>
      </c>
      <c r="F55" s="3227" t="s">
        <v>2146</v>
      </c>
      <c r="G55" s="3103" t="str">
        <f t="shared" si="36"/>
        <v>NA</v>
      </c>
      <c r="H55" s="3103" t="str">
        <f t="shared" si="37"/>
        <v>NA</v>
      </c>
      <c r="I55" s="3103" t="str">
        <f t="shared" si="3"/>
        <v>NA</v>
      </c>
      <c r="J55" s="3227" t="s">
        <v>2146</v>
      </c>
      <c r="K55" s="3227" t="s">
        <v>2146</v>
      </c>
      <c r="L55" s="3227" t="s">
        <v>2146</v>
      </c>
      <c r="M55" s="3497" t="s">
        <v>2146</v>
      </c>
    </row>
    <row r="56" spans="2:13" ht="18" customHeight="1" x14ac:dyDescent="0.25">
      <c r="B56" s="2616" t="s">
        <v>564</v>
      </c>
      <c r="C56" s="2618" t="s">
        <v>564</v>
      </c>
      <c r="D56" s="3227" t="s">
        <v>2146</v>
      </c>
      <c r="E56" s="3227" t="s">
        <v>2146</v>
      </c>
      <c r="F56" s="3227" t="s">
        <v>2146</v>
      </c>
      <c r="G56" s="3103" t="str">
        <f t="shared" si="36"/>
        <v>NA</v>
      </c>
      <c r="H56" s="3103" t="str">
        <f t="shared" si="37"/>
        <v>NA</v>
      </c>
      <c r="I56" s="3103" t="str">
        <f t="shared" si="3"/>
        <v>NA</v>
      </c>
      <c r="J56" s="3227" t="s">
        <v>2146</v>
      </c>
      <c r="K56" s="3227" t="s">
        <v>2146</v>
      </c>
      <c r="L56" s="3227" t="s">
        <v>2146</v>
      </c>
      <c r="M56" s="3497" t="s">
        <v>2146</v>
      </c>
    </row>
    <row r="57" spans="2:13" ht="18" customHeight="1" x14ac:dyDescent="0.25">
      <c r="B57" s="2616" t="s">
        <v>565</v>
      </c>
      <c r="C57" s="2618" t="s">
        <v>565</v>
      </c>
      <c r="D57" s="3227" t="s">
        <v>2146</v>
      </c>
      <c r="E57" s="3227" t="s">
        <v>2146</v>
      </c>
      <c r="F57" s="3227" t="s">
        <v>2146</v>
      </c>
      <c r="G57" s="3103" t="str">
        <f t="shared" si="36"/>
        <v>NA</v>
      </c>
      <c r="H57" s="3103" t="str">
        <f t="shared" si="37"/>
        <v>NA</v>
      </c>
      <c r="I57" s="3103" t="str">
        <f t="shared" si="3"/>
        <v>NA</v>
      </c>
      <c r="J57" s="3227" t="s">
        <v>2146</v>
      </c>
      <c r="K57" s="3227" t="s">
        <v>2146</v>
      </c>
      <c r="L57" s="3227" t="s">
        <v>2146</v>
      </c>
      <c r="M57" s="3497" t="s">
        <v>2146</v>
      </c>
    </row>
    <row r="58" spans="2:13" ht="18" customHeight="1" x14ac:dyDescent="0.25">
      <c r="B58" s="2616" t="s">
        <v>567</v>
      </c>
      <c r="C58" s="2618" t="s">
        <v>567</v>
      </c>
      <c r="D58" s="3227" t="s">
        <v>2146</v>
      </c>
      <c r="E58" s="3227" t="s">
        <v>2146</v>
      </c>
      <c r="F58" s="3227" t="s">
        <v>2146</v>
      </c>
      <c r="G58" s="3103" t="str">
        <f t="shared" si="36"/>
        <v>NA</v>
      </c>
      <c r="H58" s="3103" t="str">
        <f t="shared" si="37"/>
        <v>NA</v>
      </c>
      <c r="I58" s="3103" t="str">
        <f t="shared" si="3"/>
        <v>NA</v>
      </c>
      <c r="J58" s="3227" t="s">
        <v>2146</v>
      </c>
      <c r="K58" s="3227" t="s">
        <v>2146</v>
      </c>
      <c r="L58" s="3227" t="s">
        <v>2146</v>
      </c>
      <c r="M58" s="3497" t="s">
        <v>2146</v>
      </c>
    </row>
    <row r="59" spans="2:13" ht="18" customHeight="1" x14ac:dyDescent="0.25">
      <c r="B59" s="2616" t="s">
        <v>569</v>
      </c>
      <c r="C59" s="2618" t="s">
        <v>569</v>
      </c>
      <c r="D59" s="3227" t="s">
        <v>2146</v>
      </c>
      <c r="E59" s="3227" t="s">
        <v>2146</v>
      </c>
      <c r="F59" s="3227" t="s">
        <v>2146</v>
      </c>
      <c r="G59" s="3103" t="str">
        <f t="shared" si="36"/>
        <v>NA</v>
      </c>
      <c r="H59" s="3103" t="str">
        <f t="shared" si="37"/>
        <v>NA</v>
      </c>
      <c r="I59" s="3103" t="str">
        <f t="shared" si="3"/>
        <v>NA</v>
      </c>
      <c r="J59" s="3227" t="s">
        <v>2146</v>
      </c>
      <c r="K59" s="3227" t="s">
        <v>2146</v>
      </c>
      <c r="L59" s="3227" t="s">
        <v>2146</v>
      </c>
      <c r="M59" s="3497" t="s">
        <v>2146</v>
      </c>
    </row>
    <row r="60" spans="2:13" ht="18" customHeight="1" x14ac:dyDescent="0.25">
      <c r="B60" s="2616" t="s">
        <v>571</v>
      </c>
      <c r="C60" s="2618" t="s">
        <v>571</v>
      </c>
      <c r="D60" s="3227" t="s">
        <v>2146</v>
      </c>
      <c r="E60" s="3227" t="s">
        <v>2146</v>
      </c>
      <c r="F60" s="3227" t="s">
        <v>2146</v>
      </c>
      <c r="G60" s="3103" t="str">
        <f t="shared" si="36"/>
        <v>NA</v>
      </c>
      <c r="H60" s="3103" t="str">
        <f t="shared" si="37"/>
        <v>NA</v>
      </c>
      <c r="I60" s="3103" t="str">
        <f t="shared" si="3"/>
        <v>NA</v>
      </c>
      <c r="J60" s="3227" t="s">
        <v>2146</v>
      </c>
      <c r="K60" s="3227" t="s">
        <v>2146</v>
      </c>
      <c r="L60" s="3227" t="s">
        <v>2146</v>
      </c>
      <c r="M60" s="3497" t="s">
        <v>2146</v>
      </c>
    </row>
    <row r="61" spans="2:13" ht="18" customHeight="1" x14ac:dyDescent="0.25">
      <c r="B61" s="2616" t="s">
        <v>574</v>
      </c>
      <c r="C61" s="2618" t="s">
        <v>574</v>
      </c>
      <c r="D61" s="3227" t="s">
        <v>2146</v>
      </c>
      <c r="E61" s="3227" t="s">
        <v>2146</v>
      </c>
      <c r="F61" s="3227" t="s">
        <v>2146</v>
      </c>
      <c r="G61" s="3103" t="str">
        <f t="shared" si="36"/>
        <v>NA</v>
      </c>
      <c r="H61" s="3103" t="str">
        <f t="shared" si="37"/>
        <v>NA</v>
      </c>
      <c r="I61" s="3103" t="str">
        <f t="shared" si="3"/>
        <v>NA</v>
      </c>
      <c r="J61" s="3227" t="s">
        <v>2146</v>
      </c>
      <c r="K61" s="3227" t="s">
        <v>2146</v>
      </c>
      <c r="L61" s="3227" t="s">
        <v>2146</v>
      </c>
      <c r="M61" s="3497" t="s">
        <v>2146</v>
      </c>
    </row>
    <row r="62" spans="2:13" ht="18" customHeight="1" x14ac:dyDescent="0.25">
      <c r="B62" s="2616" t="s">
        <v>576</v>
      </c>
      <c r="C62" s="2618" t="s">
        <v>576</v>
      </c>
      <c r="D62" s="3227" t="s">
        <v>2146</v>
      </c>
      <c r="E62" s="3227" t="s">
        <v>2146</v>
      </c>
      <c r="F62" s="3227" t="s">
        <v>2146</v>
      </c>
      <c r="G62" s="3103" t="str">
        <f t="shared" si="36"/>
        <v>NA</v>
      </c>
      <c r="H62" s="3103" t="str">
        <f t="shared" si="37"/>
        <v>NA</v>
      </c>
      <c r="I62" s="3103" t="str">
        <f t="shared" si="3"/>
        <v>NA</v>
      </c>
      <c r="J62" s="3227" t="s">
        <v>2146</v>
      </c>
      <c r="K62" s="3227" t="s">
        <v>2146</v>
      </c>
      <c r="L62" s="3227" t="s">
        <v>2146</v>
      </c>
      <c r="M62" s="3497" t="s">
        <v>2146</v>
      </c>
    </row>
    <row r="63" spans="2:13" ht="18" customHeight="1" x14ac:dyDescent="0.25">
      <c r="B63" s="2616" t="s">
        <v>577</v>
      </c>
      <c r="C63" s="2618" t="s">
        <v>577</v>
      </c>
      <c r="D63" s="3227" t="s">
        <v>2146</v>
      </c>
      <c r="E63" s="3227" t="s">
        <v>2146</v>
      </c>
      <c r="F63" s="3227" t="s">
        <v>2146</v>
      </c>
      <c r="G63" s="3103" t="str">
        <f t="shared" si="36"/>
        <v>NA</v>
      </c>
      <c r="H63" s="3103" t="str">
        <f t="shared" si="37"/>
        <v>NA</v>
      </c>
      <c r="I63" s="3103" t="str">
        <f t="shared" si="3"/>
        <v>NA</v>
      </c>
      <c r="J63" s="3227" t="s">
        <v>2146</v>
      </c>
      <c r="K63" s="3227" t="s">
        <v>2146</v>
      </c>
      <c r="L63" s="3227" t="s">
        <v>2146</v>
      </c>
      <c r="M63" s="3497" t="s">
        <v>2146</v>
      </c>
    </row>
    <row r="64" spans="2:13" ht="18" customHeight="1" x14ac:dyDescent="0.25">
      <c r="B64" s="104" t="s">
        <v>672</v>
      </c>
      <c r="C64" s="2508"/>
      <c r="D64" s="2108"/>
      <c r="E64" s="2108"/>
      <c r="F64" s="2108"/>
      <c r="G64" s="2108"/>
      <c r="H64" s="2108"/>
      <c r="I64" s="2108"/>
      <c r="J64" s="3103" t="str">
        <f>IF(SUM(J65:J76)=0,"NO",SUM(J65:J76))</f>
        <v>NO</v>
      </c>
      <c r="K64" s="3103" t="str">
        <f>IF(SUM(K65:K76)=0,"NO",SUM(K65:K76))</f>
        <v>NO</v>
      </c>
      <c r="L64" s="3103" t="str">
        <f>IF(SUM(L65:L76)=0,"NO",SUM(L65:L76))</f>
        <v>NO</v>
      </c>
      <c r="M64" s="3226" t="str">
        <f>IF(SUM(M65:M76)=0,"NO",SUM(M65:M76))</f>
        <v>NO</v>
      </c>
    </row>
    <row r="65" spans="2:13" ht="18" customHeight="1" x14ac:dyDescent="0.25">
      <c r="B65" s="2616" t="s">
        <v>559</v>
      </c>
      <c r="C65" s="2618" t="s">
        <v>559</v>
      </c>
      <c r="D65" s="3227" t="s">
        <v>2146</v>
      </c>
      <c r="E65" s="3227" t="s">
        <v>2146</v>
      </c>
      <c r="F65" s="3227" t="s">
        <v>2146</v>
      </c>
      <c r="G65" s="3103" t="str">
        <f>IF(SUM(D65)=0,"NA",J65/D65)</f>
        <v>NA</v>
      </c>
      <c r="H65" s="3103" t="str">
        <f>IF(SUM(E65)=0,"NA",K65/E65)</f>
        <v>NA</v>
      </c>
      <c r="I65" s="3103" t="str">
        <f t="shared" si="3"/>
        <v>NA</v>
      </c>
      <c r="J65" s="3227" t="s">
        <v>2146</v>
      </c>
      <c r="K65" s="3227" t="s">
        <v>2146</v>
      </c>
      <c r="L65" s="3227" t="s">
        <v>2146</v>
      </c>
      <c r="M65" s="3497" t="s">
        <v>2146</v>
      </c>
    </row>
    <row r="66" spans="2:13" ht="18" customHeight="1" x14ac:dyDescent="0.25">
      <c r="B66" s="2616" t="s">
        <v>560</v>
      </c>
      <c r="C66" s="2618" t="s">
        <v>560</v>
      </c>
      <c r="D66" s="3227" t="s">
        <v>2146</v>
      </c>
      <c r="E66" s="3227" t="s">
        <v>2146</v>
      </c>
      <c r="F66" s="3227" t="s">
        <v>2146</v>
      </c>
      <c r="G66" s="3103" t="str">
        <f t="shared" ref="G66:G76" si="38">IF(SUM(D66)=0,"NA",J66/D66)</f>
        <v>NA</v>
      </c>
      <c r="H66" s="3103" t="str">
        <f t="shared" ref="H66:H76" si="39">IF(SUM(E66)=0,"NA",K66/E66)</f>
        <v>NA</v>
      </c>
      <c r="I66" s="3103" t="str">
        <f t="shared" si="3"/>
        <v>NA</v>
      </c>
      <c r="J66" s="3227" t="s">
        <v>2146</v>
      </c>
      <c r="K66" s="3227" t="s">
        <v>2146</v>
      </c>
      <c r="L66" s="3227" t="s">
        <v>2146</v>
      </c>
      <c r="M66" s="3497" t="s">
        <v>2146</v>
      </c>
    </row>
    <row r="67" spans="2:13" ht="18" customHeight="1" x14ac:dyDescent="0.25">
      <c r="B67" s="2616" t="s">
        <v>562</v>
      </c>
      <c r="C67" s="2618" t="s">
        <v>562</v>
      </c>
      <c r="D67" s="3227" t="s">
        <v>2146</v>
      </c>
      <c r="E67" s="3227" t="s">
        <v>2146</v>
      </c>
      <c r="F67" s="3227" t="s">
        <v>2146</v>
      </c>
      <c r="G67" s="3103" t="str">
        <f t="shared" si="38"/>
        <v>NA</v>
      </c>
      <c r="H67" s="3103" t="str">
        <f t="shared" si="39"/>
        <v>NA</v>
      </c>
      <c r="I67" s="3103" t="str">
        <f t="shared" si="3"/>
        <v>NA</v>
      </c>
      <c r="J67" s="3227" t="s">
        <v>2146</v>
      </c>
      <c r="K67" s="3227" t="s">
        <v>2146</v>
      </c>
      <c r="L67" s="3227" t="s">
        <v>2146</v>
      </c>
      <c r="M67" s="3497" t="s">
        <v>2146</v>
      </c>
    </row>
    <row r="68" spans="2:13" ht="18" customHeight="1" x14ac:dyDescent="0.25">
      <c r="B68" s="2616" t="s">
        <v>563</v>
      </c>
      <c r="C68" s="2618" t="s">
        <v>563</v>
      </c>
      <c r="D68" s="3227" t="s">
        <v>2146</v>
      </c>
      <c r="E68" s="3227" t="s">
        <v>2146</v>
      </c>
      <c r="F68" s="3227" t="s">
        <v>2146</v>
      </c>
      <c r="G68" s="3103" t="str">
        <f t="shared" si="38"/>
        <v>NA</v>
      </c>
      <c r="H68" s="3103" t="str">
        <f t="shared" si="39"/>
        <v>NA</v>
      </c>
      <c r="I68" s="3103" t="str">
        <f t="shared" si="3"/>
        <v>NA</v>
      </c>
      <c r="J68" s="3227" t="s">
        <v>2146</v>
      </c>
      <c r="K68" s="3227" t="s">
        <v>2146</v>
      </c>
      <c r="L68" s="3227" t="s">
        <v>2146</v>
      </c>
      <c r="M68" s="3497" t="s">
        <v>2146</v>
      </c>
    </row>
    <row r="69" spans="2:13" ht="18" customHeight="1" x14ac:dyDescent="0.25">
      <c r="B69" s="2616" t="s">
        <v>564</v>
      </c>
      <c r="C69" s="2618" t="s">
        <v>564</v>
      </c>
      <c r="D69" s="3227" t="s">
        <v>2146</v>
      </c>
      <c r="E69" s="3227" t="s">
        <v>2146</v>
      </c>
      <c r="F69" s="3227" t="s">
        <v>2146</v>
      </c>
      <c r="G69" s="3103" t="str">
        <f t="shared" si="38"/>
        <v>NA</v>
      </c>
      <c r="H69" s="3103" t="str">
        <f t="shared" si="39"/>
        <v>NA</v>
      </c>
      <c r="I69" s="3103" t="str">
        <f t="shared" si="3"/>
        <v>NA</v>
      </c>
      <c r="J69" s="3227" t="s">
        <v>2146</v>
      </c>
      <c r="K69" s="3227" t="s">
        <v>2146</v>
      </c>
      <c r="L69" s="3227" t="s">
        <v>2146</v>
      </c>
      <c r="M69" s="3497" t="s">
        <v>2146</v>
      </c>
    </row>
    <row r="70" spans="2:13" ht="18" customHeight="1" x14ac:dyDescent="0.25">
      <c r="B70" s="2616" t="s">
        <v>565</v>
      </c>
      <c r="C70" s="2618" t="s">
        <v>565</v>
      </c>
      <c r="D70" s="3227" t="s">
        <v>2146</v>
      </c>
      <c r="E70" s="3227" t="s">
        <v>2146</v>
      </c>
      <c r="F70" s="3227" t="s">
        <v>2146</v>
      </c>
      <c r="G70" s="3103" t="str">
        <f t="shared" si="38"/>
        <v>NA</v>
      </c>
      <c r="H70" s="3103" t="str">
        <f t="shared" si="39"/>
        <v>NA</v>
      </c>
      <c r="I70" s="3103" t="str">
        <f t="shared" si="3"/>
        <v>NA</v>
      </c>
      <c r="J70" s="3227" t="s">
        <v>2146</v>
      </c>
      <c r="K70" s="3227" t="s">
        <v>2146</v>
      </c>
      <c r="L70" s="3227" t="s">
        <v>2146</v>
      </c>
      <c r="M70" s="3497" t="s">
        <v>2146</v>
      </c>
    </row>
    <row r="71" spans="2:13" ht="18" customHeight="1" x14ac:dyDescent="0.25">
      <c r="B71" s="2616" t="s">
        <v>567</v>
      </c>
      <c r="C71" s="2618" t="s">
        <v>567</v>
      </c>
      <c r="D71" s="3227" t="s">
        <v>2146</v>
      </c>
      <c r="E71" s="3227" t="s">
        <v>2146</v>
      </c>
      <c r="F71" s="3227" t="s">
        <v>2146</v>
      </c>
      <c r="G71" s="3103" t="str">
        <f t="shared" si="38"/>
        <v>NA</v>
      </c>
      <c r="H71" s="3103" t="str">
        <f t="shared" si="39"/>
        <v>NA</v>
      </c>
      <c r="I71" s="3103" t="str">
        <f t="shared" si="3"/>
        <v>NA</v>
      </c>
      <c r="J71" s="3227" t="s">
        <v>2146</v>
      </c>
      <c r="K71" s="3227" t="s">
        <v>2146</v>
      </c>
      <c r="L71" s="3227" t="s">
        <v>2146</v>
      </c>
      <c r="M71" s="3497" t="s">
        <v>2146</v>
      </c>
    </row>
    <row r="72" spans="2:13" ht="18" customHeight="1" x14ac:dyDescent="0.25">
      <c r="B72" s="2616" t="s">
        <v>569</v>
      </c>
      <c r="C72" s="2618" t="s">
        <v>569</v>
      </c>
      <c r="D72" s="3227" t="s">
        <v>2146</v>
      </c>
      <c r="E72" s="3227" t="s">
        <v>2146</v>
      </c>
      <c r="F72" s="3227" t="s">
        <v>2146</v>
      </c>
      <c r="G72" s="3103" t="str">
        <f t="shared" si="38"/>
        <v>NA</v>
      </c>
      <c r="H72" s="3103" t="str">
        <f t="shared" si="39"/>
        <v>NA</v>
      </c>
      <c r="I72" s="3103" t="str">
        <f t="shared" si="3"/>
        <v>NA</v>
      </c>
      <c r="J72" s="3227" t="s">
        <v>2146</v>
      </c>
      <c r="K72" s="3227" t="s">
        <v>2146</v>
      </c>
      <c r="L72" s="3227" t="s">
        <v>2146</v>
      </c>
      <c r="M72" s="3497" t="s">
        <v>2146</v>
      </c>
    </row>
    <row r="73" spans="2:13" ht="18" customHeight="1" x14ac:dyDescent="0.25">
      <c r="B73" s="2616" t="s">
        <v>571</v>
      </c>
      <c r="C73" s="2618" t="s">
        <v>571</v>
      </c>
      <c r="D73" s="3227" t="s">
        <v>2146</v>
      </c>
      <c r="E73" s="3227" t="s">
        <v>2146</v>
      </c>
      <c r="F73" s="3227" t="s">
        <v>2146</v>
      </c>
      <c r="G73" s="3103" t="str">
        <f t="shared" si="38"/>
        <v>NA</v>
      </c>
      <c r="H73" s="3103" t="str">
        <f t="shared" si="39"/>
        <v>NA</v>
      </c>
      <c r="I73" s="3103" t="str">
        <f t="shared" si="3"/>
        <v>NA</v>
      </c>
      <c r="J73" s="3227" t="s">
        <v>2146</v>
      </c>
      <c r="K73" s="3227" t="s">
        <v>2146</v>
      </c>
      <c r="L73" s="3227" t="s">
        <v>2146</v>
      </c>
      <c r="M73" s="3497" t="s">
        <v>2146</v>
      </c>
    </row>
    <row r="74" spans="2:13" ht="18" customHeight="1" x14ac:dyDescent="0.25">
      <c r="B74" s="2616" t="s">
        <v>574</v>
      </c>
      <c r="C74" s="2618" t="s">
        <v>574</v>
      </c>
      <c r="D74" s="3227" t="s">
        <v>2146</v>
      </c>
      <c r="E74" s="3227" t="s">
        <v>2146</v>
      </c>
      <c r="F74" s="3227" t="s">
        <v>2146</v>
      </c>
      <c r="G74" s="3103" t="str">
        <f t="shared" si="38"/>
        <v>NA</v>
      </c>
      <c r="H74" s="3103" t="str">
        <f t="shared" si="39"/>
        <v>NA</v>
      </c>
      <c r="I74" s="3103" t="str">
        <f t="shared" si="3"/>
        <v>NA</v>
      </c>
      <c r="J74" s="3227" t="s">
        <v>2146</v>
      </c>
      <c r="K74" s="3227" t="s">
        <v>2146</v>
      </c>
      <c r="L74" s="3227" t="s">
        <v>2146</v>
      </c>
      <c r="M74" s="3497" t="s">
        <v>2146</v>
      </c>
    </row>
    <row r="75" spans="2:13" ht="18" customHeight="1" x14ac:dyDescent="0.25">
      <c r="B75" s="2616" t="s">
        <v>576</v>
      </c>
      <c r="C75" s="2618" t="s">
        <v>576</v>
      </c>
      <c r="D75" s="3227" t="s">
        <v>2146</v>
      </c>
      <c r="E75" s="3227" t="s">
        <v>2146</v>
      </c>
      <c r="F75" s="3227" t="s">
        <v>2146</v>
      </c>
      <c r="G75" s="3103" t="str">
        <f t="shared" si="38"/>
        <v>NA</v>
      </c>
      <c r="H75" s="3103" t="str">
        <f t="shared" si="39"/>
        <v>NA</v>
      </c>
      <c r="I75" s="3103" t="str">
        <f t="shared" si="3"/>
        <v>NA</v>
      </c>
      <c r="J75" s="3227" t="s">
        <v>2146</v>
      </c>
      <c r="K75" s="3227" t="s">
        <v>2146</v>
      </c>
      <c r="L75" s="3227" t="s">
        <v>2146</v>
      </c>
      <c r="M75" s="3497" t="s">
        <v>2146</v>
      </c>
    </row>
    <row r="76" spans="2:13" ht="18" customHeight="1" x14ac:dyDescent="0.25">
      <c r="B76" s="2616" t="s">
        <v>577</v>
      </c>
      <c r="C76" s="2618" t="s">
        <v>577</v>
      </c>
      <c r="D76" s="3227" t="s">
        <v>2146</v>
      </c>
      <c r="E76" s="3227" t="s">
        <v>2146</v>
      </c>
      <c r="F76" s="3227" t="s">
        <v>2146</v>
      </c>
      <c r="G76" s="3103" t="str">
        <f t="shared" si="38"/>
        <v>NA</v>
      </c>
      <c r="H76" s="3103" t="str">
        <f t="shared" si="39"/>
        <v>NA</v>
      </c>
      <c r="I76" s="3103" t="str">
        <f t="shared" si="3"/>
        <v>NA</v>
      </c>
      <c r="J76" s="3227" t="s">
        <v>2146</v>
      </c>
      <c r="K76" s="3227" t="s">
        <v>2146</v>
      </c>
      <c r="L76" s="3227" t="s">
        <v>2146</v>
      </c>
      <c r="M76" s="3497" t="s">
        <v>2146</v>
      </c>
    </row>
    <row r="77" spans="2:13" ht="18" customHeight="1" x14ac:dyDescent="0.25">
      <c r="B77" s="104" t="s">
        <v>673</v>
      </c>
      <c r="C77" s="2508"/>
      <c r="D77" s="2108"/>
      <c r="E77" s="2108"/>
      <c r="F77" s="2108"/>
      <c r="G77" s="2108"/>
      <c r="H77" s="2108"/>
      <c r="I77" s="2108"/>
      <c r="J77" s="3103" t="str">
        <f>IF(SUM(J78:J89)=0,"NO",SUM(J78:J89))</f>
        <v>NO</v>
      </c>
      <c r="K77" s="3103" t="str">
        <f>IF(SUM(K78:K89)=0,"NO",SUM(K78:K89))</f>
        <v>NO</v>
      </c>
      <c r="L77" s="3103" t="str">
        <f>IF(SUM(L78:L89)=0,"NO",SUM(L78:L89))</f>
        <v>NO</v>
      </c>
      <c r="M77" s="3226" t="str">
        <f>IF(SUM(M78:M89)=0,"NO",SUM(M78:M89))</f>
        <v>NO</v>
      </c>
    </row>
    <row r="78" spans="2:13" ht="18" customHeight="1" x14ac:dyDescent="0.25">
      <c r="B78" s="2616" t="s">
        <v>559</v>
      </c>
      <c r="C78" s="2618" t="s">
        <v>559</v>
      </c>
      <c r="D78" s="3227" t="s">
        <v>2146</v>
      </c>
      <c r="E78" s="3227" t="s">
        <v>2146</v>
      </c>
      <c r="F78" s="3227" t="s">
        <v>2146</v>
      </c>
      <c r="G78" s="3103" t="str">
        <f>IF(SUM(D78)=0,"NA",J78/D78)</f>
        <v>NA</v>
      </c>
      <c r="H78" s="3103" t="str">
        <f>IF(SUM(E78)=0,"NA",K78/E78)</f>
        <v>NA</v>
      </c>
      <c r="I78" s="3103" t="str">
        <f t="shared" si="3"/>
        <v>NA</v>
      </c>
      <c r="J78" s="3227" t="s">
        <v>2146</v>
      </c>
      <c r="K78" s="3227" t="s">
        <v>2146</v>
      </c>
      <c r="L78" s="3227" t="s">
        <v>2146</v>
      </c>
      <c r="M78" s="3497" t="s">
        <v>2146</v>
      </c>
    </row>
    <row r="79" spans="2:13" ht="18" customHeight="1" x14ac:dyDescent="0.25">
      <c r="B79" s="2616" t="s">
        <v>560</v>
      </c>
      <c r="C79" s="2618" t="s">
        <v>560</v>
      </c>
      <c r="D79" s="3227" t="s">
        <v>2146</v>
      </c>
      <c r="E79" s="3227" t="s">
        <v>2146</v>
      </c>
      <c r="F79" s="3227" t="s">
        <v>2146</v>
      </c>
      <c r="G79" s="3103" t="str">
        <f t="shared" ref="G79:G89" si="40">IF(SUM(D79)=0,"NA",J79/D79)</f>
        <v>NA</v>
      </c>
      <c r="H79" s="3103" t="str">
        <f t="shared" ref="H79:H89" si="41">IF(SUM(E79)=0,"NA",K79/E79)</f>
        <v>NA</v>
      </c>
      <c r="I79" s="3103" t="str">
        <f t="shared" ref="I79:I89" si="42">IF(SUM(F79)=0,"NA",(SUM(L79:M79))/F79)</f>
        <v>NA</v>
      </c>
      <c r="J79" s="3227" t="s">
        <v>2146</v>
      </c>
      <c r="K79" s="3227" t="s">
        <v>2146</v>
      </c>
      <c r="L79" s="3227" t="s">
        <v>2146</v>
      </c>
      <c r="M79" s="3497" t="s">
        <v>2146</v>
      </c>
    </row>
    <row r="80" spans="2:13" ht="18" customHeight="1" x14ac:dyDescent="0.25">
      <c r="B80" s="2616" t="s">
        <v>562</v>
      </c>
      <c r="C80" s="2618" t="s">
        <v>562</v>
      </c>
      <c r="D80" s="3227" t="s">
        <v>2146</v>
      </c>
      <c r="E80" s="3227" t="s">
        <v>2146</v>
      </c>
      <c r="F80" s="3227" t="s">
        <v>2146</v>
      </c>
      <c r="G80" s="3103" t="str">
        <f t="shared" si="40"/>
        <v>NA</v>
      </c>
      <c r="H80" s="3103" t="str">
        <f t="shared" si="41"/>
        <v>NA</v>
      </c>
      <c r="I80" s="3103" t="str">
        <f t="shared" si="42"/>
        <v>NA</v>
      </c>
      <c r="J80" s="3227" t="s">
        <v>2146</v>
      </c>
      <c r="K80" s="3227" t="s">
        <v>2146</v>
      </c>
      <c r="L80" s="3227" t="s">
        <v>2146</v>
      </c>
      <c r="M80" s="3497" t="s">
        <v>2146</v>
      </c>
    </row>
    <row r="81" spans="2:13" ht="18" customHeight="1" x14ac:dyDescent="0.25">
      <c r="B81" s="2616" t="s">
        <v>563</v>
      </c>
      <c r="C81" s="2618" t="s">
        <v>563</v>
      </c>
      <c r="D81" s="3227" t="s">
        <v>2146</v>
      </c>
      <c r="E81" s="3227" t="s">
        <v>2146</v>
      </c>
      <c r="F81" s="3227" t="s">
        <v>2146</v>
      </c>
      <c r="G81" s="3103" t="str">
        <f t="shared" si="40"/>
        <v>NA</v>
      </c>
      <c r="H81" s="3103" t="str">
        <f t="shared" si="41"/>
        <v>NA</v>
      </c>
      <c r="I81" s="3103" t="str">
        <f t="shared" si="42"/>
        <v>NA</v>
      </c>
      <c r="J81" s="3227" t="s">
        <v>2146</v>
      </c>
      <c r="K81" s="3227" t="s">
        <v>2146</v>
      </c>
      <c r="L81" s="3227" t="s">
        <v>2146</v>
      </c>
      <c r="M81" s="3497" t="s">
        <v>2146</v>
      </c>
    </row>
    <row r="82" spans="2:13" ht="18" customHeight="1" x14ac:dyDescent="0.25">
      <c r="B82" s="2616" t="s">
        <v>564</v>
      </c>
      <c r="C82" s="2618" t="s">
        <v>564</v>
      </c>
      <c r="D82" s="3227" t="s">
        <v>2146</v>
      </c>
      <c r="E82" s="3227" t="s">
        <v>2146</v>
      </c>
      <c r="F82" s="3227" t="s">
        <v>2146</v>
      </c>
      <c r="G82" s="3103" t="str">
        <f t="shared" si="40"/>
        <v>NA</v>
      </c>
      <c r="H82" s="3103" t="str">
        <f t="shared" si="41"/>
        <v>NA</v>
      </c>
      <c r="I82" s="3103" t="str">
        <f t="shared" si="42"/>
        <v>NA</v>
      </c>
      <c r="J82" s="3227" t="s">
        <v>2146</v>
      </c>
      <c r="K82" s="3227" t="s">
        <v>2146</v>
      </c>
      <c r="L82" s="3227" t="s">
        <v>2146</v>
      </c>
      <c r="M82" s="3497" t="s">
        <v>2146</v>
      </c>
    </row>
    <row r="83" spans="2:13" ht="18" customHeight="1" x14ac:dyDescent="0.25">
      <c r="B83" s="2616" t="s">
        <v>565</v>
      </c>
      <c r="C83" s="2618" t="s">
        <v>565</v>
      </c>
      <c r="D83" s="3227" t="s">
        <v>2146</v>
      </c>
      <c r="E83" s="3227" t="s">
        <v>2146</v>
      </c>
      <c r="F83" s="3227" t="s">
        <v>2146</v>
      </c>
      <c r="G83" s="3103" t="str">
        <f t="shared" si="40"/>
        <v>NA</v>
      </c>
      <c r="H83" s="3103" t="str">
        <f t="shared" si="41"/>
        <v>NA</v>
      </c>
      <c r="I83" s="3103" t="str">
        <f t="shared" si="42"/>
        <v>NA</v>
      </c>
      <c r="J83" s="3227" t="s">
        <v>2146</v>
      </c>
      <c r="K83" s="3227" t="s">
        <v>2146</v>
      </c>
      <c r="L83" s="3227" t="s">
        <v>2146</v>
      </c>
      <c r="M83" s="3497" t="s">
        <v>2146</v>
      </c>
    </row>
    <row r="84" spans="2:13" ht="18" customHeight="1" x14ac:dyDescent="0.25">
      <c r="B84" s="2616" t="s">
        <v>567</v>
      </c>
      <c r="C84" s="2618" t="s">
        <v>567</v>
      </c>
      <c r="D84" s="3227" t="s">
        <v>2146</v>
      </c>
      <c r="E84" s="3227" t="s">
        <v>2146</v>
      </c>
      <c r="F84" s="3227" t="s">
        <v>2146</v>
      </c>
      <c r="G84" s="3103" t="str">
        <f t="shared" si="40"/>
        <v>NA</v>
      </c>
      <c r="H84" s="3103" t="str">
        <f t="shared" si="41"/>
        <v>NA</v>
      </c>
      <c r="I84" s="3103" t="str">
        <f t="shared" si="42"/>
        <v>NA</v>
      </c>
      <c r="J84" s="3227" t="s">
        <v>2146</v>
      </c>
      <c r="K84" s="3227" t="s">
        <v>2146</v>
      </c>
      <c r="L84" s="3227" t="s">
        <v>2146</v>
      </c>
      <c r="M84" s="3497" t="s">
        <v>2146</v>
      </c>
    </row>
    <row r="85" spans="2:13" ht="18" customHeight="1" x14ac:dyDescent="0.25">
      <c r="B85" s="2616" t="s">
        <v>569</v>
      </c>
      <c r="C85" s="2618" t="s">
        <v>569</v>
      </c>
      <c r="D85" s="3227" t="s">
        <v>2146</v>
      </c>
      <c r="E85" s="3227" t="s">
        <v>2146</v>
      </c>
      <c r="F85" s="3227" t="s">
        <v>2146</v>
      </c>
      <c r="G85" s="3103" t="str">
        <f t="shared" si="40"/>
        <v>NA</v>
      </c>
      <c r="H85" s="3103" t="str">
        <f t="shared" si="41"/>
        <v>NA</v>
      </c>
      <c r="I85" s="3103" t="str">
        <f t="shared" si="42"/>
        <v>NA</v>
      </c>
      <c r="J85" s="3227" t="s">
        <v>2146</v>
      </c>
      <c r="K85" s="3227" t="s">
        <v>2146</v>
      </c>
      <c r="L85" s="3227" t="s">
        <v>2146</v>
      </c>
      <c r="M85" s="3497" t="s">
        <v>2146</v>
      </c>
    </row>
    <row r="86" spans="2:13" ht="18" customHeight="1" x14ac:dyDescent="0.25">
      <c r="B86" s="2616" t="s">
        <v>571</v>
      </c>
      <c r="C86" s="2618" t="s">
        <v>571</v>
      </c>
      <c r="D86" s="3227" t="s">
        <v>2146</v>
      </c>
      <c r="E86" s="3227" t="s">
        <v>2146</v>
      </c>
      <c r="F86" s="3227" t="s">
        <v>2146</v>
      </c>
      <c r="G86" s="3103" t="str">
        <f t="shared" si="40"/>
        <v>NA</v>
      </c>
      <c r="H86" s="3103" t="str">
        <f t="shared" si="41"/>
        <v>NA</v>
      </c>
      <c r="I86" s="3103" t="str">
        <f t="shared" si="42"/>
        <v>NA</v>
      </c>
      <c r="J86" s="3227" t="s">
        <v>2146</v>
      </c>
      <c r="K86" s="3227" t="s">
        <v>2146</v>
      </c>
      <c r="L86" s="3227" t="s">
        <v>2146</v>
      </c>
      <c r="M86" s="3497" t="s">
        <v>2146</v>
      </c>
    </row>
    <row r="87" spans="2:13" ht="18" customHeight="1" x14ac:dyDescent="0.25">
      <c r="B87" s="2616" t="s">
        <v>574</v>
      </c>
      <c r="C87" s="2618" t="s">
        <v>574</v>
      </c>
      <c r="D87" s="3227" t="s">
        <v>2146</v>
      </c>
      <c r="E87" s="3227" t="s">
        <v>2146</v>
      </c>
      <c r="F87" s="3227" t="s">
        <v>2146</v>
      </c>
      <c r="G87" s="3103" t="str">
        <f t="shared" si="40"/>
        <v>NA</v>
      </c>
      <c r="H87" s="3103" t="str">
        <f t="shared" si="41"/>
        <v>NA</v>
      </c>
      <c r="I87" s="3103" t="str">
        <f t="shared" si="42"/>
        <v>NA</v>
      </c>
      <c r="J87" s="3227" t="s">
        <v>2146</v>
      </c>
      <c r="K87" s="3227" t="s">
        <v>2146</v>
      </c>
      <c r="L87" s="3227" t="s">
        <v>2146</v>
      </c>
      <c r="M87" s="3497" t="s">
        <v>2146</v>
      </c>
    </row>
    <row r="88" spans="2:13" ht="18" customHeight="1" x14ac:dyDescent="0.25">
      <c r="B88" s="2616" t="s">
        <v>576</v>
      </c>
      <c r="C88" s="2618" t="s">
        <v>576</v>
      </c>
      <c r="D88" s="3227" t="s">
        <v>2146</v>
      </c>
      <c r="E88" s="3227" t="s">
        <v>2146</v>
      </c>
      <c r="F88" s="3227" t="s">
        <v>2146</v>
      </c>
      <c r="G88" s="3103" t="str">
        <f t="shared" si="40"/>
        <v>NA</v>
      </c>
      <c r="H88" s="3103" t="str">
        <f t="shared" si="41"/>
        <v>NA</v>
      </c>
      <c r="I88" s="3103" t="str">
        <f t="shared" si="42"/>
        <v>NA</v>
      </c>
      <c r="J88" s="3227" t="s">
        <v>2146</v>
      </c>
      <c r="K88" s="3227" t="s">
        <v>2146</v>
      </c>
      <c r="L88" s="3227" t="s">
        <v>2146</v>
      </c>
      <c r="M88" s="3497" t="s">
        <v>2146</v>
      </c>
    </row>
    <row r="89" spans="2:13" ht="18" customHeight="1" x14ac:dyDescent="0.25">
      <c r="B89" s="2616" t="s">
        <v>577</v>
      </c>
      <c r="C89" s="2618" t="s">
        <v>577</v>
      </c>
      <c r="D89" s="3227" t="s">
        <v>2146</v>
      </c>
      <c r="E89" s="3227" t="s">
        <v>2146</v>
      </c>
      <c r="F89" s="3227" t="s">
        <v>2146</v>
      </c>
      <c r="G89" s="3103" t="str">
        <f t="shared" si="40"/>
        <v>NA</v>
      </c>
      <c r="H89" s="3103" t="str">
        <f t="shared" si="41"/>
        <v>NA</v>
      </c>
      <c r="I89" s="3103" t="str">
        <f t="shared" si="42"/>
        <v>NA</v>
      </c>
      <c r="J89" s="3227" t="s">
        <v>2146</v>
      </c>
      <c r="K89" s="3227" t="s">
        <v>2146</v>
      </c>
      <c r="L89" s="3227" t="s">
        <v>2146</v>
      </c>
      <c r="M89" s="3497" t="s">
        <v>2146</v>
      </c>
    </row>
    <row r="90" spans="2:13" ht="18" customHeight="1" x14ac:dyDescent="0.25">
      <c r="B90" s="88" t="s">
        <v>475</v>
      </c>
      <c r="C90" s="2508" t="s">
        <v>623</v>
      </c>
      <c r="D90" s="2108"/>
      <c r="E90" s="2108"/>
      <c r="F90" s="2108"/>
      <c r="G90" s="2108"/>
      <c r="H90" s="2108"/>
      <c r="I90" s="2108"/>
      <c r="J90" s="3103" t="str">
        <f>IF(SUM(J91,J104)=0,"NO",SUM(J91,J104))</f>
        <v>NO</v>
      </c>
      <c r="K90" s="3103" t="str">
        <f t="shared" ref="K90:M90" si="43">IF(SUM(K91,K104)=0,"NO",SUM(K91,K104))</f>
        <v>NO</v>
      </c>
      <c r="L90" s="3103" t="str">
        <f t="shared" si="43"/>
        <v>NO</v>
      </c>
      <c r="M90" s="3226" t="str">
        <f t="shared" si="43"/>
        <v>NO</v>
      </c>
    </row>
    <row r="91" spans="2:13" ht="18" customHeight="1" x14ac:dyDescent="0.25">
      <c r="B91" s="104" t="s">
        <v>674</v>
      </c>
      <c r="C91" s="2508"/>
      <c r="D91" s="2108"/>
      <c r="E91" s="2108"/>
      <c r="F91" s="2108"/>
      <c r="G91" s="2108"/>
      <c r="H91" s="2108"/>
      <c r="I91" s="2108"/>
      <c r="J91" s="3103" t="str">
        <f>IF(SUM(J92:J103)=0,"NO",SUM(J92:J103))</f>
        <v>NO</v>
      </c>
      <c r="K91" s="3103" t="str">
        <f>IF(SUM(K92:K103)=0,"NO",SUM(K92:K103))</f>
        <v>NO</v>
      </c>
      <c r="L91" s="3103" t="str">
        <f>IF(SUM(L92:L103)=0,"NO",SUM(L92:L103))</f>
        <v>NO</v>
      </c>
      <c r="M91" s="3226" t="str">
        <f>IF(SUM(M92:M103)=0,"NO",SUM(M92:M103))</f>
        <v>NO</v>
      </c>
    </row>
    <row r="92" spans="2:13" ht="18" customHeight="1" x14ac:dyDescent="0.25">
      <c r="B92" s="2616" t="s">
        <v>559</v>
      </c>
      <c r="C92" s="2618" t="s">
        <v>559</v>
      </c>
      <c r="D92" s="3227" t="s">
        <v>2146</v>
      </c>
      <c r="E92" s="3227" t="s">
        <v>2146</v>
      </c>
      <c r="F92" s="3227" t="s">
        <v>2146</v>
      </c>
      <c r="G92" s="3103" t="str">
        <f>IF(SUM(D92)=0,"NA",J92/D92)</f>
        <v>NA</v>
      </c>
      <c r="H92" s="3103" t="str">
        <f>IF(SUM(E92)=0,"NA",K92/E92)</f>
        <v>NA</v>
      </c>
      <c r="I92" s="3103" t="str">
        <f t="shared" ref="I92:I103" si="44">IF(SUM(F92)=0,"NA",(SUM(L92:M92))/F92)</f>
        <v>NA</v>
      </c>
      <c r="J92" s="3227" t="s">
        <v>2146</v>
      </c>
      <c r="K92" s="3227" t="s">
        <v>2146</v>
      </c>
      <c r="L92" s="3227" t="s">
        <v>2146</v>
      </c>
      <c r="M92" s="3497" t="s">
        <v>2146</v>
      </c>
    </row>
    <row r="93" spans="2:13" ht="18" customHeight="1" x14ac:dyDescent="0.25">
      <c r="B93" s="2616" t="s">
        <v>560</v>
      </c>
      <c r="C93" s="2618" t="s">
        <v>560</v>
      </c>
      <c r="D93" s="3227" t="s">
        <v>2146</v>
      </c>
      <c r="E93" s="3227" t="s">
        <v>2146</v>
      </c>
      <c r="F93" s="3227" t="s">
        <v>2146</v>
      </c>
      <c r="G93" s="3103" t="str">
        <f t="shared" ref="G93:G103" si="45">IF(SUM(D93)=0,"NA",J93/D93)</f>
        <v>NA</v>
      </c>
      <c r="H93" s="3103" t="str">
        <f t="shared" ref="H93:H103" si="46">IF(SUM(E93)=0,"NA",K93/E93)</f>
        <v>NA</v>
      </c>
      <c r="I93" s="3103" t="str">
        <f t="shared" si="44"/>
        <v>NA</v>
      </c>
      <c r="J93" s="3227" t="s">
        <v>2146</v>
      </c>
      <c r="K93" s="3227" t="s">
        <v>2146</v>
      </c>
      <c r="L93" s="3227" t="s">
        <v>2146</v>
      </c>
      <c r="M93" s="3497" t="s">
        <v>2146</v>
      </c>
    </row>
    <row r="94" spans="2:13" ht="18" customHeight="1" x14ac:dyDescent="0.25">
      <c r="B94" s="2616" t="s">
        <v>562</v>
      </c>
      <c r="C94" s="2618" t="s">
        <v>562</v>
      </c>
      <c r="D94" s="3227" t="s">
        <v>2146</v>
      </c>
      <c r="E94" s="3227" t="s">
        <v>2146</v>
      </c>
      <c r="F94" s="3227" t="s">
        <v>2146</v>
      </c>
      <c r="G94" s="3103" t="str">
        <f t="shared" si="45"/>
        <v>NA</v>
      </c>
      <c r="H94" s="3103" t="str">
        <f t="shared" si="46"/>
        <v>NA</v>
      </c>
      <c r="I94" s="3103" t="str">
        <f t="shared" si="44"/>
        <v>NA</v>
      </c>
      <c r="J94" s="3227" t="s">
        <v>2146</v>
      </c>
      <c r="K94" s="3227" t="s">
        <v>2146</v>
      </c>
      <c r="L94" s="3227" t="s">
        <v>2146</v>
      </c>
      <c r="M94" s="3497" t="s">
        <v>2146</v>
      </c>
    </row>
    <row r="95" spans="2:13" ht="18" customHeight="1" x14ac:dyDescent="0.25">
      <c r="B95" s="2616" t="s">
        <v>563</v>
      </c>
      <c r="C95" s="2618" t="s">
        <v>563</v>
      </c>
      <c r="D95" s="3227" t="s">
        <v>2146</v>
      </c>
      <c r="E95" s="3227" t="s">
        <v>2146</v>
      </c>
      <c r="F95" s="3227" t="s">
        <v>2146</v>
      </c>
      <c r="G95" s="3103" t="str">
        <f t="shared" si="45"/>
        <v>NA</v>
      </c>
      <c r="H95" s="3103" t="str">
        <f t="shared" si="46"/>
        <v>NA</v>
      </c>
      <c r="I95" s="3103" t="str">
        <f t="shared" si="44"/>
        <v>NA</v>
      </c>
      <c r="J95" s="3227" t="s">
        <v>2146</v>
      </c>
      <c r="K95" s="3227" t="s">
        <v>2146</v>
      </c>
      <c r="L95" s="3227" t="s">
        <v>2146</v>
      </c>
      <c r="M95" s="3497" t="s">
        <v>2146</v>
      </c>
    </row>
    <row r="96" spans="2:13" ht="18" customHeight="1" x14ac:dyDescent="0.25">
      <c r="B96" s="2616" t="s">
        <v>564</v>
      </c>
      <c r="C96" s="2618" t="s">
        <v>564</v>
      </c>
      <c r="D96" s="3227" t="s">
        <v>2146</v>
      </c>
      <c r="E96" s="3227" t="s">
        <v>2146</v>
      </c>
      <c r="F96" s="3227" t="s">
        <v>2146</v>
      </c>
      <c r="G96" s="3103" t="str">
        <f t="shared" si="45"/>
        <v>NA</v>
      </c>
      <c r="H96" s="3103" t="str">
        <f t="shared" si="46"/>
        <v>NA</v>
      </c>
      <c r="I96" s="3103" t="str">
        <f t="shared" si="44"/>
        <v>NA</v>
      </c>
      <c r="J96" s="3227" t="s">
        <v>2146</v>
      </c>
      <c r="K96" s="3227" t="s">
        <v>2146</v>
      </c>
      <c r="L96" s="3227" t="s">
        <v>2146</v>
      </c>
      <c r="M96" s="3497" t="s">
        <v>2146</v>
      </c>
    </row>
    <row r="97" spans="2:13" ht="18" customHeight="1" x14ac:dyDescent="0.25">
      <c r="B97" s="2616" t="s">
        <v>565</v>
      </c>
      <c r="C97" s="2618" t="s">
        <v>565</v>
      </c>
      <c r="D97" s="3227" t="s">
        <v>2146</v>
      </c>
      <c r="E97" s="3227" t="s">
        <v>2146</v>
      </c>
      <c r="F97" s="3227" t="s">
        <v>2146</v>
      </c>
      <c r="G97" s="3103" t="str">
        <f t="shared" si="45"/>
        <v>NA</v>
      </c>
      <c r="H97" s="3103" t="str">
        <f t="shared" si="46"/>
        <v>NA</v>
      </c>
      <c r="I97" s="3103" t="str">
        <f t="shared" si="44"/>
        <v>NA</v>
      </c>
      <c r="J97" s="3227" t="s">
        <v>2146</v>
      </c>
      <c r="K97" s="3227" t="s">
        <v>2146</v>
      </c>
      <c r="L97" s="3227" t="s">
        <v>2146</v>
      </c>
      <c r="M97" s="3497" t="s">
        <v>2146</v>
      </c>
    </row>
    <row r="98" spans="2:13" ht="18" customHeight="1" x14ac:dyDescent="0.25">
      <c r="B98" s="2616" t="s">
        <v>567</v>
      </c>
      <c r="C98" s="2618" t="s">
        <v>567</v>
      </c>
      <c r="D98" s="3227" t="s">
        <v>2146</v>
      </c>
      <c r="E98" s="3227" t="s">
        <v>2146</v>
      </c>
      <c r="F98" s="3227" t="s">
        <v>2146</v>
      </c>
      <c r="G98" s="3103" t="str">
        <f t="shared" si="45"/>
        <v>NA</v>
      </c>
      <c r="H98" s="3103" t="str">
        <f t="shared" si="46"/>
        <v>NA</v>
      </c>
      <c r="I98" s="3103" t="str">
        <f t="shared" si="44"/>
        <v>NA</v>
      </c>
      <c r="J98" s="3227" t="s">
        <v>2146</v>
      </c>
      <c r="K98" s="3227" t="s">
        <v>2146</v>
      </c>
      <c r="L98" s="3227" t="s">
        <v>2146</v>
      </c>
      <c r="M98" s="3497" t="s">
        <v>2146</v>
      </c>
    </row>
    <row r="99" spans="2:13" ht="18" customHeight="1" x14ac:dyDescent="0.25">
      <c r="B99" s="2616" t="s">
        <v>569</v>
      </c>
      <c r="C99" s="2618" t="s">
        <v>569</v>
      </c>
      <c r="D99" s="3227" t="s">
        <v>2146</v>
      </c>
      <c r="E99" s="3227" t="s">
        <v>2146</v>
      </c>
      <c r="F99" s="3227" t="s">
        <v>2146</v>
      </c>
      <c r="G99" s="3103" t="str">
        <f t="shared" si="45"/>
        <v>NA</v>
      </c>
      <c r="H99" s="3103" t="str">
        <f t="shared" si="46"/>
        <v>NA</v>
      </c>
      <c r="I99" s="3103" t="str">
        <f t="shared" si="44"/>
        <v>NA</v>
      </c>
      <c r="J99" s="3227" t="s">
        <v>2146</v>
      </c>
      <c r="K99" s="3227" t="s">
        <v>2146</v>
      </c>
      <c r="L99" s="3227" t="s">
        <v>2146</v>
      </c>
      <c r="M99" s="3497" t="s">
        <v>2146</v>
      </c>
    </row>
    <row r="100" spans="2:13" ht="18" customHeight="1" x14ac:dyDescent="0.25">
      <c r="B100" s="2616" t="s">
        <v>571</v>
      </c>
      <c r="C100" s="2618" t="s">
        <v>571</v>
      </c>
      <c r="D100" s="3227" t="s">
        <v>2146</v>
      </c>
      <c r="E100" s="3227" t="s">
        <v>2146</v>
      </c>
      <c r="F100" s="3227" t="s">
        <v>2146</v>
      </c>
      <c r="G100" s="3103" t="str">
        <f t="shared" si="45"/>
        <v>NA</v>
      </c>
      <c r="H100" s="3103" t="str">
        <f t="shared" si="46"/>
        <v>NA</v>
      </c>
      <c r="I100" s="3103" t="str">
        <f t="shared" si="44"/>
        <v>NA</v>
      </c>
      <c r="J100" s="3227" t="s">
        <v>2146</v>
      </c>
      <c r="K100" s="3227" t="s">
        <v>2146</v>
      </c>
      <c r="L100" s="3227" t="s">
        <v>2146</v>
      </c>
      <c r="M100" s="3497" t="s">
        <v>2146</v>
      </c>
    </row>
    <row r="101" spans="2:13" ht="18" customHeight="1" x14ac:dyDescent="0.25">
      <c r="B101" s="2616" t="s">
        <v>574</v>
      </c>
      <c r="C101" s="2618" t="s">
        <v>574</v>
      </c>
      <c r="D101" s="3227" t="s">
        <v>2146</v>
      </c>
      <c r="E101" s="3227" t="s">
        <v>2146</v>
      </c>
      <c r="F101" s="3227" t="s">
        <v>2146</v>
      </c>
      <c r="G101" s="3103" t="str">
        <f t="shared" si="45"/>
        <v>NA</v>
      </c>
      <c r="H101" s="3103" t="str">
        <f t="shared" si="46"/>
        <v>NA</v>
      </c>
      <c r="I101" s="3103" t="str">
        <f t="shared" si="44"/>
        <v>NA</v>
      </c>
      <c r="J101" s="3227" t="s">
        <v>2146</v>
      </c>
      <c r="K101" s="3227" t="s">
        <v>2146</v>
      </c>
      <c r="L101" s="3227" t="s">
        <v>2146</v>
      </c>
      <c r="M101" s="3497" t="s">
        <v>2146</v>
      </c>
    </row>
    <row r="102" spans="2:13" ht="18" customHeight="1" x14ac:dyDescent="0.25">
      <c r="B102" s="2616" t="s">
        <v>576</v>
      </c>
      <c r="C102" s="2618" t="s">
        <v>576</v>
      </c>
      <c r="D102" s="3227" t="s">
        <v>2146</v>
      </c>
      <c r="E102" s="3227" t="s">
        <v>2146</v>
      </c>
      <c r="F102" s="3227" t="s">
        <v>2146</v>
      </c>
      <c r="G102" s="3103" t="str">
        <f t="shared" si="45"/>
        <v>NA</v>
      </c>
      <c r="H102" s="3103" t="str">
        <f t="shared" si="46"/>
        <v>NA</v>
      </c>
      <c r="I102" s="3103" t="str">
        <f t="shared" si="44"/>
        <v>NA</v>
      </c>
      <c r="J102" s="3227" t="s">
        <v>2146</v>
      </c>
      <c r="K102" s="3227" t="s">
        <v>2146</v>
      </c>
      <c r="L102" s="3227" t="s">
        <v>2146</v>
      </c>
      <c r="M102" s="3497" t="s">
        <v>2146</v>
      </c>
    </row>
    <row r="103" spans="2:13" ht="18" customHeight="1" x14ac:dyDescent="0.25">
      <c r="B103" s="2616" t="s">
        <v>577</v>
      </c>
      <c r="C103" s="2618" t="s">
        <v>577</v>
      </c>
      <c r="D103" s="3227" t="s">
        <v>2146</v>
      </c>
      <c r="E103" s="3227" t="s">
        <v>2146</v>
      </c>
      <c r="F103" s="3227" t="s">
        <v>2146</v>
      </c>
      <c r="G103" s="3103" t="str">
        <f t="shared" si="45"/>
        <v>NA</v>
      </c>
      <c r="H103" s="3103" t="str">
        <f t="shared" si="46"/>
        <v>NA</v>
      </c>
      <c r="I103" s="3103" t="str">
        <f t="shared" si="44"/>
        <v>NA</v>
      </c>
      <c r="J103" s="3227" t="s">
        <v>2146</v>
      </c>
      <c r="K103" s="3227" t="s">
        <v>2146</v>
      </c>
      <c r="L103" s="3227" t="s">
        <v>2146</v>
      </c>
      <c r="M103" s="3497" t="s">
        <v>2146</v>
      </c>
    </row>
    <row r="104" spans="2:13" ht="18" customHeight="1" x14ac:dyDescent="0.25">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5">
      <c r="B105" s="2616" t="s">
        <v>559</v>
      </c>
      <c r="C105" s="2618" t="s">
        <v>559</v>
      </c>
      <c r="D105" s="3227" t="str">
        <f>IF(D92="NO","NO","IE")</f>
        <v>NO</v>
      </c>
      <c r="E105" s="3227" t="str">
        <f>IF(E92="NO","NO","IE")</f>
        <v>NO</v>
      </c>
      <c r="F105" s="2108"/>
      <c r="G105" s="3103" t="str">
        <f>IF(SUM(D105)=0,"NA",J105/D105)</f>
        <v>NA</v>
      </c>
      <c r="H105" s="3103" t="str">
        <f>IF(SUM(E105)=0,"NA",K105/E105)</f>
        <v>NA</v>
      </c>
      <c r="I105" s="2108"/>
      <c r="J105" s="3227" t="str">
        <f>IF(J92="NO","NO","IE")</f>
        <v>NO</v>
      </c>
      <c r="K105" s="3227" t="str">
        <f>IF(K92="NO","NO","IE")</f>
        <v>NO</v>
      </c>
      <c r="L105" s="3228"/>
      <c r="M105" s="3497" t="str">
        <f>IF(M92="NO","NO","IE")</f>
        <v>NO</v>
      </c>
    </row>
    <row r="106" spans="2:13" ht="18" customHeight="1" x14ac:dyDescent="0.25">
      <c r="B106" s="2616" t="s">
        <v>560</v>
      </c>
      <c r="C106" s="2618" t="s">
        <v>560</v>
      </c>
      <c r="D106" s="3227" t="str">
        <f t="shared" ref="D106:E116" si="47">IF(D93="NO","NO","IE")</f>
        <v>NO</v>
      </c>
      <c r="E106" s="3227" t="str">
        <f t="shared" si="47"/>
        <v>NO</v>
      </c>
      <c r="F106" s="2108"/>
      <c r="G106" s="3103" t="str">
        <f t="shared" ref="G106:G116" si="48">IF(SUM(D106)=0,"NA",J106/D106)</f>
        <v>NA</v>
      </c>
      <c r="H106" s="3103" t="str">
        <f t="shared" ref="H106:H116" si="49">IF(SUM(E106)=0,"NA",K106/E106)</f>
        <v>NA</v>
      </c>
      <c r="I106" s="2108"/>
      <c r="J106" s="3227" t="str">
        <f t="shared" ref="J106:K106" si="50">IF(J93="NO","NO","IE")</f>
        <v>NO</v>
      </c>
      <c r="K106" s="3227" t="str">
        <f t="shared" si="50"/>
        <v>NO</v>
      </c>
      <c r="L106" s="3228"/>
      <c r="M106" s="3497" t="str">
        <f t="shared" ref="M106" si="51">IF(M93="NO","NO","IE")</f>
        <v>NO</v>
      </c>
    </row>
    <row r="107" spans="2:13" ht="18" customHeight="1" x14ac:dyDescent="0.25">
      <c r="B107" s="2616" t="s">
        <v>562</v>
      </c>
      <c r="C107" s="2618" t="s">
        <v>562</v>
      </c>
      <c r="D107" s="3227" t="str">
        <f t="shared" si="47"/>
        <v>NO</v>
      </c>
      <c r="E107" s="3227" t="str">
        <f t="shared" si="47"/>
        <v>NO</v>
      </c>
      <c r="F107" s="2108"/>
      <c r="G107" s="3103" t="str">
        <f t="shared" si="48"/>
        <v>NA</v>
      </c>
      <c r="H107" s="3103" t="str">
        <f t="shared" si="49"/>
        <v>NA</v>
      </c>
      <c r="I107" s="2108"/>
      <c r="J107" s="3227" t="str">
        <f t="shared" ref="J107:K107" si="52">IF(J94="NO","NO","IE")</f>
        <v>NO</v>
      </c>
      <c r="K107" s="3227" t="str">
        <f t="shared" si="52"/>
        <v>NO</v>
      </c>
      <c r="L107" s="3228"/>
      <c r="M107" s="3497" t="str">
        <f t="shared" ref="M107" si="53">IF(M94="NO","NO","IE")</f>
        <v>NO</v>
      </c>
    </row>
    <row r="108" spans="2:13" ht="18" customHeight="1" x14ac:dyDescent="0.25">
      <c r="B108" s="2616" t="s">
        <v>563</v>
      </c>
      <c r="C108" s="2618" t="s">
        <v>563</v>
      </c>
      <c r="D108" s="3227" t="str">
        <f t="shared" si="47"/>
        <v>NO</v>
      </c>
      <c r="E108" s="3227" t="str">
        <f t="shared" si="47"/>
        <v>NO</v>
      </c>
      <c r="F108" s="2108"/>
      <c r="G108" s="3103" t="str">
        <f t="shared" si="48"/>
        <v>NA</v>
      </c>
      <c r="H108" s="3103" t="str">
        <f t="shared" si="49"/>
        <v>NA</v>
      </c>
      <c r="I108" s="2108"/>
      <c r="J108" s="3227" t="str">
        <f t="shared" ref="J108:K108" si="54">IF(J95="NO","NO","IE")</f>
        <v>NO</v>
      </c>
      <c r="K108" s="3227" t="str">
        <f t="shared" si="54"/>
        <v>NO</v>
      </c>
      <c r="L108" s="3228"/>
      <c r="M108" s="3497" t="str">
        <f t="shared" ref="M108" si="55">IF(M95="NO","NO","IE")</f>
        <v>NO</v>
      </c>
    </row>
    <row r="109" spans="2:13" ht="18" customHeight="1" x14ac:dyDescent="0.25">
      <c r="B109" s="2616" t="s">
        <v>564</v>
      </c>
      <c r="C109" s="2618" t="s">
        <v>564</v>
      </c>
      <c r="D109" s="3227" t="str">
        <f t="shared" si="47"/>
        <v>NO</v>
      </c>
      <c r="E109" s="3227" t="str">
        <f t="shared" si="47"/>
        <v>NO</v>
      </c>
      <c r="F109" s="2108"/>
      <c r="G109" s="3103" t="str">
        <f t="shared" si="48"/>
        <v>NA</v>
      </c>
      <c r="H109" s="3103" t="str">
        <f t="shared" si="49"/>
        <v>NA</v>
      </c>
      <c r="I109" s="2108"/>
      <c r="J109" s="3227" t="str">
        <f t="shared" ref="J109:K109" si="56">IF(J96="NO","NO","IE")</f>
        <v>NO</v>
      </c>
      <c r="K109" s="3227" t="str">
        <f t="shared" si="56"/>
        <v>NO</v>
      </c>
      <c r="L109" s="3228"/>
      <c r="M109" s="3497" t="str">
        <f t="shared" ref="M109" si="57">IF(M96="NO","NO","IE")</f>
        <v>NO</v>
      </c>
    </row>
    <row r="110" spans="2:13" ht="18" customHeight="1" x14ac:dyDescent="0.25">
      <c r="B110" s="2616" t="s">
        <v>565</v>
      </c>
      <c r="C110" s="2618" t="s">
        <v>565</v>
      </c>
      <c r="D110" s="3227" t="str">
        <f t="shared" si="47"/>
        <v>NO</v>
      </c>
      <c r="E110" s="3227" t="str">
        <f t="shared" si="47"/>
        <v>NO</v>
      </c>
      <c r="F110" s="2108"/>
      <c r="G110" s="3103" t="str">
        <f t="shared" si="48"/>
        <v>NA</v>
      </c>
      <c r="H110" s="3103" t="str">
        <f t="shared" si="49"/>
        <v>NA</v>
      </c>
      <c r="I110" s="2108"/>
      <c r="J110" s="3227" t="str">
        <f t="shared" ref="J110:K110" si="58">IF(J97="NO","NO","IE")</f>
        <v>NO</v>
      </c>
      <c r="K110" s="3227" t="str">
        <f t="shared" si="58"/>
        <v>NO</v>
      </c>
      <c r="L110" s="3228"/>
      <c r="M110" s="3497" t="str">
        <f t="shared" ref="M110" si="59">IF(M97="NO","NO","IE")</f>
        <v>NO</v>
      </c>
    </row>
    <row r="111" spans="2:13" ht="18" customHeight="1" x14ac:dyDescent="0.25">
      <c r="B111" s="2616" t="s">
        <v>567</v>
      </c>
      <c r="C111" s="2618" t="s">
        <v>567</v>
      </c>
      <c r="D111" s="3227" t="str">
        <f t="shared" si="47"/>
        <v>NO</v>
      </c>
      <c r="E111" s="3227" t="str">
        <f t="shared" si="47"/>
        <v>NO</v>
      </c>
      <c r="F111" s="2108"/>
      <c r="G111" s="3103" t="str">
        <f t="shared" si="48"/>
        <v>NA</v>
      </c>
      <c r="H111" s="3103" t="str">
        <f t="shared" si="49"/>
        <v>NA</v>
      </c>
      <c r="I111" s="2108"/>
      <c r="J111" s="3227" t="str">
        <f t="shared" ref="J111:K111" si="60">IF(J98="NO","NO","IE")</f>
        <v>NO</v>
      </c>
      <c r="K111" s="3227" t="str">
        <f t="shared" si="60"/>
        <v>NO</v>
      </c>
      <c r="L111" s="3228"/>
      <c r="M111" s="3497" t="str">
        <f t="shared" ref="M111" si="61">IF(M98="NO","NO","IE")</f>
        <v>NO</v>
      </c>
    </row>
    <row r="112" spans="2:13" ht="18" customHeight="1" x14ac:dyDescent="0.25">
      <c r="B112" s="2616" t="s">
        <v>569</v>
      </c>
      <c r="C112" s="2618" t="s">
        <v>569</v>
      </c>
      <c r="D112" s="3227" t="str">
        <f t="shared" si="47"/>
        <v>NO</v>
      </c>
      <c r="E112" s="3227" t="str">
        <f t="shared" si="47"/>
        <v>NO</v>
      </c>
      <c r="F112" s="2108"/>
      <c r="G112" s="3103" t="str">
        <f t="shared" si="48"/>
        <v>NA</v>
      </c>
      <c r="H112" s="3103" t="str">
        <f t="shared" si="49"/>
        <v>NA</v>
      </c>
      <c r="I112" s="2108"/>
      <c r="J112" s="3227" t="str">
        <f t="shared" ref="J112:K112" si="62">IF(J99="NO","NO","IE")</f>
        <v>NO</v>
      </c>
      <c r="K112" s="3227" t="str">
        <f t="shared" si="62"/>
        <v>NO</v>
      </c>
      <c r="L112" s="3228"/>
      <c r="M112" s="3497" t="str">
        <f t="shared" ref="M112" si="63">IF(M99="NO","NO","IE")</f>
        <v>NO</v>
      </c>
    </row>
    <row r="113" spans="2:13" ht="18" customHeight="1" x14ac:dyDescent="0.25">
      <c r="B113" s="2616" t="s">
        <v>571</v>
      </c>
      <c r="C113" s="2618" t="s">
        <v>571</v>
      </c>
      <c r="D113" s="3227" t="str">
        <f t="shared" si="47"/>
        <v>NO</v>
      </c>
      <c r="E113" s="3227" t="str">
        <f t="shared" si="47"/>
        <v>NO</v>
      </c>
      <c r="F113" s="2108"/>
      <c r="G113" s="3103" t="str">
        <f t="shared" si="48"/>
        <v>NA</v>
      </c>
      <c r="H113" s="3103" t="str">
        <f t="shared" si="49"/>
        <v>NA</v>
      </c>
      <c r="I113" s="2108"/>
      <c r="J113" s="3227" t="str">
        <f t="shared" ref="J113:K113" si="64">IF(J100="NO","NO","IE")</f>
        <v>NO</v>
      </c>
      <c r="K113" s="3227" t="str">
        <f t="shared" si="64"/>
        <v>NO</v>
      </c>
      <c r="L113" s="3228"/>
      <c r="M113" s="3497" t="str">
        <f t="shared" ref="M113" si="65">IF(M100="NO","NO","IE")</f>
        <v>NO</v>
      </c>
    </row>
    <row r="114" spans="2:13" ht="18" customHeight="1" x14ac:dyDescent="0.25">
      <c r="B114" s="2616" t="s">
        <v>574</v>
      </c>
      <c r="C114" s="2618" t="s">
        <v>574</v>
      </c>
      <c r="D114" s="3227" t="str">
        <f t="shared" si="47"/>
        <v>NO</v>
      </c>
      <c r="E114" s="3227" t="str">
        <f t="shared" si="47"/>
        <v>NO</v>
      </c>
      <c r="F114" s="2108"/>
      <c r="G114" s="3103" t="str">
        <f t="shared" si="48"/>
        <v>NA</v>
      </c>
      <c r="H114" s="3103" t="str">
        <f t="shared" si="49"/>
        <v>NA</v>
      </c>
      <c r="I114" s="2108"/>
      <c r="J114" s="3227" t="str">
        <f t="shared" ref="J114:K114" si="66">IF(J101="NO","NO","IE")</f>
        <v>NO</v>
      </c>
      <c r="K114" s="3227" t="str">
        <f t="shared" si="66"/>
        <v>NO</v>
      </c>
      <c r="L114" s="3228"/>
      <c r="M114" s="3497" t="str">
        <f t="shared" ref="M114" si="67">IF(M101="NO","NO","IE")</f>
        <v>NO</v>
      </c>
    </row>
    <row r="115" spans="2:13" ht="18" customHeight="1" x14ac:dyDescent="0.25">
      <c r="B115" s="2616" t="s">
        <v>576</v>
      </c>
      <c r="C115" s="2618" t="s">
        <v>576</v>
      </c>
      <c r="D115" s="3227" t="str">
        <f t="shared" si="47"/>
        <v>NO</v>
      </c>
      <c r="E115" s="3227" t="str">
        <f t="shared" si="47"/>
        <v>NO</v>
      </c>
      <c r="F115" s="2108"/>
      <c r="G115" s="3103" t="str">
        <f t="shared" si="48"/>
        <v>NA</v>
      </c>
      <c r="H115" s="3103" t="str">
        <f t="shared" si="49"/>
        <v>NA</v>
      </c>
      <c r="I115" s="2108"/>
      <c r="J115" s="3227" t="str">
        <f t="shared" ref="J115:K115" si="68">IF(J102="NO","NO","IE")</f>
        <v>NO</v>
      </c>
      <c r="K115" s="3227" t="str">
        <f t="shared" si="68"/>
        <v>NO</v>
      </c>
      <c r="L115" s="3228"/>
      <c r="M115" s="3497" t="str">
        <f t="shared" ref="M115" si="69">IF(M102="NO","NO","IE")</f>
        <v>NO</v>
      </c>
    </row>
    <row r="116" spans="2:13" ht="18" customHeight="1" x14ac:dyDescent="0.25">
      <c r="B116" s="2616" t="s">
        <v>577</v>
      </c>
      <c r="C116" s="2618" t="s">
        <v>577</v>
      </c>
      <c r="D116" s="3227" t="str">
        <f t="shared" si="47"/>
        <v>NO</v>
      </c>
      <c r="E116" s="3227" t="str">
        <f t="shared" si="47"/>
        <v>NO</v>
      </c>
      <c r="F116" s="2108"/>
      <c r="G116" s="3103" t="str">
        <f t="shared" si="48"/>
        <v>NA</v>
      </c>
      <c r="H116" s="3103" t="str">
        <f t="shared" si="49"/>
        <v>NA</v>
      </c>
      <c r="I116" s="2108"/>
      <c r="J116" s="3227" t="str">
        <f t="shared" ref="J116:K116" si="70">IF(J103="NO","NO","IE")</f>
        <v>NO</v>
      </c>
      <c r="K116" s="3227" t="str">
        <f t="shared" si="70"/>
        <v>NO</v>
      </c>
      <c r="L116" s="3228"/>
      <c r="M116" s="3497" t="str">
        <f t="shared" ref="M116" si="71">IF(M103="NO","NO","IE")</f>
        <v>NO</v>
      </c>
    </row>
    <row r="117" spans="2:13" ht="18" customHeight="1" x14ac:dyDescent="0.25">
      <c r="B117" s="147" t="s">
        <v>676</v>
      </c>
      <c r="C117" s="2508"/>
      <c r="D117" s="2108"/>
      <c r="E117" s="2108"/>
      <c r="F117" s="2108"/>
      <c r="G117" s="2108"/>
      <c r="H117" s="2108"/>
      <c r="I117" s="2108"/>
      <c r="J117" s="3103" t="str">
        <f>IF(SUM(J118:J129)=0,"NO",SUM(J118:J129))</f>
        <v>NO</v>
      </c>
      <c r="K117" s="3103" t="str">
        <f>IF(SUM(K118:K129)=0,"NO",SUM(K118:K129))</f>
        <v>NO</v>
      </c>
      <c r="L117" s="3103" t="str">
        <f>IF(SUM(L118:L129)=0,"NO",SUM(L118:L129))</f>
        <v>NO</v>
      </c>
      <c r="M117" s="3226" t="str">
        <f>IF(SUM(M118:M129)=0,"NO",SUM(M118:M129))</f>
        <v>NO</v>
      </c>
    </row>
    <row r="118" spans="2:13" ht="18" customHeight="1" x14ac:dyDescent="0.25">
      <c r="B118" s="2616" t="s">
        <v>559</v>
      </c>
      <c r="C118" s="2618" t="s">
        <v>559</v>
      </c>
      <c r="D118" s="3227" t="s">
        <v>2146</v>
      </c>
      <c r="E118" s="3227" t="s">
        <v>2146</v>
      </c>
      <c r="F118" s="3227" t="s">
        <v>2146</v>
      </c>
      <c r="G118" s="3103" t="str">
        <f>IF(SUM(D118)=0,"NA",J118/D118)</f>
        <v>NA</v>
      </c>
      <c r="H118" s="3103" t="str">
        <f>IF(SUM(E118)=0,"NA",K118/E118)</f>
        <v>NA</v>
      </c>
      <c r="I118" s="3103" t="str">
        <f t="shared" ref="I118:I129" si="72">IF(SUM(F118)=0,"NA",(SUM(L118:M118))/F118)</f>
        <v>NA</v>
      </c>
      <c r="J118" s="3227" t="s">
        <v>2146</v>
      </c>
      <c r="K118" s="3227" t="s">
        <v>2146</v>
      </c>
      <c r="L118" s="3227" t="s">
        <v>2146</v>
      </c>
      <c r="M118" s="3497" t="s">
        <v>2146</v>
      </c>
    </row>
    <row r="119" spans="2:13" ht="18" customHeight="1" x14ac:dyDescent="0.25">
      <c r="B119" s="2616" t="s">
        <v>560</v>
      </c>
      <c r="C119" s="2618" t="s">
        <v>560</v>
      </c>
      <c r="D119" s="3227" t="s">
        <v>2146</v>
      </c>
      <c r="E119" s="3227" t="s">
        <v>2146</v>
      </c>
      <c r="F119" s="3227" t="s">
        <v>2146</v>
      </c>
      <c r="G119" s="3103" t="str">
        <f t="shared" ref="G119:G129" si="73">IF(SUM(D119)=0,"NA",J119/D119)</f>
        <v>NA</v>
      </c>
      <c r="H119" s="3103" t="str">
        <f t="shared" ref="H119:H129" si="74">IF(SUM(E119)=0,"NA",K119/E119)</f>
        <v>NA</v>
      </c>
      <c r="I119" s="3103" t="str">
        <f t="shared" si="72"/>
        <v>NA</v>
      </c>
      <c r="J119" s="3227" t="s">
        <v>2146</v>
      </c>
      <c r="K119" s="3227" t="s">
        <v>2146</v>
      </c>
      <c r="L119" s="3227" t="s">
        <v>2146</v>
      </c>
      <c r="M119" s="3497" t="s">
        <v>2146</v>
      </c>
    </row>
    <row r="120" spans="2:13" ht="18" customHeight="1" x14ac:dyDescent="0.25">
      <c r="B120" s="2616" t="s">
        <v>562</v>
      </c>
      <c r="C120" s="2618" t="s">
        <v>562</v>
      </c>
      <c r="D120" s="3227" t="s">
        <v>2146</v>
      </c>
      <c r="E120" s="3227" t="s">
        <v>2146</v>
      </c>
      <c r="F120" s="3227" t="s">
        <v>2146</v>
      </c>
      <c r="G120" s="3103" t="str">
        <f t="shared" si="73"/>
        <v>NA</v>
      </c>
      <c r="H120" s="3103" t="str">
        <f t="shared" si="74"/>
        <v>NA</v>
      </c>
      <c r="I120" s="3103" t="str">
        <f t="shared" si="72"/>
        <v>NA</v>
      </c>
      <c r="J120" s="3227" t="s">
        <v>2146</v>
      </c>
      <c r="K120" s="3227" t="s">
        <v>2146</v>
      </c>
      <c r="L120" s="3227" t="s">
        <v>2146</v>
      </c>
      <c r="M120" s="3497" t="s">
        <v>2146</v>
      </c>
    </row>
    <row r="121" spans="2:13" ht="18" customHeight="1" x14ac:dyDescent="0.25">
      <c r="B121" s="2616" t="s">
        <v>563</v>
      </c>
      <c r="C121" s="2618" t="s">
        <v>563</v>
      </c>
      <c r="D121" s="3227" t="s">
        <v>2146</v>
      </c>
      <c r="E121" s="3227" t="s">
        <v>2146</v>
      </c>
      <c r="F121" s="3227" t="s">
        <v>2146</v>
      </c>
      <c r="G121" s="3103" t="str">
        <f t="shared" si="73"/>
        <v>NA</v>
      </c>
      <c r="H121" s="3103" t="str">
        <f t="shared" si="74"/>
        <v>NA</v>
      </c>
      <c r="I121" s="3103" t="str">
        <f t="shared" si="72"/>
        <v>NA</v>
      </c>
      <c r="J121" s="3227" t="s">
        <v>2146</v>
      </c>
      <c r="K121" s="3227" t="s">
        <v>2146</v>
      </c>
      <c r="L121" s="3227" t="s">
        <v>2146</v>
      </c>
      <c r="M121" s="3497" t="s">
        <v>2146</v>
      </c>
    </row>
    <row r="122" spans="2:13" ht="18" customHeight="1" x14ac:dyDescent="0.25">
      <c r="B122" s="2616" t="s">
        <v>564</v>
      </c>
      <c r="C122" s="2618" t="s">
        <v>564</v>
      </c>
      <c r="D122" s="3227" t="s">
        <v>2146</v>
      </c>
      <c r="E122" s="3227" t="s">
        <v>2146</v>
      </c>
      <c r="F122" s="3227" t="s">
        <v>2146</v>
      </c>
      <c r="G122" s="3103" t="str">
        <f t="shared" si="73"/>
        <v>NA</v>
      </c>
      <c r="H122" s="3103" t="str">
        <f t="shared" si="74"/>
        <v>NA</v>
      </c>
      <c r="I122" s="3103" t="str">
        <f t="shared" si="72"/>
        <v>NA</v>
      </c>
      <c r="J122" s="3227" t="s">
        <v>2146</v>
      </c>
      <c r="K122" s="3227" t="s">
        <v>2146</v>
      </c>
      <c r="L122" s="3227" t="s">
        <v>2146</v>
      </c>
      <c r="M122" s="3497" t="s">
        <v>2146</v>
      </c>
    </row>
    <row r="123" spans="2:13" ht="18" customHeight="1" x14ac:dyDescent="0.25">
      <c r="B123" s="2616" t="s">
        <v>565</v>
      </c>
      <c r="C123" s="2618" t="s">
        <v>565</v>
      </c>
      <c r="D123" s="3227" t="s">
        <v>2146</v>
      </c>
      <c r="E123" s="3227" t="s">
        <v>2146</v>
      </c>
      <c r="F123" s="3227" t="s">
        <v>2146</v>
      </c>
      <c r="G123" s="3103" t="str">
        <f t="shared" si="73"/>
        <v>NA</v>
      </c>
      <c r="H123" s="3103" t="str">
        <f t="shared" si="74"/>
        <v>NA</v>
      </c>
      <c r="I123" s="3103" t="str">
        <f t="shared" si="72"/>
        <v>NA</v>
      </c>
      <c r="J123" s="3227" t="s">
        <v>2146</v>
      </c>
      <c r="K123" s="3227" t="s">
        <v>2146</v>
      </c>
      <c r="L123" s="3227" t="s">
        <v>2146</v>
      </c>
      <c r="M123" s="3497" t="s">
        <v>2146</v>
      </c>
    </row>
    <row r="124" spans="2:13" ht="18" customHeight="1" x14ac:dyDescent="0.25">
      <c r="B124" s="2616" t="s">
        <v>567</v>
      </c>
      <c r="C124" s="2618" t="s">
        <v>567</v>
      </c>
      <c r="D124" s="3227" t="s">
        <v>2146</v>
      </c>
      <c r="E124" s="3227" t="s">
        <v>2146</v>
      </c>
      <c r="F124" s="3227" t="s">
        <v>2146</v>
      </c>
      <c r="G124" s="3103" t="str">
        <f t="shared" si="73"/>
        <v>NA</v>
      </c>
      <c r="H124" s="3103" t="str">
        <f t="shared" si="74"/>
        <v>NA</v>
      </c>
      <c r="I124" s="3103" t="str">
        <f t="shared" si="72"/>
        <v>NA</v>
      </c>
      <c r="J124" s="3227" t="s">
        <v>2146</v>
      </c>
      <c r="K124" s="3227" t="s">
        <v>2146</v>
      </c>
      <c r="L124" s="3227" t="s">
        <v>2146</v>
      </c>
      <c r="M124" s="3497" t="s">
        <v>2146</v>
      </c>
    </row>
    <row r="125" spans="2:13" ht="18" customHeight="1" x14ac:dyDescent="0.25">
      <c r="B125" s="2616" t="s">
        <v>569</v>
      </c>
      <c r="C125" s="2618" t="s">
        <v>569</v>
      </c>
      <c r="D125" s="3227" t="s">
        <v>2146</v>
      </c>
      <c r="E125" s="3227" t="s">
        <v>2146</v>
      </c>
      <c r="F125" s="3227" t="s">
        <v>2146</v>
      </c>
      <c r="G125" s="3103" t="str">
        <f t="shared" si="73"/>
        <v>NA</v>
      </c>
      <c r="H125" s="3103" t="str">
        <f t="shared" si="74"/>
        <v>NA</v>
      </c>
      <c r="I125" s="3103" t="str">
        <f t="shared" si="72"/>
        <v>NA</v>
      </c>
      <c r="J125" s="3227" t="s">
        <v>2146</v>
      </c>
      <c r="K125" s="3227" t="s">
        <v>2146</v>
      </c>
      <c r="L125" s="3227" t="s">
        <v>2146</v>
      </c>
      <c r="M125" s="3497" t="s">
        <v>2146</v>
      </c>
    </row>
    <row r="126" spans="2:13" ht="18" customHeight="1" x14ac:dyDescent="0.25">
      <c r="B126" s="2616" t="s">
        <v>571</v>
      </c>
      <c r="C126" s="2618" t="s">
        <v>571</v>
      </c>
      <c r="D126" s="3227" t="s">
        <v>2146</v>
      </c>
      <c r="E126" s="3227" t="s">
        <v>2146</v>
      </c>
      <c r="F126" s="3227" t="s">
        <v>2146</v>
      </c>
      <c r="G126" s="3103" t="str">
        <f t="shared" si="73"/>
        <v>NA</v>
      </c>
      <c r="H126" s="3103" t="str">
        <f t="shared" si="74"/>
        <v>NA</v>
      </c>
      <c r="I126" s="3103" t="str">
        <f t="shared" si="72"/>
        <v>NA</v>
      </c>
      <c r="J126" s="3227" t="s">
        <v>2146</v>
      </c>
      <c r="K126" s="3227" t="s">
        <v>2146</v>
      </c>
      <c r="L126" s="3227" t="s">
        <v>2146</v>
      </c>
      <c r="M126" s="3497" t="s">
        <v>2146</v>
      </c>
    </row>
    <row r="127" spans="2:13" ht="18" customHeight="1" x14ac:dyDescent="0.25">
      <c r="B127" s="2616" t="s">
        <v>574</v>
      </c>
      <c r="C127" s="2618" t="s">
        <v>574</v>
      </c>
      <c r="D127" s="3227" t="s">
        <v>2146</v>
      </c>
      <c r="E127" s="3227" t="s">
        <v>2146</v>
      </c>
      <c r="F127" s="3227" t="s">
        <v>2146</v>
      </c>
      <c r="G127" s="3103" t="str">
        <f t="shared" si="73"/>
        <v>NA</v>
      </c>
      <c r="H127" s="3103" t="str">
        <f t="shared" si="74"/>
        <v>NA</v>
      </c>
      <c r="I127" s="3103" t="str">
        <f t="shared" si="72"/>
        <v>NA</v>
      </c>
      <c r="J127" s="3227" t="s">
        <v>2146</v>
      </c>
      <c r="K127" s="3227" t="s">
        <v>2146</v>
      </c>
      <c r="L127" s="3227" t="s">
        <v>2146</v>
      </c>
      <c r="M127" s="3497" t="s">
        <v>2146</v>
      </c>
    </row>
    <row r="128" spans="2:13" ht="18" customHeight="1" x14ac:dyDescent="0.25">
      <c r="B128" s="2616" t="s">
        <v>576</v>
      </c>
      <c r="C128" s="2618" t="s">
        <v>576</v>
      </c>
      <c r="D128" s="3227" t="s">
        <v>2146</v>
      </c>
      <c r="E128" s="3227" t="s">
        <v>2146</v>
      </c>
      <c r="F128" s="3227" t="s">
        <v>2146</v>
      </c>
      <c r="G128" s="3103" t="str">
        <f t="shared" si="73"/>
        <v>NA</v>
      </c>
      <c r="H128" s="3103" t="str">
        <f t="shared" si="74"/>
        <v>NA</v>
      </c>
      <c r="I128" s="3103" t="str">
        <f t="shared" si="72"/>
        <v>NA</v>
      </c>
      <c r="J128" s="3227" t="s">
        <v>2146</v>
      </c>
      <c r="K128" s="3227" t="s">
        <v>2146</v>
      </c>
      <c r="L128" s="3227" t="s">
        <v>2146</v>
      </c>
      <c r="M128" s="3497" t="s">
        <v>2146</v>
      </c>
    </row>
    <row r="129" spans="2:13" ht="18" customHeight="1" x14ac:dyDescent="0.25">
      <c r="B129" s="2616" t="s">
        <v>577</v>
      </c>
      <c r="C129" s="2618" t="s">
        <v>577</v>
      </c>
      <c r="D129" s="3227" t="s">
        <v>2146</v>
      </c>
      <c r="E129" s="3227" t="s">
        <v>2146</v>
      </c>
      <c r="F129" s="3227" t="s">
        <v>2146</v>
      </c>
      <c r="G129" s="3103" t="str">
        <f t="shared" si="73"/>
        <v>NA</v>
      </c>
      <c r="H129" s="3103" t="str">
        <f t="shared" si="74"/>
        <v>NA</v>
      </c>
      <c r="I129" s="3103" t="str">
        <f t="shared" si="72"/>
        <v>NA</v>
      </c>
      <c r="J129" s="3227" t="s">
        <v>2146</v>
      </c>
      <c r="K129" s="3227" t="s">
        <v>2146</v>
      </c>
      <c r="L129" s="3227" t="s">
        <v>2146</v>
      </c>
      <c r="M129" s="3497" t="s">
        <v>2146</v>
      </c>
    </row>
    <row r="130" spans="2:13" ht="18" customHeight="1" x14ac:dyDescent="0.25">
      <c r="B130" s="147" t="s">
        <v>477</v>
      </c>
      <c r="C130" s="2508"/>
      <c r="D130" s="4317"/>
      <c r="E130" s="4317"/>
      <c r="F130" s="4317"/>
      <c r="G130" s="4318"/>
      <c r="H130" s="4318"/>
      <c r="I130" s="4318"/>
      <c r="J130" s="3103" t="str">
        <f>IF(SUM(J131,J144)=0,"NO",SUM(J131,J144))</f>
        <v>NO</v>
      </c>
      <c r="K130" s="3103" t="str">
        <f>IF(SUM(K131,K144)=0,"NO",SUM(K131,K144))</f>
        <v>NO</v>
      </c>
      <c r="L130" s="3229"/>
      <c r="M130" s="3226" t="str">
        <f>IF(SUM(M131,M144)=0,"NO",SUM(M131,M144))</f>
        <v>NO</v>
      </c>
    </row>
    <row r="131" spans="2:13" ht="18" customHeight="1" x14ac:dyDescent="0.25">
      <c r="B131" s="99" t="s">
        <v>677</v>
      </c>
      <c r="C131" s="2508"/>
      <c r="D131" s="2108"/>
      <c r="E131" s="2108"/>
      <c r="F131" s="2108"/>
      <c r="G131" s="2108"/>
      <c r="H131" s="2108"/>
      <c r="I131" s="2108"/>
      <c r="J131" s="3103" t="str">
        <f>IF(SUM(J132:J143)=0,"NO",SUM(J132:J143))</f>
        <v>NO</v>
      </c>
      <c r="K131" s="3103" t="str">
        <f>IF(SUM(K132:K143)=0,"NO",SUM(K132:K143))</f>
        <v>NO</v>
      </c>
      <c r="L131" s="3229"/>
      <c r="M131" s="3226" t="str">
        <f>IF(SUM(M132:M143)=0,"NO",SUM(M132:M143))</f>
        <v>NO</v>
      </c>
    </row>
    <row r="132" spans="2:13" ht="18" customHeight="1" x14ac:dyDescent="0.25">
      <c r="B132" s="2616" t="s">
        <v>559</v>
      </c>
      <c r="C132" s="2618" t="s">
        <v>559</v>
      </c>
      <c r="D132" s="3227" t="s">
        <v>2146</v>
      </c>
      <c r="E132" s="3227" t="s">
        <v>2146</v>
      </c>
      <c r="F132" s="3229"/>
      <c r="G132" s="3103" t="str">
        <f>IF(SUM(D132)=0,"NA",J132/D132)</f>
        <v>NA</v>
      </c>
      <c r="H132" s="3103" t="str">
        <f>IF(SUM(E132)=0,"NA",K132/E132)</f>
        <v>NA</v>
      </c>
      <c r="I132" s="4318"/>
      <c r="J132" s="3227" t="s">
        <v>2146</v>
      </c>
      <c r="K132" s="3227" t="s">
        <v>2146</v>
      </c>
      <c r="L132" s="3229"/>
      <c r="M132" s="3497" t="s">
        <v>2146</v>
      </c>
    </row>
    <row r="133" spans="2:13" ht="18" customHeight="1" x14ac:dyDescent="0.25">
      <c r="B133" s="2616" t="s">
        <v>560</v>
      </c>
      <c r="C133" s="2618" t="s">
        <v>560</v>
      </c>
      <c r="D133" s="3227" t="s">
        <v>2146</v>
      </c>
      <c r="E133" s="3227" t="s">
        <v>2146</v>
      </c>
      <c r="F133" s="3229"/>
      <c r="G133" s="3103" t="str">
        <f t="shared" ref="G133:G143" si="75">IF(SUM(D133)=0,"NA",J133/D133)</f>
        <v>NA</v>
      </c>
      <c r="H133" s="3103" t="str">
        <f t="shared" ref="H133:H143" si="76">IF(SUM(E133)=0,"NA",K133/E133)</f>
        <v>NA</v>
      </c>
      <c r="I133" s="4318"/>
      <c r="J133" s="3227" t="s">
        <v>2146</v>
      </c>
      <c r="K133" s="3227" t="s">
        <v>2146</v>
      </c>
      <c r="L133" s="3229"/>
      <c r="M133" s="3497" t="s">
        <v>2146</v>
      </c>
    </row>
    <row r="134" spans="2:13" ht="18" customHeight="1" x14ac:dyDescent="0.25">
      <c r="B134" s="2616" t="s">
        <v>562</v>
      </c>
      <c r="C134" s="2618" t="s">
        <v>562</v>
      </c>
      <c r="D134" s="3227" t="s">
        <v>2146</v>
      </c>
      <c r="E134" s="3227" t="s">
        <v>2146</v>
      </c>
      <c r="F134" s="3229"/>
      <c r="G134" s="3103" t="str">
        <f t="shared" si="75"/>
        <v>NA</v>
      </c>
      <c r="H134" s="3103" t="str">
        <f t="shared" si="76"/>
        <v>NA</v>
      </c>
      <c r="I134" s="4318"/>
      <c r="J134" s="3227" t="s">
        <v>2146</v>
      </c>
      <c r="K134" s="3227" t="s">
        <v>2146</v>
      </c>
      <c r="L134" s="3229"/>
      <c r="M134" s="3497" t="s">
        <v>2146</v>
      </c>
    </row>
    <row r="135" spans="2:13" ht="18" customHeight="1" x14ac:dyDescent="0.25">
      <c r="B135" s="2616" t="s">
        <v>563</v>
      </c>
      <c r="C135" s="2618" t="s">
        <v>563</v>
      </c>
      <c r="D135" s="3227" t="s">
        <v>2146</v>
      </c>
      <c r="E135" s="3227" t="s">
        <v>2146</v>
      </c>
      <c r="F135" s="3229"/>
      <c r="G135" s="3103" t="str">
        <f t="shared" si="75"/>
        <v>NA</v>
      </c>
      <c r="H135" s="3103" t="str">
        <f t="shared" si="76"/>
        <v>NA</v>
      </c>
      <c r="I135" s="4318"/>
      <c r="J135" s="3227" t="s">
        <v>2146</v>
      </c>
      <c r="K135" s="3227" t="s">
        <v>2146</v>
      </c>
      <c r="L135" s="3229"/>
      <c r="M135" s="3497" t="s">
        <v>2146</v>
      </c>
    </row>
    <row r="136" spans="2:13" ht="18" customHeight="1" x14ac:dyDescent="0.25">
      <c r="B136" s="2616" t="s">
        <v>564</v>
      </c>
      <c r="C136" s="2618" t="s">
        <v>564</v>
      </c>
      <c r="D136" s="3227" t="s">
        <v>2146</v>
      </c>
      <c r="E136" s="3227" t="s">
        <v>2146</v>
      </c>
      <c r="F136" s="3229"/>
      <c r="G136" s="3103" t="str">
        <f t="shared" si="75"/>
        <v>NA</v>
      </c>
      <c r="H136" s="3103" t="str">
        <f t="shared" si="76"/>
        <v>NA</v>
      </c>
      <c r="I136" s="4318"/>
      <c r="J136" s="3227" t="s">
        <v>2146</v>
      </c>
      <c r="K136" s="3227" t="s">
        <v>2146</v>
      </c>
      <c r="L136" s="3229"/>
      <c r="M136" s="3497" t="s">
        <v>2146</v>
      </c>
    </row>
    <row r="137" spans="2:13" ht="18" customHeight="1" x14ac:dyDescent="0.25">
      <c r="B137" s="2616" t="s">
        <v>565</v>
      </c>
      <c r="C137" s="2618" t="s">
        <v>565</v>
      </c>
      <c r="D137" s="3227" t="s">
        <v>2146</v>
      </c>
      <c r="E137" s="3227" t="s">
        <v>2146</v>
      </c>
      <c r="F137" s="3229"/>
      <c r="G137" s="3103" t="str">
        <f t="shared" si="75"/>
        <v>NA</v>
      </c>
      <c r="H137" s="3103" t="str">
        <f t="shared" si="76"/>
        <v>NA</v>
      </c>
      <c r="I137" s="4318"/>
      <c r="J137" s="3227" t="s">
        <v>2146</v>
      </c>
      <c r="K137" s="3227" t="s">
        <v>2146</v>
      </c>
      <c r="L137" s="3229"/>
      <c r="M137" s="3497" t="s">
        <v>2146</v>
      </c>
    </row>
    <row r="138" spans="2:13" ht="18" customHeight="1" x14ac:dyDescent="0.25">
      <c r="B138" s="2616" t="s">
        <v>567</v>
      </c>
      <c r="C138" s="2618" t="s">
        <v>567</v>
      </c>
      <c r="D138" s="3227" t="s">
        <v>2146</v>
      </c>
      <c r="E138" s="3227" t="s">
        <v>2146</v>
      </c>
      <c r="F138" s="3229"/>
      <c r="G138" s="3103" t="str">
        <f t="shared" si="75"/>
        <v>NA</v>
      </c>
      <c r="H138" s="3103" t="str">
        <f t="shared" si="76"/>
        <v>NA</v>
      </c>
      <c r="I138" s="4318"/>
      <c r="J138" s="3227" t="s">
        <v>2146</v>
      </c>
      <c r="K138" s="3227" t="s">
        <v>2146</v>
      </c>
      <c r="L138" s="3229"/>
      <c r="M138" s="3497" t="s">
        <v>2146</v>
      </c>
    </row>
    <row r="139" spans="2:13" ht="18" customHeight="1" x14ac:dyDescent="0.25">
      <c r="B139" s="2616" t="s">
        <v>569</v>
      </c>
      <c r="C139" s="2618" t="s">
        <v>569</v>
      </c>
      <c r="D139" s="3227" t="s">
        <v>2146</v>
      </c>
      <c r="E139" s="3227" t="s">
        <v>2146</v>
      </c>
      <c r="F139" s="3229"/>
      <c r="G139" s="3103" t="str">
        <f t="shared" si="75"/>
        <v>NA</v>
      </c>
      <c r="H139" s="3103" t="str">
        <f t="shared" si="76"/>
        <v>NA</v>
      </c>
      <c r="I139" s="4318"/>
      <c r="J139" s="3227" t="s">
        <v>2146</v>
      </c>
      <c r="K139" s="3227" t="s">
        <v>2146</v>
      </c>
      <c r="L139" s="3229"/>
      <c r="M139" s="3497" t="s">
        <v>2146</v>
      </c>
    </row>
    <row r="140" spans="2:13" ht="18" customHeight="1" x14ac:dyDescent="0.25">
      <c r="B140" s="2616" t="s">
        <v>571</v>
      </c>
      <c r="C140" s="2618" t="s">
        <v>571</v>
      </c>
      <c r="D140" s="3227" t="s">
        <v>2146</v>
      </c>
      <c r="E140" s="3227" t="s">
        <v>2146</v>
      </c>
      <c r="F140" s="3229"/>
      <c r="G140" s="3103" t="str">
        <f t="shared" si="75"/>
        <v>NA</v>
      </c>
      <c r="H140" s="3103" t="str">
        <f t="shared" si="76"/>
        <v>NA</v>
      </c>
      <c r="I140" s="4318"/>
      <c r="J140" s="3227" t="s">
        <v>2146</v>
      </c>
      <c r="K140" s="3227" t="s">
        <v>2146</v>
      </c>
      <c r="L140" s="3229"/>
      <c r="M140" s="3497" t="s">
        <v>2146</v>
      </c>
    </row>
    <row r="141" spans="2:13" ht="18" customHeight="1" x14ac:dyDescent="0.25">
      <c r="B141" s="2616" t="s">
        <v>574</v>
      </c>
      <c r="C141" s="2618" t="s">
        <v>574</v>
      </c>
      <c r="D141" s="3227" t="s">
        <v>2146</v>
      </c>
      <c r="E141" s="3227" t="s">
        <v>2146</v>
      </c>
      <c r="F141" s="3229"/>
      <c r="G141" s="3103" t="str">
        <f t="shared" si="75"/>
        <v>NA</v>
      </c>
      <c r="H141" s="3103" t="str">
        <f t="shared" si="76"/>
        <v>NA</v>
      </c>
      <c r="I141" s="4318"/>
      <c r="J141" s="3227" t="s">
        <v>2146</v>
      </c>
      <c r="K141" s="3227" t="s">
        <v>2146</v>
      </c>
      <c r="L141" s="3229"/>
      <c r="M141" s="3497" t="s">
        <v>2146</v>
      </c>
    </row>
    <row r="142" spans="2:13" ht="18" customHeight="1" x14ac:dyDescent="0.25">
      <c r="B142" s="2616" t="s">
        <v>576</v>
      </c>
      <c r="C142" s="2618" t="s">
        <v>576</v>
      </c>
      <c r="D142" s="3227" t="s">
        <v>2146</v>
      </c>
      <c r="E142" s="3227" t="s">
        <v>2146</v>
      </c>
      <c r="F142" s="3229"/>
      <c r="G142" s="3103" t="str">
        <f t="shared" si="75"/>
        <v>NA</v>
      </c>
      <c r="H142" s="3103" t="str">
        <f t="shared" si="76"/>
        <v>NA</v>
      </c>
      <c r="I142" s="4318"/>
      <c r="J142" s="3227" t="s">
        <v>2146</v>
      </c>
      <c r="K142" s="3227" t="s">
        <v>2146</v>
      </c>
      <c r="L142" s="3229"/>
      <c r="M142" s="3497" t="s">
        <v>2146</v>
      </c>
    </row>
    <row r="143" spans="2:13" ht="18" customHeight="1" x14ac:dyDescent="0.25">
      <c r="B143" s="2616" t="s">
        <v>577</v>
      </c>
      <c r="C143" s="2618" t="s">
        <v>577</v>
      </c>
      <c r="D143" s="3227" t="s">
        <v>2146</v>
      </c>
      <c r="E143" s="3227" t="s">
        <v>2146</v>
      </c>
      <c r="F143" s="3229"/>
      <c r="G143" s="3103" t="str">
        <f t="shared" si="75"/>
        <v>NA</v>
      </c>
      <c r="H143" s="3103" t="str">
        <f t="shared" si="76"/>
        <v>NA</v>
      </c>
      <c r="I143" s="4318"/>
      <c r="J143" s="3227" t="s">
        <v>2146</v>
      </c>
      <c r="K143" s="3227" t="s">
        <v>2146</v>
      </c>
      <c r="L143" s="3229"/>
      <c r="M143" s="3497" t="s">
        <v>2146</v>
      </c>
    </row>
    <row r="144" spans="2:13" ht="18" customHeight="1" x14ac:dyDescent="0.25">
      <c r="B144" s="104" t="s">
        <v>2277</v>
      </c>
      <c r="C144" s="2508"/>
      <c r="D144" s="4317"/>
      <c r="E144" s="4317"/>
      <c r="F144" s="4317"/>
      <c r="G144" s="4318"/>
      <c r="H144" s="4318"/>
      <c r="I144" s="4318"/>
      <c r="J144" s="3103" t="s">
        <v>2147</v>
      </c>
      <c r="K144" s="3103" t="s">
        <v>2147</v>
      </c>
      <c r="L144" s="3229"/>
      <c r="M144" s="3226" t="s">
        <v>2147</v>
      </c>
    </row>
    <row r="145" spans="2:13" ht="18" customHeight="1" x14ac:dyDescent="0.25">
      <c r="B145" s="2616" t="s">
        <v>2147</v>
      </c>
      <c r="C145" s="2508"/>
      <c r="D145" s="4317"/>
      <c r="E145" s="4317"/>
      <c r="F145" s="3229"/>
      <c r="G145" s="3103" t="s">
        <v>2147</v>
      </c>
      <c r="H145" s="3103" t="s">
        <v>2147</v>
      </c>
      <c r="I145" s="4318"/>
      <c r="J145" s="3227" t="s">
        <v>2147</v>
      </c>
      <c r="K145" s="3227" t="s">
        <v>2147</v>
      </c>
      <c r="L145" s="3229"/>
      <c r="M145" s="3497" t="s">
        <v>2147</v>
      </c>
    </row>
    <row r="146" spans="2:13" ht="18" customHeight="1" x14ac:dyDescent="0.25">
      <c r="B146" s="147" t="s">
        <v>478</v>
      </c>
      <c r="C146" s="2508"/>
      <c r="D146" s="2108"/>
      <c r="E146" s="2108"/>
      <c r="F146" s="2108"/>
      <c r="G146" s="2108"/>
      <c r="H146" s="2108"/>
      <c r="I146" s="2108"/>
      <c r="J146" s="3103" t="str">
        <f>IF(SUM(J147:J158)=0,"NO",SUM(J147:J158))</f>
        <v>NO</v>
      </c>
      <c r="K146" s="3103" t="str">
        <f>IF(SUM(K147:K158)=0,"NO",SUM(K147:K158))</f>
        <v>NO</v>
      </c>
      <c r="L146" s="3103" t="str">
        <f>IF(SUM(L147:L158)=0,"NO",SUM(L147:L158))</f>
        <v>NO</v>
      </c>
      <c r="M146" s="3226" t="str">
        <f>IF(SUM(M147:M158)=0,"NO",SUM(M147:M158))</f>
        <v>NO</v>
      </c>
    </row>
    <row r="147" spans="2:13" ht="18" customHeight="1" x14ac:dyDescent="0.25">
      <c r="B147" s="2616" t="s">
        <v>559</v>
      </c>
      <c r="C147" s="2618" t="s">
        <v>559</v>
      </c>
      <c r="D147" s="3227" t="s">
        <v>2146</v>
      </c>
      <c r="E147" s="3227" t="s">
        <v>2146</v>
      </c>
      <c r="F147" s="3227" t="s">
        <v>2146</v>
      </c>
      <c r="G147" s="3103" t="str">
        <f>IFERROR(J147/D147,"NA")</f>
        <v>NA</v>
      </c>
      <c r="H147" s="3103" t="str">
        <f>IF(SUM(E147)=0,"NA",K147/E147)</f>
        <v>NA</v>
      </c>
      <c r="I147" s="3103" t="str">
        <f t="shared" ref="I147:I158" si="77">IF(SUM(F147)=0,"NA",(SUM(L147:M147))/F147)</f>
        <v>NA</v>
      </c>
      <c r="J147" s="3227" t="s">
        <v>2146</v>
      </c>
      <c r="K147" s="3227" t="s">
        <v>2146</v>
      </c>
      <c r="L147" s="3227" t="s">
        <v>2146</v>
      </c>
      <c r="M147" s="3497" t="s">
        <v>2146</v>
      </c>
    </row>
    <row r="148" spans="2:13" ht="18" customHeight="1" x14ac:dyDescent="0.25">
      <c r="B148" s="2616" t="s">
        <v>560</v>
      </c>
      <c r="C148" s="2618" t="s">
        <v>560</v>
      </c>
      <c r="D148" s="3227" t="s">
        <v>2146</v>
      </c>
      <c r="E148" s="3227" t="s">
        <v>2146</v>
      </c>
      <c r="F148" s="3227" t="s">
        <v>2146</v>
      </c>
      <c r="G148" s="3103" t="str">
        <f t="shared" ref="G148:G158" si="78">IFERROR(J148/D148,"NA")</f>
        <v>NA</v>
      </c>
      <c r="H148" s="3103" t="str">
        <f t="shared" ref="H148:H158" si="79">IF(SUM(E148)=0,"NA",K148/E148)</f>
        <v>NA</v>
      </c>
      <c r="I148" s="3103" t="str">
        <f t="shared" si="77"/>
        <v>NA</v>
      </c>
      <c r="J148" s="3227" t="s">
        <v>2146</v>
      </c>
      <c r="K148" s="3227" t="s">
        <v>2146</v>
      </c>
      <c r="L148" s="3227" t="s">
        <v>2146</v>
      </c>
      <c r="M148" s="3497" t="s">
        <v>2146</v>
      </c>
    </row>
    <row r="149" spans="2:13" ht="18" customHeight="1" x14ac:dyDescent="0.25">
      <c r="B149" s="2616" t="s">
        <v>562</v>
      </c>
      <c r="C149" s="2618" t="s">
        <v>562</v>
      </c>
      <c r="D149" s="3227" t="s">
        <v>2146</v>
      </c>
      <c r="E149" s="3227" t="s">
        <v>2146</v>
      </c>
      <c r="F149" s="3227" t="s">
        <v>2146</v>
      </c>
      <c r="G149" s="3103" t="str">
        <f t="shared" si="78"/>
        <v>NA</v>
      </c>
      <c r="H149" s="3103" t="str">
        <f t="shared" si="79"/>
        <v>NA</v>
      </c>
      <c r="I149" s="3103" t="str">
        <f t="shared" si="77"/>
        <v>NA</v>
      </c>
      <c r="J149" s="3227" t="s">
        <v>2146</v>
      </c>
      <c r="K149" s="3227" t="s">
        <v>2146</v>
      </c>
      <c r="L149" s="3227" t="s">
        <v>2146</v>
      </c>
      <c r="M149" s="3497" t="s">
        <v>2146</v>
      </c>
    </row>
    <row r="150" spans="2:13" ht="18" customHeight="1" x14ac:dyDescent="0.25">
      <c r="B150" s="2616" t="s">
        <v>563</v>
      </c>
      <c r="C150" s="2618" t="s">
        <v>563</v>
      </c>
      <c r="D150" s="3227" t="s">
        <v>2146</v>
      </c>
      <c r="E150" s="3227" t="s">
        <v>2146</v>
      </c>
      <c r="F150" s="3227" t="s">
        <v>2146</v>
      </c>
      <c r="G150" s="3103" t="str">
        <f t="shared" si="78"/>
        <v>NA</v>
      </c>
      <c r="H150" s="3103" t="str">
        <f t="shared" si="79"/>
        <v>NA</v>
      </c>
      <c r="I150" s="3103" t="str">
        <f t="shared" si="77"/>
        <v>NA</v>
      </c>
      <c r="J150" s="3227" t="s">
        <v>2146</v>
      </c>
      <c r="K150" s="3227" t="s">
        <v>2146</v>
      </c>
      <c r="L150" s="3227" t="s">
        <v>2146</v>
      </c>
      <c r="M150" s="3497" t="s">
        <v>2146</v>
      </c>
    </row>
    <row r="151" spans="2:13" ht="18" customHeight="1" x14ac:dyDescent="0.25">
      <c r="B151" s="2616" t="s">
        <v>564</v>
      </c>
      <c r="C151" s="2618" t="s">
        <v>564</v>
      </c>
      <c r="D151" s="3227" t="s">
        <v>2146</v>
      </c>
      <c r="E151" s="3227" t="s">
        <v>2146</v>
      </c>
      <c r="F151" s="3227" t="s">
        <v>2146</v>
      </c>
      <c r="G151" s="3103" t="str">
        <f t="shared" si="78"/>
        <v>NA</v>
      </c>
      <c r="H151" s="3103" t="str">
        <f t="shared" si="79"/>
        <v>NA</v>
      </c>
      <c r="I151" s="3103" t="str">
        <f t="shared" si="77"/>
        <v>NA</v>
      </c>
      <c r="J151" s="3227" t="s">
        <v>2146</v>
      </c>
      <c r="K151" s="3227" t="s">
        <v>2146</v>
      </c>
      <c r="L151" s="3227" t="s">
        <v>2146</v>
      </c>
      <c r="M151" s="3497" t="s">
        <v>2146</v>
      </c>
    </row>
    <row r="152" spans="2:13" ht="18" customHeight="1" x14ac:dyDescent="0.25">
      <c r="B152" s="2616" t="s">
        <v>565</v>
      </c>
      <c r="C152" s="2618" t="s">
        <v>565</v>
      </c>
      <c r="D152" s="3227" t="s">
        <v>2146</v>
      </c>
      <c r="E152" s="3227" t="s">
        <v>2146</v>
      </c>
      <c r="F152" s="3227" t="s">
        <v>2146</v>
      </c>
      <c r="G152" s="3103" t="str">
        <f t="shared" si="78"/>
        <v>NA</v>
      </c>
      <c r="H152" s="3103" t="str">
        <f t="shared" si="79"/>
        <v>NA</v>
      </c>
      <c r="I152" s="3103" t="str">
        <f t="shared" si="77"/>
        <v>NA</v>
      </c>
      <c r="J152" s="3227" t="s">
        <v>2146</v>
      </c>
      <c r="K152" s="3227" t="s">
        <v>2146</v>
      </c>
      <c r="L152" s="3227" t="s">
        <v>2146</v>
      </c>
      <c r="M152" s="3497" t="s">
        <v>2146</v>
      </c>
    </row>
    <row r="153" spans="2:13" ht="18" customHeight="1" x14ac:dyDescent="0.25">
      <c r="B153" s="2616" t="s">
        <v>567</v>
      </c>
      <c r="C153" s="2618" t="s">
        <v>567</v>
      </c>
      <c r="D153" s="3227" t="s">
        <v>2146</v>
      </c>
      <c r="E153" s="3227" t="s">
        <v>2146</v>
      </c>
      <c r="F153" s="3227" t="s">
        <v>2146</v>
      </c>
      <c r="G153" s="3103" t="str">
        <f t="shared" si="78"/>
        <v>NA</v>
      </c>
      <c r="H153" s="3103" t="str">
        <f t="shared" si="79"/>
        <v>NA</v>
      </c>
      <c r="I153" s="3103" t="str">
        <f t="shared" si="77"/>
        <v>NA</v>
      </c>
      <c r="J153" s="3227" t="s">
        <v>2146</v>
      </c>
      <c r="K153" s="3227" t="s">
        <v>2146</v>
      </c>
      <c r="L153" s="3227" t="s">
        <v>2146</v>
      </c>
      <c r="M153" s="3497" t="s">
        <v>2146</v>
      </c>
    </row>
    <row r="154" spans="2:13" ht="18" customHeight="1" x14ac:dyDescent="0.25">
      <c r="B154" s="2616" t="s">
        <v>569</v>
      </c>
      <c r="C154" s="2618" t="s">
        <v>569</v>
      </c>
      <c r="D154" s="3227" t="s">
        <v>2146</v>
      </c>
      <c r="E154" s="3227" t="s">
        <v>2146</v>
      </c>
      <c r="F154" s="3227" t="s">
        <v>2146</v>
      </c>
      <c r="G154" s="3103" t="str">
        <f t="shared" si="78"/>
        <v>NA</v>
      </c>
      <c r="H154" s="3103" t="str">
        <f t="shared" si="79"/>
        <v>NA</v>
      </c>
      <c r="I154" s="3103" t="str">
        <f t="shared" si="77"/>
        <v>NA</v>
      </c>
      <c r="J154" s="3227" t="s">
        <v>2146</v>
      </c>
      <c r="K154" s="3227" t="s">
        <v>2146</v>
      </c>
      <c r="L154" s="3227" t="s">
        <v>2146</v>
      </c>
      <c r="M154" s="3497" t="s">
        <v>2146</v>
      </c>
    </row>
    <row r="155" spans="2:13" ht="18" customHeight="1" x14ac:dyDescent="0.25">
      <c r="B155" s="2616" t="s">
        <v>571</v>
      </c>
      <c r="C155" s="2618" t="s">
        <v>571</v>
      </c>
      <c r="D155" s="3227" t="s">
        <v>2146</v>
      </c>
      <c r="E155" s="3227" t="s">
        <v>2146</v>
      </c>
      <c r="F155" s="3227" t="s">
        <v>2146</v>
      </c>
      <c r="G155" s="3103" t="str">
        <f t="shared" si="78"/>
        <v>NA</v>
      </c>
      <c r="H155" s="3103" t="str">
        <f t="shared" si="79"/>
        <v>NA</v>
      </c>
      <c r="I155" s="3103" t="str">
        <f t="shared" si="77"/>
        <v>NA</v>
      </c>
      <c r="J155" s="3227" t="s">
        <v>2146</v>
      </c>
      <c r="K155" s="3227" t="s">
        <v>2146</v>
      </c>
      <c r="L155" s="3227" t="s">
        <v>2146</v>
      </c>
      <c r="M155" s="3497" t="s">
        <v>2146</v>
      </c>
    </row>
    <row r="156" spans="2:13" ht="18" customHeight="1" x14ac:dyDescent="0.25">
      <c r="B156" s="2616" t="s">
        <v>574</v>
      </c>
      <c r="C156" s="2618" t="s">
        <v>574</v>
      </c>
      <c r="D156" s="3227" t="s">
        <v>2146</v>
      </c>
      <c r="E156" s="3227" t="s">
        <v>2146</v>
      </c>
      <c r="F156" s="3227" t="s">
        <v>2146</v>
      </c>
      <c r="G156" s="3103" t="str">
        <f t="shared" si="78"/>
        <v>NA</v>
      </c>
      <c r="H156" s="3103" t="str">
        <f t="shared" si="79"/>
        <v>NA</v>
      </c>
      <c r="I156" s="3103" t="str">
        <f t="shared" si="77"/>
        <v>NA</v>
      </c>
      <c r="J156" s="3227" t="s">
        <v>2146</v>
      </c>
      <c r="K156" s="3227" t="s">
        <v>2146</v>
      </c>
      <c r="L156" s="3227" t="s">
        <v>2146</v>
      </c>
      <c r="M156" s="3497" t="s">
        <v>2146</v>
      </c>
    </row>
    <row r="157" spans="2:13" ht="18" customHeight="1" x14ac:dyDescent="0.25">
      <c r="B157" s="2616" t="s">
        <v>576</v>
      </c>
      <c r="C157" s="2618" t="s">
        <v>576</v>
      </c>
      <c r="D157" s="3227" t="s">
        <v>2146</v>
      </c>
      <c r="E157" s="3227" t="s">
        <v>2146</v>
      </c>
      <c r="F157" s="3227" t="s">
        <v>2146</v>
      </c>
      <c r="G157" s="3103" t="str">
        <f t="shared" si="78"/>
        <v>NA</v>
      </c>
      <c r="H157" s="3103" t="str">
        <f t="shared" si="79"/>
        <v>NA</v>
      </c>
      <c r="I157" s="3103" t="str">
        <f t="shared" si="77"/>
        <v>NA</v>
      </c>
      <c r="J157" s="3227" t="s">
        <v>2146</v>
      </c>
      <c r="K157" s="3227" t="s">
        <v>2146</v>
      </c>
      <c r="L157" s="3227" t="s">
        <v>2146</v>
      </c>
      <c r="M157" s="3497" t="s">
        <v>2146</v>
      </c>
    </row>
    <row r="158" spans="2:13" ht="18" customHeight="1" x14ac:dyDescent="0.25">
      <c r="B158" s="2616" t="s">
        <v>577</v>
      </c>
      <c r="C158" s="2618" t="s">
        <v>577</v>
      </c>
      <c r="D158" s="3227" t="s">
        <v>2146</v>
      </c>
      <c r="E158" s="3227" t="s">
        <v>2146</v>
      </c>
      <c r="F158" s="3227" t="s">
        <v>2146</v>
      </c>
      <c r="G158" s="3103" t="str">
        <f t="shared" si="78"/>
        <v>NA</v>
      </c>
      <c r="H158" s="3103" t="str">
        <f t="shared" si="79"/>
        <v>NA</v>
      </c>
      <c r="I158" s="3103" t="str">
        <f t="shared" si="77"/>
        <v>NA</v>
      </c>
      <c r="J158" s="3227" t="s">
        <v>2146</v>
      </c>
      <c r="K158" s="3227" t="s">
        <v>2146</v>
      </c>
      <c r="L158" s="3227" t="s">
        <v>2146</v>
      </c>
      <c r="M158" s="3497" t="s">
        <v>2146</v>
      </c>
    </row>
    <row r="159" spans="2:13" ht="18" customHeight="1" x14ac:dyDescent="0.25">
      <c r="B159" s="88" t="s">
        <v>678</v>
      </c>
      <c r="C159" s="2508"/>
      <c r="D159" s="4317"/>
      <c r="E159" s="4317"/>
      <c r="F159" s="4317"/>
      <c r="G159" s="4318"/>
      <c r="H159" s="4318"/>
      <c r="I159" s="4318"/>
      <c r="J159" s="3230" t="s">
        <v>2146</v>
      </c>
      <c r="K159" s="3230" t="s">
        <v>2146</v>
      </c>
      <c r="L159" s="3230" t="s">
        <v>2146</v>
      </c>
      <c r="M159" s="3226" t="s">
        <v>2146</v>
      </c>
    </row>
    <row r="160" spans="2:13" ht="18" customHeight="1" x14ac:dyDescent="0.25">
      <c r="B160" s="104" t="s">
        <v>679</v>
      </c>
      <c r="C160" s="2508"/>
      <c r="D160" s="2147" t="s">
        <v>2146</v>
      </c>
      <c r="E160" s="2147" t="s">
        <v>2146</v>
      </c>
      <c r="F160" s="628"/>
      <c r="G160" s="4312" t="str">
        <f t="shared" ref="G160" si="80">IF(SUM(D160)=0,"NA",J160/D160)</f>
        <v>NA</v>
      </c>
      <c r="H160" s="4312" t="str">
        <f t="shared" ref="H160" si="81">IF(SUM(E160)=0,"NA",K160/E160)</f>
        <v>NA</v>
      </c>
      <c r="I160" s="4319"/>
      <c r="J160" s="2147" t="s">
        <v>2146</v>
      </c>
      <c r="K160" s="2147" t="s">
        <v>2146</v>
      </c>
      <c r="L160" s="628"/>
      <c r="M160" s="3231" t="s">
        <v>2146</v>
      </c>
    </row>
    <row r="161" spans="2:13" ht="18" customHeight="1" thickBot="1" x14ac:dyDescent="0.3">
      <c r="B161" s="106" t="s">
        <v>680</v>
      </c>
      <c r="C161" s="2509"/>
      <c r="D161" s="2606" t="s">
        <v>2146</v>
      </c>
      <c r="E161" s="2606" t="s">
        <v>2146</v>
      </c>
      <c r="F161" s="2606" t="s">
        <v>2146</v>
      </c>
      <c r="G161" s="4316" t="str">
        <f t="shared" ref="G161" si="82">IF(SUM(D161)=0,"NA",J161/D161)</f>
        <v>NA</v>
      </c>
      <c r="H161" s="4316"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5">
      <c r="B162" s="2623" t="s">
        <v>480</v>
      </c>
      <c r="C162" s="2510"/>
      <c r="D162" s="4320"/>
      <c r="E162" s="4320"/>
      <c r="F162" s="4320"/>
      <c r="G162" s="4320"/>
      <c r="H162" s="4320"/>
      <c r="I162" s="4320"/>
      <c r="J162" s="3233">
        <f>IF(SUM(J163,J165,J175)=0,"NO",SUM(J163,J165,J175))</f>
        <v>1.6932406786209862</v>
      </c>
      <c r="K162" s="3233">
        <f t="shared" ref="K162:M162" si="85">IF(SUM(K163,K165,K175)=0,"NO",SUM(K163,K165,K175))</f>
        <v>7.9804301261589661</v>
      </c>
      <c r="L162" s="3233" t="str">
        <f t="shared" si="85"/>
        <v>NO</v>
      </c>
      <c r="M162" s="3234" t="str">
        <f t="shared" si="85"/>
        <v>NO</v>
      </c>
    </row>
    <row r="163" spans="2:13" ht="18" customHeight="1" x14ac:dyDescent="0.25">
      <c r="B163" s="88" t="s">
        <v>681</v>
      </c>
      <c r="C163" s="2508"/>
      <c r="D163" s="4317"/>
      <c r="E163" s="4317"/>
      <c r="F163" s="4317"/>
      <c r="G163" s="4318"/>
      <c r="H163" s="4318"/>
      <c r="I163" s="4318"/>
      <c r="J163" s="3230">
        <f>J164</f>
        <v>1.6932406786209862</v>
      </c>
      <c r="K163" s="3230">
        <f t="shared" ref="K163:M163" si="86">K164</f>
        <v>7.3990348981757368</v>
      </c>
      <c r="L163" s="3230" t="str">
        <f t="shared" si="86"/>
        <v>NO</v>
      </c>
      <c r="M163" s="3226" t="str">
        <f t="shared" si="86"/>
        <v>NO</v>
      </c>
    </row>
    <row r="164" spans="2:13" ht="18" customHeight="1" x14ac:dyDescent="0.25">
      <c r="B164" s="2616" t="s">
        <v>1621</v>
      </c>
      <c r="C164" s="2618" t="s">
        <v>1621</v>
      </c>
      <c r="D164" s="3235">
        <v>11.288271190806574</v>
      </c>
      <c r="E164" s="3235">
        <v>147.98069796351473</v>
      </c>
      <c r="F164" s="3235" t="s">
        <v>2146</v>
      </c>
      <c r="G164" s="3103">
        <f t="shared" ref="G164" si="87">IF(SUM(D164)=0,"NA",J164/D164)</f>
        <v>0.15</v>
      </c>
      <c r="H164" s="3103">
        <f t="shared" ref="H164" si="88">IF(SUM(E164)=0,"NA",K164/E164)</f>
        <v>0.05</v>
      </c>
      <c r="I164" s="3103" t="str">
        <f t="shared" ref="I164" si="89">IF(SUM(F164)=0,"NA",(SUM(L164:M164))/F164)</f>
        <v>NA</v>
      </c>
      <c r="J164" s="3142">
        <v>1.6932406786209862</v>
      </c>
      <c r="K164" s="3142">
        <v>7.3990348981757368</v>
      </c>
      <c r="L164" s="3142" t="s">
        <v>2146</v>
      </c>
      <c r="M164" s="3231" t="s">
        <v>2146</v>
      </c>
    </row>
    <row r="165" spans="2:13" ht="18" customHeight="1" x14ac:dyDescent="0.35">
      <c r="B165" s="88" t="s">
        <v>682</v>
      </c>
      <c r="C165" s="2508"/>
      <c r="D165" s="4317"/>
      <c r="E165" s="4317"/>
      <c r="F165" s="4317"/>
      <c r="G165" s="4318"/>
      <c r="H165" s="4318"/>
      <c r="I165" s="4318"/>
      <c r="J165" s="3230" t="str">
        <f>IF(SUM(J166:J170)=0,"NO",SUM(J166:J170))</f>
        <v>NO</v>
      </c>
      <c r="K165" s="3230">
        <f t="shared" ref="K165:M165" si="90">IF(SUM(K166:K170)=0,"NO",SUM(K166:K170))</f>
        <v>0.58139522798322929</v>
      </c>
      <c r="L165" s="3230" t="str">
        <f t="shared" si="90"/>
        <v>NO</v>
      </c>
      <c r="M165" s="3226" t="str">
        <f t="shared" si="90"/>
        <v>NO</v>
      </c>
    </row>
    <row r="166" spans="2:13" ht="18" customHeight="1" x14ac:dyDescent="0.25">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5">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5">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5">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5">
      <c r="B170" s="104" t="s">
        <v>687</v>
      </c>
      <c r="C170" s="2508"/>
      <c r="D170" s="4317"/>
      <c r="E170" s="4317"/>
      <c r="F170" s="4317"/>
      <c r="G170" s="4318"/>
      <c r="H170" s="4318"/>
      <c r="I170" s="4318"/>
      <c r="J170" s="3230" t="str">
        <f>IF(SUM(J172:J173)=0,"NO",SUM(J172:J173))</f>
        <v>NO</v>
      </c>
      <c r="K170" s="3230">
        <f t="shared" ref="K170:M170" si="98">IF(SUM(K172:K173)=0,"NO",SUM(K172:K173))</f>
        <v>0.58139522798322929</v>
      </c>
      <c r="L170" s="3230" t="str">
        <f t="shared" si="98"/>
        <v>NO</v>
      </c>
      <c r="M170" s="3226" t="str">
        <f t="shared" si="98"/>
        <v>NO</v>
      </c>
    </row>
    <row r="171" spans="2:13" ht="18" customHeight="1" x14ac:dyDescent="0.25">
      <c r="B171" s="1242" t="s">
        <v>203</v>
      </c>
      <c r="C171" s="2508"/>
      <c r="D171" s="4321"/>
      <c r="E171" s="4321"/>
      <c r="F171" s="4321"/>
      <c r="G171" s="3236"/>
      <c r="H171" s="3236"/>
      <c r="I171" s="3236"/>
      <c r="J171" s="3236"/>
      <c r="K171" s="3236"/>
      <c r="L171" s="3236"/>
      <c r="M171" s="3237"/>
    </row>
    <row r="172" spans="2:13" ht="18" customHeight="1" x14ac:dyDescent="0.25">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5">
      <c r="B173" s="2421" t="s">
        <v>689</v>
      </c>
      <c r="C173" s="2508"/>
      <c r="D173" s="4317"/>
      <c r="E173" s="4317"/>
      <c r="F173" s="4317"/>
      <c r="G173" s="4318"/>
      <c r="H173" s="4318"/>
      <c r="I173" s="4318"/>
      <c r="J173" s="3230" t="str">
        <f>J174</f>
        <v>NA</v>
      </c>
      <c r="K173" s="3230">
        <f t="shared" ref="K173:M173" si="102">K174</f>
        <v>0.58139522798322929</v>
      </c>
      <c r="L173" s="3230" t="str">
        <f t="shared" si="102"/>
        <v>NA</v>
      </c>
      <c r="M173" s="3226" t="str">
        <f t="shared" si="102"/>
        <v>NO</v>
      </c>
    </row>
    <row r="174" spans="2:13" ht="18" customHeight="1" x14ac:dyDescent="0.25">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0.58139522798322929</v>
      </c>
      <c r="L174" s="3235" t="s">
        <v>2147</v>
      </c>
      <c r="M174" s="3231" t="s">
        <v>2146</v>
      </c>
    </row>
    <row r="175" spans="2:13" ht="18" customHeight="1" x14ac:dyDescent="0.25">
      <c r="B175" s="88" t="s">
        <v>2096</v>
      </c>
      <c r="C175" s="2508"/>
      <c r="D175" s="4317"/>
      <c r="E175" s="4317"/>
      <c r="F175" s="4317"/>
      <c r="G175" s="4318"/>
      <c r="H175" s="4318"/>
      <c r="I175" s="4318"/>
      <c r="J175" s="3230" t="str">
        <f>J176</f>
        <v>NO</v>
      </c>
      <c r="K175" s="3230" t="str">
        <f t="shared" ref="K175" si="106">K176</f>
        <v>NO</v>
      </c>
      <c r="L175" s="3230" t="str">
        <f t="shared" ref="L175" si="107">L176</f>
        <v>NO</v>
      </c>
      <c r="M175" s="3226" t="str">
        <f t="shared" ref="M175" si="108">M176</f>
        <v>NO</v>
      </c>
    </row>
    <row r="176" spans="2:13" ht="18" customHeight="1" thickBot="1" x14ac:dyDescent="0.3">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5">
      <c r="B177" s="91" t="s">
        <v>690</v>
      </c>
      <c r="C177" s="2622"/>
      <c r="D177" s="4317"/>
      <c r="E177" s="4317"/>
      <c r="F177" s="4317"/>
      <c r="G177" s="4318"/>
      <c r="H177" s="4318"/>
      <c r="I177" s="4318"/>
      <c r="J177" s="3230" t="str">
        <f>J178</f>
        <v>NO</v>
      </c>
      <c r="K177" s="3230" t="str">
        <f t="shared" ref="K177" si="112">K178</f>
        <v>NO</v>
      </c>
      <c r="L177" s="3230" t="str">
        <f t="shared" ref="L177" si="113">L178</f>
        <v>NO</v>
      </c>
      <c r="M177" s="3226" t="str">
        <f t="shared" ref="M177" si="114">M178</f>
        <v>NO</v>
      </c>
    </row>
    <row r="178" spans="2:13" ht="18" customHeight="1" thickBot="1" x14ac:dyDescent="0.3">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5"/>
    <row r="180" spans="2:13" ht="12" customHeight="1" x14ac:dyDescent="0.25">
      <c r="B180" s="1057"/>
      <c r="C180" s="1057"/>
      <c r="D180" s="1057"/>
      <c r="E180" s="1057"/>
      <c r="F180" s="1057"/>
      <c r="G180" s="1057"/>
      <c r="H180" s="1057"/>
      <c r="I180" s="1057"/>
      <c r="J180" s="1057"/>
      <c r="K180" s="1057"/>
      <c r="L180" s="1057"/>
      <c r="M180" s="1057"/>
    </row>
    <row r="181" spans="2:13" ht="12" customHeight="1" x14ac:dyDescent="0.25"/>
    <row r="182" spans="2:13" ht="12" customHeight="1" x14ac:dyDescent="0.25">
      <c r="B182" s="999"/>
      <c r="C182" s="999"/>
      <c r="D182" s="999"/>
      <c r="E182" s="999"/>
      <c r="F182" s="999"/>
      <c r="G182" s="999"/>
      <c r="H182" s="999"/>
      <c r="I182" s="999"/>
      <c r="J182" s="84"/>
      <c r="K182" s="84"/>
      <c r="L182" s="84"/>
      <c r="M182" s="84"/>
    </row>
    <row r="183" spans="2:13" ht="12" customHeight="1" x14ac:dyDescent="0.25">
      <c r="B183" s="788"/>
      <c r="C183" s="788"/>
      <c r="D183" s="788"/>
      <c r="E183" s="788"/>
      <c r="F183" s="788"/>
      <c r="G183" s="84"/>
      <c r="H183" s="84"/>
      <c r="I183" s="84"/>
      <c r="J183" s="84"/>
      <c r="K183" s="84"/>
      <c r="L183" s="84"/>
      <c r="M183" s="84"/>
    </row>
    <row r="184" spans="2:13" ht="12" customHeight="1" x14ac:dyDescent="0.25">
      <c r="B184" s="999"/>
      <c r="C184" s="999"/>
      <c r="D184" s="999"/>
      <c r="E184" s="999"/>
      <c r="F184" s="999"/>
      <c r="G184" s="999"/>
      <c r="H184" s="999"/>
      <c r="I184" s="999"/>
      <c r="J184" s="999"/>
      <c r="K184" s="999"/>
      <c r="L184" s="999"/>
      <c r="M184" s="999"/>
    </row>
    <row r="185" spans="2:13" ht="12" customHeight="1" x14ac:dyDescent="0.25">
      <c r="B185" s="1058"/>
      <c r="C185" s="1058"/>
      <c r="D185" s="1058"/>
      <c r="E185" s="1058"/>
      <c r="F185" s="1058"/>
      <c r="G185" s="1058"/>
      <c r="H185" s="1058"/>
      <c r="I185" s="1058"/>
      <c r="J185" s="1058"/>
      <c r="K185" s="1058"/>
      <c r="L185" s="1058"/>
      <c r="M185" s="1058"/>
    </row>
    <row r="186" spans="2:13" ht="12" customHeight="1" x14ac:dyDescent="0.25">
      <c r="B186" s="999"/>
      <c r="C186" s="999"/>
      <c r="D186" s="999"/>
      <c r="E186" s="999"/>
      <c r="F186" s="999"/>
      <c r="G186" s="999"/>
      <c r="H186" s="999"/>
      <c r="I186" s="999"/>
      <c r="J186" s="999"/>
      <c r="K186" s="999"/>
      <c r="L186" s="999"/>
      <c r="M186" s="999"/>
    </row>
    <row r="187" spans="2:13" ht="12" customHeight="1" x14ac:dyDescent="0.25">
      <c r="B187" s="999"/>
      <c r="C187" s="999"/>
      <c r="D187" s="999"/>
      <c r="E187" s="999"/>
      <c r="F187" s="999"/>
      <c r="G187" s="999"/>
      <c r="H187" s="999"/>
      <c r="I187" s="84"/>
      <c r="J187" s="84"/>
      <c r="K187" s="84"/>
      <c r="L187" s="84"/>
      <c r="M187" s="84"/>
    </row>
    <row r="188" spans="2:13" ht="12" customHeight="1" x14ac:dyDescent="0.25">
      <c r="B188" s="1058"/>
      <c r="C188" s="1058"/>
      <c r="D188" s="1058"/>
      <c r="E188" s="1058"/>
      <c r="F188" s="1058"/>
      <c r="G188" s="1058"/>
      <c r="H188" s="1058"/>
      <c r="I188" s="1058"/>
      <c r="J188" s="1058"/>
      <c r="K188" s="1058"/>
      <c r="L188" s="1058"/>
      <c r="M188" s="1058"/>
    </row>
    <row r="189" spans="2:13" ht="12" customHeight="1" x14ac:dyDescent="0.25">
      <c r="B189" s="999"/>
      <c r="C189" s="999"/>
      <c r="D189" s="999"/>
      <c r="E189" s="999"/>
      <c r="F189" s="999"/>
      <c r="G189" s="999"/>
      <c r="H189" s="999"/>
      <c r="I189" s="84"/>
      <c r="J189" s="84"/>
      <c r="K189" s="84"/>
      <c r="L189" s="84"/>
      <c r="M189" s="84"/>
    </row>
    <row r="190" spans="2:13" ht="12" customHeight="1" x14ac:dyDescent="0.25">
      <c r="B190" s="999"/>
      <c r="C190" s="999"/>
      <c r="D190" s="999"/>
      <c r="E190" s="999"/>
      <c r="F190" s="999"/>
      <c r="G190" s="999"/>
      <c r="H190" s="999"/>
      <c r="I190" s="1442"/>
      <c r="J190" s="1442"/>
      <c r="K190" s="1442"/>
      <c r="L190" s="1442"/>
      <c r="M190" s="1442"/>
    </row>
    <row r="191" spans="2:13" ht="12" customHeight="1" x14ac:dyDescent="0.25">
      <c r="B191" s="1058"/>
      <c r="C191" s="1058"/>
      <c r="D191" s="1058"/>
      <c r="E191" s="1058"/>
      <c r="F191" s="1058"/>
      <c r="G191" s="1058"/>
      <c r="H191" s="1058"/>
      <c r="I191" s="1058"/>
      <c r="J191" s="1058"/>
      <c r="K191" s="1058"/>
      <c r="L191" s="1058"/>
      <c r="M191" s="1058"/>
    </row>
    <row r="192" spans="2:13" ht="12" customHeight="1" x14ac:dyDescent="0.25">
      <c r="B192" s="1058"/>
      <c r="C192" s="1058"/>
      <c r="D192" s="1058"/>
      <c r="E192" s="1058"/>
      <c r="F192" s="1058"/>
      <c r="G192" s="1058"/>
      <c r="H192" s="1058"/>
      <c r="I192" s="1058"/>
      <c r="J192" s="1058"/>
      <c r="K192" s="1058"/>
      <c r="L192" s="1058"/>
      <c r="M192" s="1058"/>
    </row>
    <row r="193" spans="2:13" ht="12" customHeight="1" x14ac:dyDescent="0.25">
      <c r="B193" s="1058"/>
      <c r="C193" s="1058"/>
      <c r="D193" s="1058"/>
      <c r="E193" s="1058"/>
      <c r="F193" s="1058"/>
      <c r="G193" s="1058"/>
      <c r="H193" s="1058"/>
      <c r="I193" s="1058"/>
      <c r="J193" s="1058"/>
      <c r="K193" s="1058"/>
      <c r="L193" s="1058"/>
      <c r="M193" s="1058"/>
    </row>
    <row r="194" spans="2:13" ht="12" customHeight="1" x14ac:dyDescent="0.25">
      <c r="B194" s="1058"/>
      <c r="C194" s="1058"/>
      <c r="D194" s="1058"/>
      <c r="E194" s="1058"/>
      <c r="F194" s="1058"/>
      <c r="G194" s="1058"/>
      <c r="H194" s="1058"/>
      <c r="I194" s="1058"/>
      <c r="J194" s="1058"/>
      <c r="K194" s="1058"/>
      <c r="L194" s="1058"/>
      <c r="M194" s="1058"/>
    </row>
    <row r="195" spans="2:13" ht="12" customHeight="1" x14ac:dyDescent="0.25">
      <c r="B195" s="1058"/>
      <c r="C195" s="1058"/>
      <c r="D195" s="1058"/>
      <c r="E195" s="1058"/>
      <c r="F195" s="1058"/>
      <c r="G195" s="1058"/>
      <c r="H195" s="1058"/>
      <c r="I195" s="1058"/>
      <c r="J195" s="1058"/>
      <c r="K195" s="1058"/>
      <c r="L195" s="1058"/>
      <c r="M195" s="1058"/>
    </row>
    <row r="196" spans="2:13" ht="12" customHeight="1" x14ac:dyDescent="0.25">
      <c r="B196" s="1058"/>
      <c r="C196" s="1058"/>
      <c r="D196" s="1058"/>
      <c r="E196" s="1058"/>
      <c r="F196" s="1058"/>
      <c r="G196" s="1058"/>
      <c r="H196" s="1058"/>
      <c r="I196" s="1058"/>
      <c r="J196" s="1058"/>
      <c r="K196" s="1058"/>
      <c r="L196" s="1058"/>
      <c r="M196" s="1058"/>
    </row>
    <row r="197" spans="2:13" ht="12" customHeight="1" x14ac:dyDescent="0.25">
      <c r="B197" s="1058"/>
      <c r="C197" s="1058"/>
      <c r="D197" s="1058"/>
      <c r="E197" s="1058"/>
      <c r="F197" s="1058"/>
      <c r="G197" s="1058"/>
      <c r="H197" s="1058"/>
      <c r="I197" s="1058"/>
      <c r="J197" s="1058"/>
      <c r="K197" s="1058"/>
      <c r="L197" s="1058"/>
      <c r="M197" s="1058"/>
    </row>
    <row r="198" spans="2:13" ht="12" customHeight="1" x14ac:dyDescent="0.25">
      <c r="B198" s="1058"/>
      <c r="C198" s="1058"/>
      <c r="D198" s="1058"/>
      <c r="E198" s="1058"/>
      <c r="F198" s="1058"/>
      <c r="G198" s="1058"/>
      <c r="H198" s="1058"/>
      <c r="I198" s="1058"/>
      <c r="J198" s="1058"/>
      <c r="K198" s="1058"/>
      <c r="L198" s="1058"/>
      <c r="M198" s="1058"/>
    </row>
    <row r="199" spans="2:13" ht="12" customHeight="1" x14ac:dyDescent="0.25">
      <c r="B199" s="1058"/>
      <c r="C199" s="1058"/>
      <c r="D199" s="1058"/>
      <c r="E199" s="1058"/>
      <c r="F199" s="1058"/>
      <c r="G199" s="1058"/>
      <c r="H199" s="1058"/>
      <c r="I199" s="1058"/>
      <c r="J199" s="1058"/>
      <c r="K199" s="1058"/>
      <c r="L199" s="1058"/>
      <c r="M199" s="1058"/>
    </row>
    <row r="200" spans="2:13" ht="12" customHeight="1" x14ac:dyDescent="0.25">
      <c r="B200" s="1058"/>
      <c r="C200" s="1058"/>
      <c r="D200" s="1058"/>
      <c r="E200" s="1058"/>
      <c r="F200" s="1058"/>
      <c r="G200" s="1058"/>
      <c r="H200" s="1058"/>
      <c r="I200" s="1058"/>
      <c r="J200" s="1058"/>
      <c r="K200" s="1058"/>
      <c r="L200" s="1058"/>
      <c r="M200" s="1058"/>
    </row>
    <row r="201" spans="2:13" ht="12" customHeight="1" x14ac:dyDescent="0.25">
      <c r="B201" s="1058"/>
      <c r="C201" s="1058"/>
      <c r="D201" s="1058"/>
      <c r="E201" s="1058"/>
      <c r="F201" s="1058"/>
      <c r="G201" s="1058"/>
      <c r="H201" s="1058"/>
      <c r="I201" s="1058"/>
      <c r="J201" s="1058"/>
      <c r="K201" s="1058"/>
      <c r="L201" s="1058"/>
      <c r="M201" s="1058"/>
    </row>
    <row r="202" spans="2:13" ht="12" customHeight="1" thickBot="1" x14ac:dyDescent="0.3">
      <c r="B202" s="72"/>
    </row>
    <row r="203" spans="2:13" ht="12" customHeight="1" x14ac:dyDescent="0.25">
      <c r="B203" s="223" t="s">
        <v>390</v>
      </c>
      <c r="C203" s="224"/>
      <c r="D203" s="224"/>
      <c r="E203" s="224"/>
      <c r="F203" s="224"/>
      <c r="G203" s="224"/>
      <c r="H203" s="224"/>
      <c r="I203" s="224"/>
      <c r="J203" s="224"/>
      <c r="K203" s="224"/>
      <c r="L203" s="224"/>
      <c r="M203" s="225"/>
    </row>
    <row r="204" spans="2:13" ht="12" customHeight="1" x14ac:dyDescent="0.25">
      <c r="B204" s="1059"/>
      <c r="C204" s="1060"/>
      <c r="D204" s="1060"/>
      <c r="E204" s="1060"/>
      <c r="F204" s="1060"/>
      <c r="G204" s="1060"/>
      <c r="H204" s="1060"/>
      <c r="I204" s="1060"/>
      <c r="J204" s="1060"/>
      <c r="K204" s="1060"/>
      <c r="L204" s="1060"/>
      <c r="M204" s="1061"/>
    </row>
    <row r="205" spans="2:13" ht="12" customHeight="1" x14ac:dyDescent="0.25">
      <c r="B205" s="1051"/>
      <c r="C205" s="1052"/>
      <c r="D205" s="1052"/>
      <c r="E205" s="1052"/>
      <c r="F205" s="1052"/>
      <c r="G205" s="1052"/>
      <c r="H205" s="1052"/>
      <c r="I205" s="1052"/>
      <c r="J205" s="1052"/>
      <c r="K205" s="1052"/>
      <c r="L205" s="1052"/>
      <c r="M205" s="1053"/>
    </row>
    <row r="206" spans="2:13" ht="12" customHeight="1" x14ac:dyDescent="0.25">
      <c r="B206" s="1051"/>
      <c r="C206" s="1052"/>
      <c r="D206" s="1052"/>
      <c r="E206" s="1052"/>
      <c r="F206" s="1052"/>
      <c r="G206" s="1052"/>
      <c r="H206" s="1052"/>
      <c r="I206" s="1052"/>
      <c r="J206" s="1052"/>
      <c r="K206" s="1052"/>
      <c r="L206" s="1052"/>
      <c r="M206" s="1053"/>
    </row>
    <row r="207" spans="2:13" ht="12" customHeight="1" x14ac:dyDescent="0.25">
      <c r="B207" s="1051"/>
      <c r="C207" s="1052"/>
      <c r="D207" s="1052"/>
      <c r="E207" s="1052"/>
      <c r="F207" s="1052"/>
      <c r="G207" s="1052"/>
      <c r="H207" s="1052"/>
      <c r="I207" s="1052"/>
      <c r="J207" s="1052"/>
      <c r="K207" s="1052"/>
      <c r="L207" s="1052"/>
      <c r="M207" s="1053"/>
    </row>
    <row r="208" spans="2:13" ht="12" customHeight="1" x14ac:dyDescent="0.25">
      <c r="B208" s="1051"/>
      <c r="C208" s="1052"/>
      <c r="D208" s="1052"/>
      <c r="E208" s="1052"/>
      <c r="F208" s="1052"/>
      <c r="G208" s="1052"/>
      <c r="H208" s="1052"/>
      <c r="I208" s="1052"/>
      <c r="J208" s="1052"/>
      <c r="K208" s="1052"/>
      <c r="L208" s="1052"/>
      <c r="M208" s="1053"/>
    </row>
    <row r="209" spans="2:13" ht="12" customHeight="1" x14ac:dyDescent="0.25">
      <c r="B209" s="1054"/>
      <c r="C209" s="1055"/>
      <c r="D209" s="1055"/>
      <c r="E209" s="1055"/>
      <c r="F209" s="1055"/>
      <c r="G209" s="1055"/>
      <c r="H209" s="1055"/>
      <c r="I209" s="1055"/>
      <c r="J209" s="1055"/>
      <c r="K209" s="1055"/>
      <c r="L209" s="1055"/>
      <c r="M209" s="1056"/>
    </row>
    <row r="210" spans="2:13" ht="12" customHeight="1" thickBot="1" x14ac:dyDescent="0.3">
      <c r="B210" s="2024"/>
      <c r="C210" s="2025"/>
      <c r="D210" s="2025"/>
      <c r="E210" s="2025"/>
      <c r="F210" s="2025"/>
      <c r="G210" s="2025"/>
      <c r="H210" s="2025"/>
      <c r="I210" s="2025"/>
      <c r="J210" s="2025"/>
      <c r="K210" s="2025"/>
      <c r="L210" s="2025"/>
      <c r="M210" s="2026"/>
    </row>
    <row r="211" spans="2:13" ht="12" customHeight="1" x14ac:dyDescent="0.25"/>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3.2" x14ac:dyDescent="0.25"/>
  <cols>
    <col min="1" max="1" width="1.88671875" customWidth="1"/>
    <col min="2" max="2" width="15.44140625" customWidth="1"/>
    <col min="3" max="3" width="103.44140625" customWidth="1"/>
  </cols>
  <sheetData>
    <row r="1" spans="2:5" ht="15.6" x14ac:dyDescent="0.25">
      <c r="B1" s="2441" t="s">
        <v>1853</v>
      </c>
      <c r="C1" s="2442"/>
    </row>
    <row r="2" spans="2:5" ht="15.6" x14ac:dyDescent="0.25">
      <c r="B2" s="2445" t="s">
        <v>64</v>
      </c>
      <c r="C2" s="2443"/>
    </row>
    <row r="3" spans="2:5" ht="15.6" x14ac:dyDescent="0.25">
      <c r="B3" s="2444" t="s">
        <v>1796</v>
      </c>
      <c r="C3" s="2444" t="s">
        <v>1797</v>
      </c>
    </row>
    <row r="4" spans="2:5" ht="15.6" x14ac:dyDescent="0.25">
      <c r="B4" s="2444" t="s">
        <v>1798</v>
      </c>
      <c r="C4" s="2444" t="s">
        <v>1799</v>
      </c>
    </row>
    <row r="5" spans="2:5" ht="15.6" x14ac:dyDescent="0.25">
      <c r="B5" s="2444" t="s">
        <v>1863</v>
      </c>
      <c r="C5" s="2444" t="s">
        <v>1864</v>
      </c>
    </row>
    <row r="6" spans="2:5" ht="18" x14ac:dyDescent="0.25">
      <c r="B6" s="2444" t="s">
        <v>1923</v>
      </c>
      <c r="C6" s="2444" t="s">
        <v>1800</v>
      </c>
    </row>
    <row r="7" spans="2:5" ht="15.6" x14ac:dyDescent="0.25">
      <c r="B7" s="2444" t="s">
        <v>1801</v>
      </c>
      <c r="C7" s="2444" t="s">
        <v>1802</v>
      </c>
    </row>
    <row r="8" spans="2:5" ht="15.6" x14ac:dyDescent="0.25">
      <c r="B8" s="2444" t="s">
        <v>1803</v>
      </c>
      <c r="C8" s="2444" t="s">
        <v>1804</v>
      </c>
    </row>
    <row r="9" spans="2:5" ht="15.6" x14ac:dyDescent="0.25">
      <c r="B9" s="2444" t="s">
        <v>70</v>
      </c>
      <c r="C9" s="2444" t="s">
        <v>1805</v>
      </c>
      <c r="D9" s="2427"/>
      <c r="E9" s="2427"/>
    </row>
    <row r="10" spans="2:5" ht="18" x14ac:dyDescent="0.25">
      <c r="B10" s="2444" t="s">
        <v>1924</v>
      </c>
      <c r="C10" s="2444" t="s">
        <v>1806</v>
      </c>
      <c r="E10" s="2427"/>
    </row>
    <row r="11" spans="2:5" ht="18" x14ac:dyDescent="0.25">
      <c r="B11" s="2444" t="s">
        <v>1925</v>
      </c>
      <c r="C11" s="2444" t="s">
        <v>1807</v>
      </c>
      <c r="E11" s="2427"/>
    </row>
    <row r="12" spans="2:5" ht="15.6" x14ac:dyDescent="0.25">
      <c r="B12" s="2444" t="s">
        <v>1861</v>
      </c>
      <c r="C12" s="2444" t="s">
        <v>1862</v>
      </c>
    </row>
    <row r="13" spans="2:5" ht="15.6" x14ac:dyDescent="0.25">
      <c r="B13" s="2444" t="s">
        <v>1808</v>
      </c>
      <c r="C13" s="2444" t="s">
        <v>1809</v>
      </c>
    </row>
    <row r="14" spans="2:5" ht="15.6" x14ac:dyDescent="0.25">
      <c r="B14" s="2444" t="s">
        <v>1859</v>
      </c>
      <c r="C14" s="2444" t="s">
        <v>1860</v>
      </c>
    </row>
    <row r="15" spans="2:5" ht="15.6" x14ac:dyDescent="0.25">
      <c r="B15" s="2444" t="s">
        <v>1916</v>
      </c>
      <c r="C15" s="2444" t="s">
        <v>1917</v>
      </c>
    </row>
    <row r="16" spans="2:5" ht="15.6" x14ac:dyDescent="0.25">
      <c r="B16" s="2444" t="s">
        <v>1810</v>
      </c>
      <c r="C16" s="2444" t="s">
        <v>1811</v>
      </c>
    </row>
    <row r="17" spans="2:3" ht="15.6" x14ac:dyDescent="0.25">
      <c r="B17" s="2444" t="s">
        <v>1812</v>
      </c>
      <c r="C17" s="2444" t="s">
        <v>1813</v>
      </c>
    </row>
    <row r="18" spans="2:3" ht="18" x14ac:dyDescent="0.25">
      <c r="B18" s="2444" t="s">
        <v>1926</v>
      </c>
      <c r="C18" s="2444" t="s">
        <v>1865</v>
      </c>
    </row>
    <row r="19" spans="2:3" ht="18" x14ac:dyDescent="0.25">
      <c r="B19" s="2444" t="s">
        <v>1927</v>
      </c>
      <c r="C19" s="2444" t="s">
        <v>1866</v>
      </c>
    </row>
    <row r="20" spans="2:3" ht="15.6" x14ac:dyDescent="0.25">
      <c r="B20" s="2444" t="s">
        <v>1814</v>
      </c>
      <c r="C20" s="2444" t="s">
        <v>1815</v>
      </c>
    </row>
    <row r="21" spans="2:3" ht="15.6" x14ac:dyDescent="0.25">
      <c r="B21" s="2444" t="s">
        <v>1697</v>
      </c>
      <c r="C21" s="2444" t="s">
        <v>1816</v>
      </c>
    </row>
    <row r="22" spans="2:3" ht="15.6" x14ac:dyDescent="0.25">
      <c r="B22" s="2444" t="s">
        <v>1817</v>
      </c>
      <c r="C22" s="2444" t="s">
        <v>1818</v>
      </c>
    </row>
    <row r="23" spans="2:3" ht="15.6" x14ac:dyDescent="0.25">
      <c r="B23" s="2444" t="s">
        <v>1819</v>
      </c>
      <c r="C23" s="2444" t="s">
        <v>1820</v>
      </c>
    </row>
    <row r="24" spans="2:3" ht="15.6" x14ac:dyDescent="0.25">
      <c r="B24" s="2444" t="s">
        <v>1821</v>
      </c>
      <c r="C24" s="2444" t="s">
        <v>1822</v>
      </c>
    </row>
    <row r="25" spans="2:3" ht="15.6" x14ac:dyDescent="0.25">
      <c r="B25" s="2444" t="s">
        <v>1823</v>
      </c>
      <c r="C25" s="2444" t="s">
        <v>1824</v>
      </c>
    </row>
    <row r="26" spans="2:3" ht="15.6" x14ac:dyDescent="0.25">
      <c r="B26" s="2444" t="s">
        <v>1825</v>
      </c>
      <c r="C26" s="2444" t="s">
        <v>1826</v>
      </c>
    </row>
    <row r="27" spans="2:3" ht="15.6" x14ac:dyDescent="0.25">
      <c r="B27" s="2444" t="s">
        <v>1827</v>
      </c>
      <c r="C27" s="2444" t="s">
        <v>1828</v>
      </c>
    </row>
    <row r="28" spans="2:3" ht="15.6" x14ac:dyDescent="0.25">
      <c r="B28" s="2444" t="s">
        <v>1829</v>
      </c>
      <c r="C28" s="2444" t="s">
        <v>1830</v>
      </c>
    </row>
    <row r="29" spans="2:3" ht="15.6" x14ac:dyDescent="0.25">
      <c r="B29" s="2444" t="s">
        <v>1874</v>
      </c>
      <c r="C29" s="2444" t="s">
        <v>1875</v>
      </c>
    </row>
    <row r="30" spans="2:3" ht="15.6" x14ac:dyDescent="0.25">
      <c r="B30" s="2444" t="s">
        <v>1831</v>
      </c>
      <c r="C30" s="2444" t="s">
        <v>1832</v>
      </c>
    </row>
    <row r="31" spans="2:3" ht="15.6" x14ac:dyDescent="0.25">
      <c r="B31" s="2444" t="s">
        <v>1390</v>
      </c>
      <c r="C31" s="2444" t="s">
        <v>1858</v>
      </c>
    </row>
    <row r="32" spans="2:3" ht="15.6" x14ac:dyDescent="0.25">
      <c r="B32" s="2444" t="s">
        <v>1878</v>
      </c>
      <c r="C32" s="2444" t="s">
        <v>1879</v>
      </c>
    </row>
    <row r="33" spans="2:4" ht="15.6" x14ac:dyDescent="0.25">
      <c r="B33" s="2444" t="s">
        <v>1872</v>
      </c>
      <c r="C33" s="2444" t="s">
        <v>1873</v>
      </c>
    </row>
    <row r="34" spans="2:4" ht="31.2" x14ac:dyDescent="0.25">
      <c r="B34" s="2444" t="s">
        <v>1833</v>
      </c>
      <c r="C34" s="2444" t="s">
        <v>1834</v>
      </c>
    </row>
    <row r="35" spans="2:4" ht="15.6" x14ac:dyDescent="0.25">
      <c r="B35" s="2444" t="s">
        <v>1918</v>
      </c>
      <c r="C35" s="2444" t="s">
        <v>1919</v>
      </c>
    </row>
    <row r="36" spans="2:4" ht="15.6" x14ac:dyDescent="0.25">
      <c r="B36" s="2444" t="s">
        <v>1867</v>
      </c>
      <c r="C36" s="2444" t="s">
        <v>1868</v>
      </c>
    </row>
    <row r="37" spans="2:4" ht="18" x14ac:dyDescent="0.25">
      <c r="B37" s="2444" t="s">
        <v>1928</v>
      </c>
      <c r="C37" s="2444" t="s">
        <v>1835</v>
      </c>
    </row>
    <row r="38" spans="2:4" ht="15.6" x14ac:dyDescent="0.25">
      <c r="B38" s="2444" t="s">
        <v>1836</v>
      </c>
      <c r="C38" s="2444" t="s">
        <v>1837</v>
      </c>
    </row>
    <row r="39" spans="2:4" ht="15.6" x14ac:dyDescent="0.25">
      <c r="B39" s="2444" t="s">
        <v>1920</v>
      </c>
      <c r="C39" s="2444" t="s">
        <v>1921</v>
      </c>
    </row>
    <row r="40" spans="2:4" ht="15.6" x14ac:dyDescent="0.25">
      <c r="B40" s="2444" t="s">
        <v>1838</v>
      </c>
      <c r="C40" s="2444" t="s">
        <v>1839</v>
      </c>
    </row>
    <row r="41" spans="2:4" ht="18" x14ac:dyDescent="0.25">
      <c r="B41" s="2444" t="s">
        <v>1929</v>
      </c>
      <c r="C41" s="2444" t="s">
        <v>1840</v>
      </c>
    </row>
    <row r="42" spans="2:4" ht="15.6" x14ac:dyDescent="0.25">
      <c r="B42" s="2444" t="s">
        <v>1841</v>
      </c>
      <c r="C42" s="2444" t="s">
        <v>1842</v>
      </c>
    </row>
    <row r="43" spans="2:4" ht="15.6" x14ac:dyDescent="0.25">
      <c r="B43" s="2444" t="s">
        <v>71</v>
      </c>
      <c r="C43" s="2444" t="s">
        <v>1843</v>
      </c>
    </row>
    <row r="44" spans="2:4" ht="18" x14ac:dyDescent="0.25">
      <c r="B44" s="2444" t="s">
        <v>1930</v>
      </c>
      <c r="C44" s="2444" t="s">
        <v>1844</v>
      </c>
    </row>
    <row r="45" spans="2:4" ht="15.6" x14ac:dyDescent="0.3">
      <c r="B45" s="2444" t="s">
        <v>1869</v>
      </c>
      <c r="C45" s="2444" t="s">
        <v>1870</v>
      </c>
      <c r="D45" s="2428"/>
    </row>
    <row r="46" spans="2:4" ht="15.6" x14ac:dyDescent="0.25">
      <c r="B46" s="2444" t="s">
        <v>1845</v>
      </c>
      <c r="C46" s="2444" t="s">
        <v>1846</v>
      </c>
    </row>
    <row r="47" spans="2:4" ht="15.6" x14ac:dyDescent="0.25">
      <c r="B47" s="2444" t="s">
        <v>1847</v>
      </c>
      <c r="C47" s="2444" t="s">
        <v>1848</v>
      </c>
    </row>
    <row r="48" spans="2:4" ht="15.6" x14ac:dyDescent="0.25">
      <c r="B48" s="2444" t="s">
        <v>1849</v>
      </c>
      <c r="C48" s="2444" t="s">
        <v>1850</v>
      </c>
    </row>
    <row r="49" spans="2:3" ht="18" x14ac:dyDescent="0.25">
      <c r="B49" s="2444" t="s">
        <v>1931</v>
      </c>
      <c r="C49" s="2444" t="s">
        <v>1851</v>
      </c>
    </row>
    <row r="50" spans="2:3" ht="18" x14ac:dyDescent="0.25">
      <c r="B50" s="2444" t="s">
        <v>1932</v>
      </c>
      <c r="C50" s="2444" t="s">
        <v>1852</v>
      </c>
    </row>
    <row r="51" spans="2:3" ht="15.6" x14ac:dyDescent="0.25">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B7" sqref="B7"/>
    </sheetView>
  </sheetViews>
  <sheetFormatPr defaultColWidth="8" defaultRowHeight="12" customHeight="1" x14ac:dyDescent="0.25"/>
  <cols>
    <col min="1" max="1" width="1.88671875" style="83" customWidth="1"/>
    <col min="2" max="2" width="48.109375" style="83" bestFit="1" customWidth="1"/>
    <col min="3" max="9" width="18.5546875" style="83" customWidth="1"/>
    <col min="10" max="10" width="20.33203125" style="83" customWidth="1"/>
    <col min="11" max="16384" width="8" style="83"/>
  </cols>
  <sheetData>
    <row r="1" spans="1:10" ht="15.75" customHeight="1" x14ac:dyDescent="0.25">
      <c r="B1" s="3" t="s">
        <v>691</v>
      </c>
      <c r="G1" s="226"/>
      <c r="H1" s="226"/>
      <c r="I1" s="226"/>
      <c r="J1" s="14" t="s">
        <v>2521</v>
      </c>
    </row>
    <row r="2" spans="1:10" ht="15.75" customHeight="1" x14ac:dyDescent="0.25">
      <c r="B2" s="3" t="s">
        <v>62</v>
      </c>
      <c r="G2" s="226"/>
      <c r="H2" s="226"/>
      <c r="I2" s="226"/>
      <c r="J2" s="14" t="s">
        <v>2522</v>
      </c>
    </row>
    <row r="3" spans="1:10" ht="12" customHeight="1" x14ac:dyDescent="0.25">
      <c r="G3" s="226"/>
      <c r="H3" s="226"/>
      <c r="I3" s="226"/>
      <c r="J3" s="14" t="s">
        <v>2144</v>
      </c>
    </row>
    <row r="4" spans="1:10" ht="12" hidden="1" customHeight="1" x14ac:dyDescent="0.25">
      <c r="A4" s="83" t="s">
        <v>389</v>
      </c>
      <c r="G4" s="226"/>
      <c r="H4" s="226"/>
      <c r="I4" s="226"/>
      <c r="J4" s="226"/>
    </row>
    <row r="5" spans="1:10" ht="12" hidden="1" customHeight="1" x14ac:dyDescent="0.25">
      <c r="A5" s="83" t="s">
        <v>389</v>
      </c>
      <c r="G5" s="226"/>
      <c r="H5" s="226"/>
      <c r="I5" s="226"/>
      <c r="J5" s="226"/>
    </row>
    <row r="6" spans="1:10" ht="12" customHeight="1" x14ac:dyDescent="0.25">
      <c r="G6" s="226"/>
      <c r="H6" s="226"/>
      <c r="I6" s="226"/>
      <c r="J6" s="226"/>
    </row>
    <row r="7" spans="1:10" ht="12" customHeight="1" thickBot="1" x14ac:dyDescent="0.3">
      <c r="B7" s="2446" t="s">
        <v>64</v>
      </c>
      <c r="G7" s="235"/>
    </row>
    <row r="8" spans="1:10" ht="13.5" customHeight="1" x14ac:dyDescent="0.25">
      <c r="B8" s="236" t="s">
        <v>326</v>
      </c>
      <c r="C8" s="237" t="s">
        <v>66</v>
      </c>
      <c r="D8" s="238" t="s">
        <v>67</v>
      </c>
      <c r="E8" s="238" t="s">
        <v>68</v>
      </c>
      <c r="F8" s="238" t="s">
        <v>442</v>
      </c>
      <c r="G8" s="239" t="s">
        <v>70</v>
      </c>
      <c r="H8" s="2395" t="s">
        <v>71</v>
      </c>
      <c r="I8" s="2424" t="s">
        <v>692</v>
      </c>
      <c r="J8" s="2473" t="s">
        <v>2021</v>
      </c>
    </row>
    <row r="9" spans="1:10" ht="12.75" customHeight="1" thickBot="1" x14ac:dyDescent="0.3">
      <c r="B9" s="240" t="s">
        <v>328</v>
      </c>
      <c r="C9" s="241" t="s">
        <v>73</v>
      </c>
      <c r="D9" s="241"/>
      <c r="E9" s="241"/>
      <c r="F9" s="241"/>
      <c r="G9" s="241"/>
      <c r="H9" s="242"/>
      <c r="I9" s="242"/>
      <c r="J9" s="1800" t="s">
        <v>2022</v>
      </c>
    </row>
    <row r="10" spans="1:10" ht="18" customHeight="1" thickTop="1" thickBot="1" x14ac:dyDescent="0.3">
      <c r="B10" s="227" t="s">
        <v>693</v>
      </c>
      <c r="C10" s="2923">
        <f>IF(SUM(C11,C20,C31:C32,C42:C47)=0,"NO",SUM(C11,C20,C31:C32,C42:C47))</f>
        <v>582.01320937951778</v>
      </c>
      <c r="D10" s="2500">
        <f t="shared" ref="D10:I10" si="0">IF(SUM(D11,D20,D31:D32,D42:D47)=0,"NO",SUM(D11,D20,D31:D32,D42:D47))</f>
        <v>2862.0554635349013</v>
      </c>
      <c r="E10" s="2500">
        <f t="shared" si="0"/>
        <v>42.929199844169084</v>
      </c>
      <c r="F10" s="2500">
        <f t="shared" si="0"/>
        <v>26.929788553329907</v>
      </c>
      <c r="G10" s="2500">
        <f t="shared" si="0"/>
        <v>455.45136336696817</v>
      </c>
      <c r="H10" s="2915">
        <f t="shared" si="0"/>
        <v>26.567996196406483</v>
      </c>
      <c r="I10" s="2924" t="str">
        <f t="shared" si="0"/>
        <v>NO</v>
      </c>
      <c r="J10" s="2925">
        <f>IF(SUM(C10:E10)=0,"NO",SUM(C10)+28*SUM(D10)+265*SUM(E10))</f>
        <v>92095.804147061557</v>
      </c>
    </row>
    <row r="11" spans="1:10" ht="18" customHeight="1" x14ac:dyDescent="0.25">
      <c r="B11" s="234" t="s">
        <v>694</v>
      </c>
      <c r="C11" s="2926"/>
      <c r="D11" s="2137">
        <f>SUM(D16:D19)</f>
        <v>2585.3162725086167</v>
      </c>
      <c r="E11" s="1929"/>
      <c r="F11" s="1929"/>
      <c r="G11" s="1929"/>
      <c r="H11" s="2927"/>
      <c r="I11" s="2928"/>
      <c r="J11" s="1880">
        <f>IF(SUM(C11:E11)=0,"NO",SUM(C11)+28*SUM(D11)+265*SUM(E11))</f>
        <v>72388.855630241276</v>
      </c>
    </row>
    <row r="12" spans="1:10" ht="18" customHeight="1" x14ac:dyDescent="0.25">
      <c r="B12" s="230" t="s">
        <v>695</v>
      </c>
      <c r="C12" s="2929"/>
      <c r="D12" s="2135"/>
      <c r="E12" s="628"/>
      <c r="F12" s="628"/>
      <c r="G12" s="628"/>
      <c r="H12" s="2930"/>
      <c r="I12" s="2931"/>
      <c r="J12" s="2932"/>
    </row>
    <row r="13" spans="1:10" ht="18" customHeight="1" x14ac:dyDescent="0.25">
      <c r="B13" s="232" t="s">
        <v>696</v>
      </c>
      <c r="C13" s="2933"/>
      <c r="D13" s="2920"/>
      <c r="E13" s="628"/>
      <c r="F13" s="628"/>
      <c r="G13" s="628"/>
      <c r="H13" s="2930"/>
      <c r="I13" s="2931"/>
      <c r="J13" s="2934"/>
    </row>
    <row r="14" spans="1:10" ht="18" customHeight="1" x14ac:dyDescent="0.25">
      <c r="B14" s="232" t="s">
        <v>697</v>
      </c>
      <c r="C14" s="2933"/>
      <c r="D14" s="2920"/>
      <c r="E14" s="628"/>
      <c r="F14" s="628"/>
      <c r="G14" s="628"/>
      <c r="H14" s="2930"/>
      <c r="I14" s="2931"/>
      <c r="J14" s="2934"/>
    </row>
    <row r="15" spans="1:10" ht="18" customHeight="1" x14ac:dyDescent="0.25">
      <c r="B15" s="230" t="s">
        <v>698</v>
      </c>
      <c r="C15" s="2929"/>
      <c r="D15" s="1910"/>
      <c r="E15" s="628"/>
      <c r="F15" s="628"/>
      <c r="G15" s="628"/>
      <c r="H15" s="2930"/>
      <c r="I15" s="2931"/>
      <c r="J15" s="2935"/>
    </row>
    <row r="16" spans="1:10" ht="18" customHeight="1" x14ac:dyDescent="0.25">
      <c r="B16" s="232" t="s">
        <v>2094</v>
      </c>
      <c r="C16" s="2936"/>
      <c r="D16" s="2920">
        <f>Table3.A!G15</f>
        <v>1364.2338541575184</v>
      </c>
      <c r="E16" s="628"/>
      <c r="F16" s="628"/>
      <c r="G16" s="628"/>
      <c r="H16" s="2930"/>
      <c r="I16" s="2931"/>
      <c r="J16" s="2934">
        <f>IF(SUM(C16:E16)=0,"NO",SUM(C16)+28*SUM(D16)+265*SUM(E16))</f>
        <v>38198.547916410513</v>
      </c>
    </row>
    <row r="17" spans="2:10" ht="18" customHeight="1" x14ac:dyDescent="0.25">
      <c r="B17" s="228" t="s">
        <v>699</v>
      </c>
      <c r="C17" s="2936"/>
      <c r="D17" s="2920">
        <f>Table3.A!G24</f>
        <v>1205.1182640040661</v>
      </c>
      <c r="E17" s="628"/>
      <c r="F17" s="628"/>
      <c r="G17" s="628"/>
      <c r="H17" s="2930"/>
      <c r="I17" s="2931"/>
      <c r="J17" s="2934">
        <f t="shared" ref="J17:J21" si="1">IF(SUM(C17:E17)=0,"NO",SUM(C17)+28*SUM(D17)+265*SUM(E17))</f>
        <v>33743.31139211385</v>
      </c>
    </row>
    <row r="18" spans="2:10" ht="18" customHeight="1" x14ac:dyDescent="0.25">
      <c r="B18" s="228" t="s">
        <v>700</v>
      </c>
      <c r="C18" s="2936"/>
      <c r="D18" s="2920">
        <f>Table3.A!G27</f>
        <v>3.8668035730323891</v>
      </c>
      <c r="E18" s="628"/>
      <c r="F18" s="628"/>
      <c r="G18" s="628"/>
      <c r="H18" s="2930"/>
      <c r="I18" s="2931"/>
      <c r="J18" s="2934">
        <f t="shared" si="1"/>
        <v>108.2705000449069</v>
      </c>
    </row>
    <row r="19" spans="2:10" ht="18" customHeight="1" thickBot="1" x14ac:dyDescent="0.3">
      <c r="B19" s="1297" t="s">
        <v>701</v>
      </c>
      <c r="C19" s="2937"/>
      <c r="D19" s="2500">
        <f>Table3.A!G30</f>
        <v>12.097350774000002</v>
      </c>
      <c r="E19" s="1923"/>
      <c r="F19" s="1923"/>
      <c r="G19" s="1923"/>
      <c r="H19" s="2938"/>
      <c r="I19" s="2939"/>
      <c r="J19" s="2934">
        <f t="shared" si="1"/>
        <v>338.72582167200005</v>
      </c>
    </row>
    <row r="20" spans="2:10" ht="18" customHeight="1" x14ac:dyDescent="0.25">
      <c r="B20" s="1456" t="s">
        <v>702</v>
      </c>
      <c r="C20" s="2940"/>
      <c r="D20" s="2920">
        <f>IF(SUM(D26:D30)=0,"NO",SUM(D26:D30))</f>
        <v>246.036108794439</v>
      </c>
      <c r="E20" s="2920">
        <f>IF(SUM(E26:E30)=0,"NO",SUM(E26:E30))</f>
        <v>0.76816438643373786</v>
      </c>
      <c r="F20" s="2134"/>
      <c r="G20" s="2134"/>
      <c r="H20" s="2920" t="str">
        <f>IF(SUM(H26:H30)=0,"NE",SUM(H26:H30))</f>
        <v>NE</v>
      </c>
      <c r="I20" s="2931"/>
      <c r="J20" s="2941">
        <f t="shared" si="1"/>
        <v>7092.5746086492327</v>
      </c>
    </row>
    <row r="21" spans="2:10" ht="18" customHeight="1" x14ac:dyDescent="0.25">
      <c r="B21" s="228" t="s">
        <v>2019</v>
      </c>
      <c r="C21" s="2936"/>
      <c r="D21" s="2920">
        <f>D26</f>
        <v>118.84185277745091</v>
      </c>
      <c r="E21" s="2920">
        <f>E26</f>
        <v>0.30244974701993954</v>
      </c>
      <c r="F21" s="2942"/>
      <c r="G21" s="2942"/>
      <c r="H21" s="2920" t="str">
        <f>H26</f>
        <v>NE</v>
      </c>
      <c r="I21" s="2931"/>
      <c r="J21" s="2934">
        <f t="shared" si="1"/>
        <v>3407.7210607289098</v>
      </c>
    </row>
    <row r="22" spans="2:10" ht="18" customHeight="1" x14ac:dyDescent="0.25">
      <c r="B22" s="230" t="s">
        <v>695</v>
      </c>
      <c r="C22" s="2929"/>
      <c r="D22" s="2135"/>
      <c r="E22" s="628"/>
      <c r="F22" s="628"/>
      <c r="G22" s="628"/>
      <c r="H22" s="2930"/>
      <c r="I22" s="2931"/>
      <c r="J22" s="2932"/>
    </row>
    <row r="23" spans="2:10" ht="18" customHeight="1" x14ac:dyDescent="0.25">
      <c r="B23" s="232" t="s">
        <v>703</v>
      </c>
      <c r="C23" s="2933"/>
      <c r="D23" s="2920"/>
      <c r="E23" s="2920"/>
      <c r="F23" s="628"/>
      <c r="G23" s="628"/>
      <c r="H23" s="2943"/>
      <c r="I23" s="2931"/>
      <c r="J23" s="2934"/>
    </row>
    <row r="24" spans="2:10" ht="18" customHeight="1" x14ac:dyDescent="0.25">
      <c r="B24" s="232" t="s">
        <v>704</v>
      </c>
      <c r="C24" s="2933"/>
      <c r="D24" s="2920"/>
      <c r="E24" s="2920"/>
      <c r="F24" s="628"/>
      <c r="G24" s="628"/>
      <c r="H24" s="2943"/>
      <c r="I24" s="2931"/>
      <c r="J24" s="2934"/>
    </row>
    <row r="25" spans="2:10" ht="18" customHeight="1" x14ac:dyDescent="0.25">
      <c r="B25" s="230" t="s">
        <v>698</v>
      </c>
      <c r="C25" s="2929"/>
      <c r="D25" s="1910"/>
      <c r="E25" s="628"/>
      <c r="F25" s="628"/>
      <c r="G25" s="628"/>
      <c r="H25" s="2930"/>
      <c r="I25" s="2931"/>
      <c r="J25" s="2935"/>
    </row>
    <row r="26" spans="2:10" ht="18" customHeight="1" x14ac:dyDescent="0.25">
      <c r="B26" s="232" t="s">
        <v>2095</v>
      </c>
      <c r="C26" s="2936"/>
      <c r="D26" s="2920">
        <f>'Table3.B(a)'!K15</f>
        <v>118.84185277745091</v>
      </c>
      <c r="E26" s="2920">
        <f>'Table3.B(b)'!X15</f>
        <v>0.30244974701993954</v>
      </c>
      <c r="F26" s="628"/>
      <c r="G26" s="628"/>
      <c r="H26" s="2944" t="s">
        <v>2154</v>
      </c>
      <c r="I26" s="2931"/>
      <c r="J26" s="2934">
        <f t="shared" ref="J26:J48" si="2">IF(SUM(C26:E26)=0,"NO",SUM(C26)+28*SUM(D26)+265*SUM(E26))</f>
        <v>3407.7210607289098</v>
      </c>
    </row>
    <row r="27" spans="2:10" ht="18" customHeight="1" x14ac:dyDescent="0.25">
      <c r="B27" s="228" t="s">
        <v>705</v>
      </c>
      <c r="C27" s="2936"/>
      <c r="D27" s="2920">
        <f>'Table3.B(a)'!K24</f>
        <v>62.128835239748895</v>
      </c>
      <c r="E27" s="2920" t="str">
        <f>'Table3.B(b)'!X24</f>
        <v>NA</v>
      </c>
      <c r="F27" s="2942"/>
      <c r="G27" s="2942"/>
      <c r="H27" s="2944" t="s">
        <v>2154</v>
      </c>
      <c r="I27" s="2931"/>
      <c r="J27" s="2934">
        <f t="shared" si="2"/>
        <v>1739.6073867129689</v>
      </c>
    </row>
    <row r="28" spans="2:10" ht="18" customHeight="1" x14ac:dyDescent="0.25">
      <c r="B28" s="228" t="s">
        <v>706</v>
      </c>
      <c r="C28" s="2936"/>
      <c r="D28" s="2920">
        <f>'Table3.B(a)'!K27</f>
        <v>61.840970252167615</v>
      </c>
      <c r="E28" s="2920">
        <f>'Table3.B(b)'!X27</f>
        <v>6.6081825205353398E-2</v>
      </c>
      <c r="F28" s="2942"/>
      <c r="G28" s="2942"/>
      <c r="H28" s="2944" t="s">
        <v>2154</v>
      </c>
      <c r="I28" s="2931"/>
      <c r="J28" s="2934">
        <f t="shared" si="2"/>
        <v>1749.0588507401119</v>
      </c>
    </row>
    <row r="29" spans="2:10" ht="18" customHeight="1" x14ac:dyDescent="0.25">
      <c r="B29" s="228" t="s">
        <v>707</v>
      </c>
      <c r="C29" s="2936"/>
      <c r="D29" s="2920">
        <f>'Table3.B(a)'!K30</f>
        <v>3.2244505250715965</v>
      </c>
      <c r="E29" s="2920">
        <f>'Table3.B(b)'!X30</f>
        <v>0.18901013666005392</v>
      </c>
      <c r="F29" s="2942"/>
      <c r="G29" s="2942"/>
      <c r="H29" s="2944" t="s">
        <v>2154</v>
      </c>
      <c r="I29" s="2931"/>
      <c r="J29" s="2934">
        <f t="shared" si="2"/>
        <v>140.37230091691899</v>
      </c>
    </row>
    <row r="30" spans="2:10" ht="18" customHeight="1" thickBot="1" x14ac:dyDescent="0.3">
      <c r="B30" s="1297" t="s">
        <v>708</v>
      </c>
      <c r="C30" s="2945"/>
      <c r="D30" s="2946"/>
      <c r="E30" s="2947">
        <f>SUM('Table3.B(b)'!Y46:Z46)</f>
        <v>0.21062267754839101</v>
      </c>
      <c r="F30" s="2948"/>
      <c r="G30" s="2948"/>
      <c r="H30" s="2949"/>
      <c r="I30" s="2950"/>
      <c r="J30" s="2934">
        <f t="shared" si="2"/>
        <v>55.815009550323616</v>
      </c>
    </row>
    <row r="31" spans="2:10" ht="18" customHeight="1" thickBot="1" x14ac:dyDescent="0.3">
      <c r="B31" s="2639" t="s">
        <v>709</v>
      </c>
      <c r="C31" s="2951"/>
      <c r="D31" s="2952">
        <f>Table3.C!G11</f>
        <v>19.024842145513141</v>
      </c>
      <c r="E31" s="2953"/>
      <c r="F31" s="2953"/>
      <c r="G31" s="2953"/>
      <c r="H31" s="2954" t="s">
        <v>2154</v>
      </c>
      <c r="I31" s="2955"/>
      <c r="J31" s="2956">
        <f t="shared" si="2"/>
        <v>532.69558007436797</v>
      </c>
    </row>
    <row r="32" spans="2:10" ht="18" customHeight="1" x14ac:dyDescent="0.25">
      <c r="B32" s="2638" t="s">
        <v>2020</v>
      </c>
      <c r="C32" s="2957"/>
      <c r="D32" s="2958" t="s">
        <v>2154</v>
      </c>
      <c r="E32" s="2958">
        <f>IF(SUM(E33,E41)=0,"NO",SUM(E33,E41))</f>
        <v>41.694921519213942</v>
      </c>
      <c r="F32" s="2958" t="str">
        <f>IF(SUM(F33,F41)=0,"NO",SUM(F33,F41))</f>
        <v>NO</v>
      </c>
      <c r="G32" s="2958" t="str">
        <f>IF(SUM(G33,G41)=0,"NO",SUM(G33,G41))</f>
        <v>NO</v>
      </c>
      <c r="H32" s="2958" t="str">
        <f>IF(SUM(H33,H41)=0,"NO",SUM(H33,H41))</f>
        <v>NO</v>
      </c>
      <c r="I32" s="2959"/>
      <c r="J32" s="2960">
        <f t="shared" si="2"/>
        <v>11049.154202591695</v>
      </c>
    </row>
    <row r="33" spans="2:10" ht="18" customHeight="1" x14ac:dyDescent="0.25">
      <c r="B33" s="228" t="s">
        <v>710</v>
      </c>
      <c r="C33" s="2961"/>
      <c r="D33" s="2962" t="s">
        <v>2154</v>
      </c>
      <c r="E33" s="2962">
        <f>IF(SUM(E34:E40)=0,"NO",SUM(E34:E40))</f>
        <v>31.474282984058544</v>
      </c>
      <c r="F33" s="2962" t="str">
        <f>IF(SUM(F34:F40)=0,"NO",SUM(F34:F40))</f>
        <v>NO</v>
      </c>
      <c r="G33" s="2962" t="str">
        <f>IF(SUM(G34:G40)=0,"NO",SUM(G34:G40))</f>
        <v>NO</v>
      </c>
      <c r="H33" s="2962" t="str">
        <f>IF(SUM(H34:H40)=0,"NO",SUM(H34:H40))</f>
        <v>NO</v>
      </c>
      <c r="I33" s="2931"/>
      <c r="J33" s="2963">
        <f t="shared" si="2"/>
        <v>8340.684990775515</v>
      </c>
    </row>
    <row r="34" spans="2:10" ht="18" customHeight="1" x14ac:dyDescent="0.25">
      <c r="B34" s="232" t="s">
        <v>711</v>
      </c>
      <c r="C34" s="2961"/>
      <c r="D34" s="2905" t="s">
        <v>2154</v>
      </c>
      <c r="E34" s="2962">
        <f>Table3.D!F11</f>
        <v>4.532253241871925</v>
      </c>
      <c r="F34" s="2964" t="s">
        <v>2147</v>
      </c>
      <c r="G34" s="2964" t="s">
        <v>2147</v>
      </c>
      <c r="H34" s="2964" t="s">
        <v>2147</v>
      </c>
      <c r="I34" s="2931"/>
      <c r="J34" s="2963">
        <f t="shared" si="2"/>
        <v>1201.0471090960602</v>
      </c>
    </row>
    <row r="35" spans="2:10" ht="18" customHeight="1" x14ac:dyDescent="0.25">
      <c r="B35" s="232" t="s">
        <v>712</v>
      </c>
      <c r="C35" s="2961"/>
      <c r="D35" s="2905" t="s">
        <v>2154</v>
      </c>
      <c r="E35" s="2962">
        <f>Table3.D!F12</f>
        <v>0.93234247197967535</v>
      </c>
      <c r="F35" s="2964" t="s">
        <v>2147</v>
      </c>
      <c r="G35" s="2964" t="s">
        <v>2147</v>
      </c>
      <c r="H35" s="2965" t="s">
        <v>2147</v>
      </c>
      <c r="I35" s="2931"/>
      <c r="J35" s="2963">
        <f t="shared" si="2"/>
        <v>247.07075507461397</v>
      </c>
    </row>
    <row r="36" spans="2:10" ht="18" customHeight="1" x14ac:dyDescent="0.25">
      <c r="B36" s="232" t="s">
        <v>713</v>
      </c>
      <c r="C36" s="2961"/>
      <c r="D36" s="2905" t="s">
        <v>2154</v>
      </c>
      <c r="E36" s="2962">
        <f>Table3.D!F16</f>
        <v>14.355163742285015</v>
      </c>
      <c r="F36" s="2964" t="s">
        <v>2147</v>
      </c>
      <c r="G36" s="2964" t="s">
        <v>2147</v>
      </c>
      <c r="H36" s="2965" t="s">
        <v>2147</v>
      </c>
      <c r="I36" s="2931"/>
      <c r="J36" s="2963">
        <f t="shared" si="2"/>
        <v>3804.1183917055291</v>
      </c>
    </row>
    <row r="37" spans="2:10" ht="18" customHeight="1" x14ac:dyDescent="0.25">
      <c r="B37" s="232" t="s">
        <v>714</v>
      </c>
      <c r="C37" s="2961"/>
      <c r="D37" s="2905" t="s">
        <v>2154</v>
      </c>
      <c r="E37" s="2962">
        <f>Table3.D!F17</f>
        <v>9.2398813929352741</v>
      </c>
      <c r="F37" s="2964" t="s">
        <v>2147</v>
      </c>
      <c r="G37" s="2964" t="s">
        <v>2147</v>
      </c>
      <c r="H37" s="2965" t="s">
        <v>2147</v>
      </c>
      <c r="I37" s="2931"/>
      <c r="J37" s="2963">
        <f t="shared" si="2"/>
        <v>2448.5685691278477</v>
      </c>
    </row>
    <row r="38" spans="2:10" ht="18" customHeight="1" x14ac:dyDescent="0.25">
      <c r="B38" s="1705" t="s">
        <v>715</v>
      </c>
      <c r="C38" s="2961"/>
      <c r="D38" s="2905" t="s">
        <v>2154</v>
      </c>
      <c r="E38" s="2962">
        <f>Table3.D!F18</f>
        <v>2.3266421349866517</v>
      </c>
      <c r="F38" s="2964" t="s">
        <v>2147</v>
      </c>
      <c r="G38" s="2964" t="s">
        <v>2147</v>
      </c>
      <c r="H38" s="2965" t="s">
        <v>2147</v>
      </c>
      <c r="I38" s="2931"/>
      <c r="J38" s="2963">
        <f t="shared" si="2"/>
        <v>616.56016577146272</v>
      </c>
    </row>
    <row r="39" spans="2:10" ht="18" customHeight="1" x14ac:dyDescent="0.25">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5">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3">
      <c r="B41" s="2640" t="s">
        <v>718</v>
      </c>
      <c r="C41" s="2966"/>
      <c r="D41" s="2967" t="s">
        <v>2154</v>
      </c>
      <c r="E41" s="2968">
        <f>Table3.D!F21</f>
        <v>10.220638535155397</v>
      </c>
      <c r="F41" s="2969" t="s">
        <v>2147</v>
      </c>
      <c r="G41" s="2969" t="s">
        <v>2147</v>
      </c>
      <c r="H41" s="2970" t="s">
        <v>2147</v>
      </c>
      <c r="I41" s="2971"/>
      <c r="J41" s="2972">
        <f t="shared" si="2"/>
        <v>2708.4692118161802</v>
      </c>
    </row>
    <row r="42" spans="2:10" ht="18" customHeight="1" thickBot="1" x14ac:dyDescent="0.3">
      <c r="B42" s="236" t="s">
        <v>719</v>
      </c>
      <c r="C42" s="2973"/>
      <c r="D42" s="2974" t="s">
        <v>2147</v>
      </c>
      <c r="E42" s="2974" t="s">
        <v>2147</v>
      </c>
      <c r="F42" s="2975" t="s">
        <v>2147</v>
      </c>
      <c r="G42" s="2975" t="s">
        <v>2147</v>
      </c>
      <c r="H42" s="2976" t="s">
        <v>2147</v>
      </c>
      <c r="I42" s="2977" t="s">
        <v>2147</v>
      </c>
      <c r="J42" s="2978" t="s">
        <v>2147</v>
      </c>
    </row>
    <row r="43" spans="2:10" ht="18" customHeight="1" thickBot="1" x14ac:dyDescent="0.3">
      <c r="B43" s="2639" t="s">
        <v>720</v>
      </c>
      <c r="C43" s="2951"/>
      <c r="D43" s="2979">
        <f>SUM(Table3.F!I10,Table3.F!I20,Table3.F!I23,Table3.F!I26:I27)</f>
        <v>11.678240086332517</v>
      </c>
      <c r="E43" s="2979">
        <f>SUM(Table3.F!J10,Table3.F!J20,Table3.F!J23,Table3.F!J26:J27)</f>
        <v>0.4661139385214037</v>
      </c>
      <c r="F43" s="2909">
        <v>26.929788553329907</v>
      </c>
      <c r="G43" s="2909">
        <v>455.45136336696817</v>
      </c>
      <c r="H43" s="2910">
        <v>26.567996196406483</v>
      </c>
      <c r="I43" s="2980" t="s">
        <v>2146</v>
      </c>
      <c r="J43" s="2981">
        <f t="shared" si="2"/>
        <v>450.51091612548242</v>
      </c>
    </row>
    <row r="44" spans="2:10" ht="18" customHeight="1" thickBot="1" x14ac:dyDescent="0.3">
      <c r="B44" s="2641" t="s">
        <v>721</v>
      </c>
      <c r="C44" s="2982">
        <f>'Table3.G-J'!E10</f>
        <v>215.34654271285109</v>
      </c>
      <c r="D44" s="2983"/>
      <c r="E44" s="2983"/>
      <c r="F44" s="2983"/>
      <c r="G44" s="2983"/>
      <c r="H44" s="2984"/>
      <c r="I44" s="2985"/>
      <c r="J44" s="2981">
        <f t="shared" si="2"/>
        <v>215.34654271285109</v>
      </c>
    </row>
    <row r="45" spans="2:10" ht="18" customHeight="1" thickBot="1" x14ac:dyDescent="0.3">
      <c r="B45" s="2641" t="s">
        <v>722</v>
      </c>
      <c r="C45" s="2982">
        <f>'Table3.G-J'!E13</f>
        <v>366.66666666666663</v>
      </c>
      <c r="D45" s="2983"/>
      <c r="E45" s="2983"/>
      <c r="F45" s="2983"/>
      <c r="G45" s="2983"/>
      <c r="H45" s="2984"/>
      <c r="I45" s="2985"/>
      <c r="J45" s="2981">
        <f t="shared" si="2"/>
        <v>366.66666666666663</v>
      </c>
    </row>
    <row r="46" spans="2:10" ht="18" customHeight="1" thickBot="1" x14ac:dyDescent="0.3">
      <c r="B46" s="2641" t="s">
        <v>723</v>
      </c>
      <c r="C46" s="2982" t="str">
        <f>'Table3.G-J'!E14</f>
        <v>NE</v>
      </c>
      <c r="D46" s="2983"/>
      <c r="E46" s="2983"/>
      <c r="F46" s="2983"/>
      <c r="G46" s="2983"/>
      <c r="H46" s="2984"/>
      <c r="I46" s="2985"/>
      <c r="J46" s="2981" t="str">
        <f t="shared" si="2"/>
        <v>NO</v>
      </c>
    </row>
    <row r="47" spans="2:10" ht="18" customHeight="1" x14ac:dyDescent="0.25">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3">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5">
      <c r="B49" s="247"/>
      <c r="C49" s="247"/>
      <c r="D49" s="247"/>
      <c r="E49" s="247"/>
      <c r="F49" s="247"/>
      <c r="G49" s="247"/>
    </row>
    <row r="50" spans="2:10" ht="12" customHeight="1" x14ac:dyDescent="0.25">
      <c r="B50" s="248"/>
      <c r="C50" s="249"/>
      <c r="D50" s="249"/>
      <c r="E50" s="249"/>
      <c r="F50" s="249"/>
      <c r="G50" s="249"/>
    </row>
    <row r="51" spans="2:10" ht="12" customHeight="1" x14ac:dyDescent="0.25">
      <c r="B51" s="1171"/>
      <c r="C51" s="1171"/>
      <c r="D51" s="1171"/>
      <c r="E51" s="1171"/>
      <c r="F51" s="1171"/>
      <c r="G51" s="1171"/>
    </row>
    <row r="52" spans="2:10" ht="12" customHeight="1" x14ac:dyDescent="0.25">
      <c r="B52" s="1171"/>
      <c r="C52" s="1171"/>
      <c r="D52" s="1171"/>
      <c r="E52" s="1171"/>
      <c r="F52" s="1171"/>
      <c r="G52" s="1171"/>
    </row>
    <row r="53" spans="2:10" ht="12" customHeight="1" x14ac:dyDescent="0.25">
      <c r="B53" s="1171"/>
      <c r="C53" s="1171"/>
      <c r="D53" s="1171"/>
      <c r="E53" s="1171"/>
      <c r="F53" s="1171"/>
      <c r="G53" s="1171"/>
    </row>
    <row r="54" spans="2:10" ht="12" customHeight="1" x14ac:dyDescent="0.25">
      <c r="B54" s="1171"/>
      <c r="C54" s="1171"/>
      <c r="D54" s="1171"/>
      <c r="E54" s="1171"/>
      <c r="F54" s="1171"/>
      <c r="G54" s="1171"/>
    </row>
    <row r="55" spans="2:10" ht="12" customHeight="1" x14ac:dyDescent="0.25">
      <c r="B55" s="1171"/>
      <c r="C55" s="1171"/>
      <c r="D55" s="1171"/>
      <c r="E55" s="1171"/>
      <c r="F55" s="1171"/>
      <c r="G55" s="1171"/>
    </row>
    <row r="56" spans="2:10" ht="12" customHeight="1" x14ac:dyDescent="0.25">
      <c r="B56" s="1171"/>
      <c r="C56" s="1171"/>
      <c r="D56" s="1171"/>
      <c r="E56" s="1171"/>
      <c r="F56" s="1171"/>
      <c r="G56" s="1171"/>
    </row>
    <row r="57" spans="2:10" ht="12" customHeight="1" x14ac:dyDescent="0.25">
      <c r="B57" s="1298"/>
      <c r="C57" s="1298"/>
      <c r="D57" s="1298"/>
      <c r="E57" s="1298"/>
      <c r="F57" s="1298"/>
      <c r="G57" s="1298"/>
    </row>
    <row r="58" spans="2:10" ht="12" customHeight="1" x14ac:dyDescent="0.25">
      <c r="B58" s="1298"/>
      <c r="C58" s="1298"/>
      <c r="D58" s="1298"/>
      <c r="E58" s="1298"/>
      <c r="F58" s="1298"/>
      <c r="G58" s="1298"/>
    </row>
    <row r="59" spans="2:10" ht="12" customHeight="1" x14ac:dyDescent="0.25">
      <c r="B59" s="1298"/>
      <c r="C59" s="1298"/>
      <c r="D59" s="1298"/>
      <c r="E59" s="1298"/>
      <c r="F59" s="1298"/>
      <c r="G59" s="1298"/>
    </row>
    <row r="60" spans="2:10" ht="12" customHeight="1" x14ac:dyDescent="0.25">
      <c r="B60" s="1298"/>
      <c r="C60" s="1298"/>
      <c r="D60" s="1298"/>
      <c r="E60" s="1298"/>
      <c r="F60" s="1298"/>
      <c r="G60" s="1298"/>
    </row>
    <row r="61" spans="2:10" ht="12" customHeight="1" thickBot="1" x14ac:dyDescent="0.3">
      <c r="B61" s="1298"/>
      <c r="C61" s="1298"/>
      <c r="D61" s="1298"/>
      <c r="E61" s="1298"/>
      <c r="F61" s="1298"/>
      <c r="G61" s="1298"/>
    </row>
    <row r="62" spans="2:10" ht="12" customHeight="1" x14ac:dyDescent="0.25">
      <c r="B62" s="250" t="s">
        <v>352</v>
      </c>
      <c r="C62" s="251"/>
      <c r="D62" s="251"/>
      <c r="E62" s="251"/>
      <c r="F62" s="251"/>
      <c r="G62" s="251"/>
      <c r="H62" s="251"/>
      <c r="I62" s="251"/>
      <c r="J62" s="252"/>
    </row>
    <row r="63" spans="2:10" ht="12" customHeight="1" x14ac:dyDescent="0.25">
      <c r="B63" s="1302"/>
      <c r="C63" s="1303"/>
      <c r="D63" s="1303"/>
      <c r="E63" s="1303"/>
      <c r="F63" s="1303"/>
      <c r="G63" s="1303"/>
      <c r="H63" s="1303"/>
      <c r="I63" s="1303"/>
      <c r="J63" s="1304"/>
    </row>
    <row r="64" spans="2:10" ht="12" customHeight="1" x14ac:dyDescent="0.25">
      <c r="B64" s="1302"/>
      <c r="C64" s="1303"/>
      <c r="D64" s="1303"/>
      <c r="E64" s="1303"/>
      <c r="F64" s="1303"/>
      <c r="G64" s="1303"/>
      <c r="H64" s="1303"/>
      <c r="I64" s="1303"/>
      <c r="J64" s="1304"/>
    </row>
    <row r="65" spans="2:10" ht="12" customHeight="1" x14ac:dyDescent="0.25">
      <c r="B65" s="1302"/>
      <c r="C65" s="1303"/>
      <c r="D65" s="1303"/>
      <c r="E65" s="1303"/>
      <c r="F65" s="1303"/>
      <c r="G65" s="1303"/>
      <c r="H65" s="1303"/>
      <c r="I65" s="1303"/>
      <c r="J65" s="1304"/>
    </row>
    <row r="66" spans="2:10" ht="12" customHeight="1" x14ac:dyDescent="0.25">
      <c r="B66" s="1299"/>
      <c r="C66" s="1300"/>
      <c r="D66" s="1300"/>
      <c r="E66" s="1300"/>
      <c r="F66" s="1300"/>
      <c r="G66" s="1300"/>
      <c r="H66" s="1300"/>
      <c r="I66" s="1300"/>
      <c r="J66" s="1301"/>
    </row>
    <row r="67" spans="2:10" ht="12" customHeight="1" thickBot="1" x14ac:dyDescent="0.3">
      <c r="B67" s="852"/>
      <c r="C67" s="853"/>
      <c r="D67" s="853"/>
      <c r="E67" s="853"/>
      <c r="F67" s="853"/>
      <c r="G67" s="853"/>
      <c r="H67" s="853"/>
      <c r="I67" s="853"/>
      <c r="J67" s="854"/>
    </row>
    <row r="68" spans="2:10" ht="12" customHeight="1" x14ac:dyDescent="0.25">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tabSelected="1" zoomScale="80" zoomScaleNormal="80" workbookViewId="0">
      <selection activeCell="B21" sqref="B21:B23"/>
    </sheetView>
  </sheetViews>
  <sheetFormatPr defaultColWidth="8" defaultRowHeight="12" customHeight="1" x14ac:dyDescent="0.25"/>
  <cols>
    <col min="1" max="1" width="1.88671875" style="83" customWidth="1"/>
    <col min="2" max="2" width="71.33203125" style="83" bestFit="1" customWidth="1"/>
    <col min="3" max="3" width="14.109375" style="83" bestFit="1" customWidth="1"/>
    <col min="4" max="4" width="26.109375" style="83" customWidth="1"/>
    <col min="5" max="5" width="28.44140625" style="83" customWidth="1"/>
    <col min="6" max="7" width="20.5546875" style="83" customWidth="1"/>
    <col min="8" max="8" width="1.88671875" style="83" customWidth="1"/>
    <col min="9" max="9" width="14.88671875" style="83" customWidth="1"/>
    <col min="10" max="10" width="9.88671875" style="83" customWidth="1"/>
    <col min="11" max="11" width="9.5546875" style="83" customWidth="1"/>
    <col min="12" max="12" width="11.88671875" style="83" customWidth="1"/>
    <col min="13" max="14" width="10.5546875" style="83" customWidth="1"/>
    <col min="15" max="15" width="11" style="83" customWidth="1"/>
    <col min="16" max="16" width="1.5546875" style="83" customWidth="1"/>
    <col min="17" max="17" width="1.109375" style="83" customWidth="1"/>
    <col min="18" max="16384" width="8" style="83"/>
  </cols>
  <sheetData>
    <row r="1" spans="2:16" ht="15.75" customHeight="1" x14ac:dyDescent="0.25">
      <c r="B1" s="3" t="s">
        <v>724</v>
      </c>
      <c r="G1" s="14" t="s">
        <v>2521</v>
      </c>
      <c r="O1" s="226"/>
    </row>
    <row r="2" spans="2:16" ht="15.75" customHeight="1" x14ac:dyDescent="0.25">
      <c r="B2" s="3" t="s">
        <v>725</v>
      </c>
      <c r="G2" s="14" t="s">
        <v>2522</v>
      </c>
      <c r="O2" s="226"/>
    </row>
    <row r="3" spans="2:16" ht="15.75" customHeight="1" x14ac:dyDescent="0.25">
      <c r="B3" s="3" t="s">
        <v>62</v>
      </c>
      <c r="G3" s="14" t="s">
        <v>2144</v>
      </c>
      <c r="O3" s="226"/>
    </row>
    <row r="4" spans="2:16" ht="12" hidden="1" customHeight="1" x14ac:dyDescent="0.25">
      <c r="B4" s="3"/>
      <c r="G4" s="226"/>
      <c r="O4" s="226"/>
    </row>
    <row r="5" spans="2:16" ht="12" hidden="1" customHeight="1" x14ac:dyDescent="0.25">
      <c r="B5" s="3"/>
      <c r="G5" s="226"/>
      <c r="O5" s="226"/>
    </row>
    <row r="6" spans="2:16" ht="13.8" thickBot="1" x14ac:dyDescent="0.3">
      <c r="B6" s="2450" t="s">
        <v>64</v>
      </c>
      <c r="C6" s="254"/>
      <c r="D6" s="254"/>
      <c r="E6" s="254"/>
      <c r="F6" s="254"/>
      <c r="G6" s="254"/>
      <c r="H6" s="84"/>
      <c r="I6" s="253" t="s">
        <v>726</v>
      </c>
      <c r="J6" s="253"/>
      <c r="K6" s="253"/>
      <c r="L6" s="253"/>
      <c r="M6" s="253"/>
      <c r="N6" s="253"/>
      <c r="O6" s="253"/>
      <c r="P6" s="253"/>
    </row>
    <row r="7" spans="2:16" ht="22.8" x14ac:dyDescent="0.25">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2.8" x14ac:dyDescent="0.25">
      <c r="B8" s="259"/>
      <c r="C8" s="260" t="s">
        <v>730</v>
      </c>
      <c r="D8" s="261" t="s">
        <v>731</v>
      </c>
      <c r="E8" s="262" t="s">
        <v>732</v>
      </c>
      <c r="F8" s="260" t="s">
        <v>67</v>
      </c>
      <c r="G8" s="263" t="s">
        <v>67</v>
      </c>
      <c r="I8" s="1070"/>
      <c r="J8" s="1071"/>
      <c r="K8" s="262"/>
      <c r="L8" s="262"/>
      <c r="M8" s="262"/>
      <c r="N8" s="261"/>
      <c r="O8" s="264"/>
    </row>
    <row r="9" spans="2:16" ht="14.4" thickBot="1" x14ac:dyDescent="0.3">
      <c r="B9" s="265"/>
      <c r="C9" s="266" t="s">
        <v>733</v>
      </c>
      <c r="D9" s="267" t="s">
        <v>734</v>
      </c>
      <c r="E9" s="268" t="s">
        <v>297</v>
      </c>
      <c r="F9" s="268" t="s">
        <v>735</v>
      </c>
      <c r="G9" s="269" t="s">
        <v>73</v>
      </c>
      <c r="I9" s="270" t="s">
        <v>736</v>
      </c>
      <c r="J9" s="271"/>
      <c r="K9" s="436"/>
      <c r="L9" s="436"/>
      <c r="M9" s="436"/>
      <c r="N9" s="2637"/>
      <c r="O9" s="272"/>
    </row>
    <row r="10" spans="2:16" ht="18" customHeight="1" thickTop="1" x14ac:dyDescent="0.25">
      <c r="B10" s="273" t="s">
        <v>737</v>
      </c>
      <c r="C10" s="3266">
        <f>C15</f>
        <v>24838.232</v>
      </c>
      <c r="D10" s="3241"/>
      <c r="E10" s="3241"/>
      <c r="F10" s="3131">
        <f>IF(SUM(C10)=0,"NA",G10*1000/C10)</f>
        <v>54.924756889198811</v>
      </c>
      <c r="G10" s="3242">
        <f>G15</f>
        <v>1364.2338541575184</v>
      </c>
      <c r="I10" s="275" t="s">
        <v>738</v>
      </c>
      <c r="J10" s="276" t="s">
        <v>739</v>
      </c>
      <c r="K10" s="691">
        <v>438.18535468393998</v>
      </c>
      <c r="L10" s="691">
        <v>360.74923628679397</v>
      </c>
      <c r="M10" s="3147">
        <v>541.1875</v>
      </c>
      <c r="N10" s="3147">
        <v>46.030616188684803</v>
      </c>
      <c r="O10" s="2911">
        <v>53.511156610844701</v>
      </c>
    </row>
    <row r="11" spans="2:16" ht="18" customHeight="1" x14ac:dyDescent="0.25">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5">
      <c r="B12" s="282" t="s">
        <v>696</v>
      </c>
      <c r="C12" s="3267"/>
      <c r="D12" s="2905"/>
      <c r="E12" s="2905"/>
      <c r="F12" s="3131"/>
      <c r="G12" s="3239"/>
      <c r="I12" s="275" t="s">
        <v>741</v>
      </c>
      <c r="J12" s="276" t="s">
        <v>742</v>
      </c>
      <c r="K12" s="691">
        <v>10.6719541750138</v>
      </c>
      <c r="L12" s="691" t="s">
        <v>2147</v>
      </c>
      <c r="M12" s="3147" t="s">
        <v>2147</v>
      </c>
      <c r="N12" s="3147" t="s">
        <v>2147</v>
      </c>
      <c r="O12" s="2911" t="s">
        <v>2147</v>
      </c>
    </row>
    <row r="13" spans="2:16" ht="18" customHeight="1" x14ac:dyDescent="0.25">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5">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3">
      <c r="B15" s="286" t="s">
        <v>747</v>
      </c>
      <c r="C15" s="2635">
        <f>SUM(C21:C23)</f>
        <v>24838.232</v>
      </c>
      <c r="D15" s="3248"/>
      <c r="E15" s="3248"/>
      <c r="F15" s="3131">
        <f>IF(SUM(C15)=0,"NA",G15*1000/C15)</f>
        <v>54.924756889198811</v>
      </c>
      <c r="G15" s="3249">
        <f>G20</f>
        <v>1364.2338541575184</v>
      </c>
      <c r="I15" s="1777" t="s">
        <v>748</v>
      </c>
      <c r="J15" s="1849" t="s">
        <v>297</v>
      </c>
      <c r="K15" s="3445">
        <v>75</v>
      </c>
      <c r="L15" s="3445">
        <v>58.038459017549599</v>
      </c>
      <c r="M15" s="1560">
        <v>80</v>
      </c>
      <c r="N15" s="1560">
        <v>66.274122110961102</v>
      </c>
      <c r="O15" s="1561" t="s">
        <v>2147</v>
      </c>
    </row>
    <row r="16" spans="2:16" ht="18" customHeight="1" x14ac:dyDescent="0.25">
      <c r="B16" s="1737" t="s">
        <v>200</v>
      </c>
      <c r="C16" s="3269"/>
      <c r="D16" s="3250"/>
      <c r="E16" s="3250"/>
      <c r="F16" s="3250"/>
      <c r="G16" s="3251"/>
      <c r="I16" s="994"/>
      <c r="J16" s="994"/>
      <c r="K16" s="994"/>
      <c r="L16" s="994"/>
      <c r="M16" s="994"/>
      <c r="N16" s="994"/>
      <c r="O16" s="994"/>
      <c r="P16" s="254"/>
    </row>
    <row r="17" spans="2:15" ht="18" customHeight="1" x14ac:dyDescent="0.25">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5">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5">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5">
      <c r="B20" s="1734" t="s">
        <v>752</v>
      </c>
      <c r="C20" s="284"/>
      <c r="D20" s="3248"/>
      <c r="E20" s="3248"/>
      <c r="F20" s="3248"/>
      <c r="G20" s="3249">
        <f>SUM(G21:G23)</f>
        <v>1364.2338541575184</v>
      </c>
      <c r="I20" s="72"/>
      <c r="J20" s="288"/>
      <c r="K20" s="288"/>
      <c r="L20" s="288"/>
      <c r="M20" s="288"/>
      <c r="N20" s="288"/>
      <c r="O20" s="288"/>
    </row>
    <row r="21" spans="2:15" ht="18" customHeight="1" x14ac:dyDescent="0.25">
      <c r="B21" s="2633" t="s">
        <v>2196</v>
      </c>
      <c r="C21" s="3272">
        <v>2561.9349999999999</v>
      </c>
      <c r="D21" s="3257">
        <v>205.30483754730599</v>
      </c>
      <c r="E21" s="3257">
        <v>6.1461740719231397</v>
      </c>
      <c r="F21" s="3131">
        <f t="shared" ref="F21:F30" si="0">IF(SUM(C21)=0,"NA",G21*1000/C21)</f>
        <v>83.406631527215183</v>
      </c>
      <c r="G21" s="3239">
        <v>213.68236854167603</v>
      </c>
      <c r="I21" s="72"/>
      <c r="J21" s="288"/>
      <c r="K21" s="288"/>
      <c r="L21" s="288"/>
      <c r="M21" s="288"/>
      <c r="N21" s="288"/>
      <c r="O21" s="288"/>
    </row>
    <row r="22" spans="2:15" ht="18" customHeight="1" x14ac:dyDescent="0.25">
      <c r="B22" s="2633" t="s">
        <v>2197</v>
      </c>
      <c r="C22" s="3272">
        <v>21947.53</v>
      </c>
      <c r="D22" s="3257">
        <v>124.98393114714401</v>
      </c>
      <c r="E22" s="3257">
        <v>6.21225</v>
      </c>
      <c r="F22" s="3131">
        <f t="shared" si="0"/>
        <v>51.321525856982085</v>
      </c>
      <c r="G22" s="3239">
        <v>1126.38072839189</v>
      </c>
      <c r="I22" s="72"/>
      <c r="J22" s="288"/>
      <c r="K22" s="288"/>
      <c r="L22" s="288"/>
      <c r="M22" s="288"/>
      <c r="N22" s="288"/>
      <c r="O22" s="288"/>
    </row>
    <row r="23" spans="2:15" ht="18" customHeight="1" x14ac:dyDescent="0.25">
      <c r="B23" s="2633" t="s">
        <v>2198</v>
      </c>
      <c r="C23" s="3272">
        <v>328.767</v>
      </c>
      <c r="D23" s="3257">
        <v>207.74594972092299</v>
      </c>
      <c r="E23" s="3257">
        <v>5.3539319527033298</v>
      </c>
      <c r="F23" s="3131">
        <f t="shared" si="0"/>
        <v>73.519414125969149</v>
      </c>
      <c r="G23" s="3239">
        <v>24.170757223952499</v>
      </c>
      <c r="I23" s="72"/>
      <c r="J23" s="288"/>
      <c r="K23" s="288"/>
      <c r="L23" s="288"/>
      <c r="M23" s="288"/>
      <c r="N23" s="288"/>
      <c r="O23" s="288"/>
    </row>
    <row r="24" spans="2:15" ht="18" customHeight="1" x14ac:dyDescent="0.25">
      <c r="B24" s="287" t="s">
        <v>753</v>
      </c>
      <c r="C24" s="2635">
        <f>C25</f>
        <v>173738.038</v>
      </c>
      <c r="D24" s="3258"/>
      <c r="E24" s="3258"/>
      <c r="F24" s="3131">
        <f t="shared" si="0"/>
        <v>6.9364099990818708</v>
      </c>
      <c r="G24" s="3128">
        <f>G25</f>
        <v>1205.1182640040661</v>
      </c>
      <c r="I24" s="72"/>
    </row>
    <row r="25" spans="2:15" ht="18" customHeight="1" x14ac:dyDescent="0.25">
      <c r="B25" s="282" t="s">
        <v>754</v>
      </c>
      <c r="C25" s="2635">
        <f>C26</f>
        <v>173738.038</v>
      </c>
      <c r="D25" s="3258"/>
      <c r="E25" s="3258"/>
      <c r="F25" s="3131">
        <f t="shared" si="0"/>
        <v>6.9364099990818708</v>
      </c>
      <c r="G25" s="3128">
        <f>G26</f>
        <v>1205.1182640040661</v>
      </c>
    </row>
    <row r="26" spans="2:15" ht="18" customHeight="1" x14ac:dyDescent="0.25">
      <c r="B26" s="2634" t="s">
        <v>2201</v>
      </c>
      <c r="C26" s="289">
        <v>173738.038</v>
      </c>
      <c r="D26" s="3259">
        <v>17.053142573462399</v>
      </c>
      <c r="E26" s="3259">
        <v>6.1536653076342596</v>
      </c>
      <c r="F26" s="3131">
        <f t="shared" si="0"/>
        <v>6.9364099990818708</v>
      </c>
      <c r="G26" s="3240">
        <v>1205.1182640040661</v>
      </c>
    </row>
    <row r="27" spans="2:15" ht="18" customHeight="1" x14ac:dyDescent="0.25">
      <c r="B27" s="287" t="s">
        <v>755</v>
      </c>
      <c r="C27" s="2635">
        <f>C28</f>
        <v>2689.9360000000001</v>
      </c>
      <c r="D27" s="3258"/>
      <c r="E27" s="3258"/>
      <c r="F27" s="3131">
        <f t="shared" si="0"/>
        <v>1.4375076481493942</v>
      </c>
      <c r="G27" s="3128">
        <f>G28</f>
        <v>3.8668035730323891</v>
      </c>
    </row>
    <row r="28" spans="2:15" ht="18" customHeight="1" x14ac:dyDescent="0.25">
      <c r="B28" s="282" t="s">
        <v>756</v>
      </c>
      <c r="C28" s="2635">
        <f>C29</f>
        <v>2689.9360000000001</v>
      </c>
      <c r="D28" s="3258"/>
      <c r="E28" s="3258"/>
      <c r="F28" s="3131">
        <f t="shared" si="0"/>
        <v>1.4375076481493942</v>
      </c>
      <c r="G28" s="3128">
        <f>G29</f>
        <v>3.8668035730323891</v>
      </c>
    </row>
    <row r="29" spans="2:15" ht="18" customHeight="1" x14ac:dyDescent="0.25">
      <c r="B29" s="2634" t="s">
        <v>817</v>
      </c>
      <c r="C29" s="289">
        <v>2689.9360000000001</v>
      </c>
      <c r="D29" s="3259">
        <v>31.068174385167499</v>
      </c>
      <c r="E29" s="3259">
        <v>0.7</v>
      </c>
      <c r="F29" s="3131">
        <f t="shared" si="0"/>
        <v>1.4375076481493942</v>
      </c>
      <c r="G29" s="3240">
        <v>3.8668035730323891</v>
      </c>
    </row>
    <row r="30" spans="2:15" ht="18" customHeight="1" x14ac:dyDescent="0.25">
      <c r="B30" s="287" t="s">
        <v>757</v>
      </c>
      <c r="C30" s="2635">
        <f>SUM(C32:C39)</f>
        <v>43872.492000000006</v>
      </c>
      <c r="D30" s="3258"/>
      <c r="E30" s="3258"/>
      <c r="F30" s="3131">
        <f t="shared" si="0"/>
        <v>0.27573885645702551</v>
      </c>
      <c r="G30" s="3128">
        <f>SUM(G32:G39)</f>
        <v>12.097350774000002</v>
      </c>
    </row>
    <row r="31" spans="2:15" ht="18" customHeight="1" x14ac:dyDescent="0.25">
      <c r="B31" s="1305" t="s">
        <v>345</v>
      </c>
      <c r="C31" s="3273"/>
      <c r="D31" s="3261"/>
      <c r="E31" s="3261"/>
      <c r="F31" s="3261"/>
      <c r="G31" s="3262"/>
    </row>
    <row r="32" spans="2:15" ht="18" customHeight="1" x14ac:dyDescent="0.25">
      <c r="B32" s="286" t="s">
        <v>758</v>
      </c>
      <c r="C32" s="3267">
        <v>13.398999999999999</v>
      </c>
      <c r="D32" s="3263" t="s">
        <v>2147</v>
      </c>
      <c r="E32" s="3263" t="s">
        <v>2147</v>
      </c>
      <c r="F32" s="3131">
        <f t="shared" ref="F32:F40" si="1">IF(SUM(C32)=0,"NA",G32*1000/C32)</f>
        <v>76</v>
      </c>
      <c r="G32" s="3239">
        <v>1.018324</v>
      </c>
    </row>
    <row r="33" spans="2:7" ht="18" customHeight="1" x14ac:dyDescent="0.25">
      <c r="B33" s="286" t="s">
        <v>759</v>
      </c>
      <c r="C33" s="3267">
        <v>0.68400000000000005</v>
      </c>
      <c r="D33" s="3263" t="s">
        <v>2147</v>
      </c>
      <c r="E33" s="3263" t="s">
        <v>2147</v>
      </c>
      <c r="F33" s="3131">
        <f t="shared" si="1"/>
        <v>45.989777777777775</v>
      </c>
      <c r="G33" s="3239">
        <v>3.1457008000000002E-2</v>
      </c>
    </row>
    <row r="34" spans="2:7" ht="18" customHeight="1" x14ac:dyDescent="0.25">
      <c r="B34" s="286" t="s">
        <v>760</v>
      </c>
      <c r="C34" s="3267">
        <v>61.372</v>
      </c>
      <c r="D34" s="3263" t="s">
        <v>2147</v>
      </c>
      <c r="E34" s="3263" t="s">
        <v>2147</v>
      </c>
      <c r="F34" s="3131">
        <f t="shared" si="1"/>
        <v>19.999905820243757</v>
      </c>
      <c r="G34" s="3239">
        <v>1.2274342199999999</v>
      </c>
    </row>
    <row r="35" spans="2:7" ht="18" customHeight="1" x14ac:dyDescent="0.25">
      <c r="B35" s="286" t="s">
        <v>761</v>
      </c>
      <c r="C35" s="3267">
        <v>660.6</v>
      </c>
      <c r="D35" s="3263" t="s">
        <v>2147</v>
      </c>
      <c r="E35" s="3263" t="s">
        <v>2147</v>
      </c>
      <c r="F35" s="3131">
        <f t="shared" si="1"/>
        <v>5.0000022101120187</v>
      </c>
      <c r="G35" s="3239">
        <v>3.3030014599999995</v>
      </c>
    </row>
    <row r="36" spans="2:7" ht="18" customHeight="1" x14ac:dyDescent="0.25">
      <c r="B36" s="286" t="s">
        <v>762</v>
      </c>
      <c r="C36" s="3267">
        <v>359.27</v>
      </c>
      <c r="D36" s="3263" t="s">
        <v>2147</v>
      </c>
      <c r="E36" s="3263" t="s">
        <v>2147</v>
      </c>
      <c r="F36" s="3131">
        <f t="shared" si="1"/>
        <v>17.999995841567625</v>
      </c>
      <c r="G36" s="3239">
        <v>6.4668585060000003</v>
      </c>
    </row>
    <row r="37" spans="2:7" ht="18" customHeight="1" x14ac:dyDescent="0.25">
      <c r="B37" s="286" t="s">
        <v>763</v>
      </c>
      <c r="C37" s="3267">
        <v>2.734</v>
      </c>
      <c r="D37" s="3263" t="s">
        <v>2147</v>
      </c>
      <c r="E37" s="3263" t="s">
        <v>2147</v>
      </c>
      <c r="F37" s="3131">
        <f t="shared" si="1"/>
        <v>10.000212143379663</v>
      </c>
      <c r="G37" s="3239">
        <v>2.734058E-2</v>
      </c>
    </row>
    <row r="38" spans="2:7" ht="18" customHeight="1" x14ac:dyDescent="0.25">
      <c r="B38" s="286" t="s">
        <v>764</v>
      </c>
      <c r="C38" s="3274">
        <v>42770.044000000002</v>
      </c>
      <c r="D38" s="3263" t="s">
        <v>2147</v>
      </c>
      <c r="E38" s="3263" t="s">
        <v>2147</v>
      </c>
      <c r="F38" s="3131" t="s">
        <v>2147</v>
      </c>
      <c r="G38" s="3264" t="s">
        <v>2154</v>
      </c>
    </row>
    <row r="39" spans="2:7" ht="18" customHeight="1" x14ac:dyDescent="0.25">
      <c r="B39" s="286" t="s">
        <v>765</v>
      </c>
      <c r="C39" s="2635">
        <f>SUM(C40:C44)</f>
        <v>4.3890000000000002</v>
      </c>
      <c r="D39" s="3258"/>
      <c r="E39" s="3258"/>
      <c r="F39" s="3131">
        <f t="shared" si="1"/>
        <v>5.2255639097744355</v>
      </c>
      <c r="G39" s="3128">
        <f>SUM(G40:G44)</f>
        <v>2.2934999999999997E-2</v>
      </c>
    </row>
    <row r="40" spans="2:7" ht="18" customHeight="1" x14ac:dyDescent="0.25">
      <c r="B40" s="290" t="s">
        <v>766</v>
      </c>
      <c r="C40" s="3267" t="s">
        <v>2146</v>
      </c>
      <c r="D40" s="2905" t="s">
        <v>2147</v>
      </c>
      <c r="E40" s="2905" t="s">
        <v>2147</v>
      </c>
      <c r="F40" s="3131" t="str">
        <f t="shared" si="1"/>
        <v>NA</v>
      </c>
      <c r="G40" s="3239" t="s">
        <v>2146</v>
      </c>
    </row>
    <row r="41" spans="2:7" ht="18" customHeight="1" x14ac:dyDescent="0.25">
      <c r="B41" s="290" t="s">
        <v>767</v>
      </c>
      <c r="C41" s="3267" t="s">
        <v>2146</v>
      </c>
      <c r="D41" s="2905" t="s">
        <v>2147</v>
      </c>
      <c r="E41" s="2905" t="s">
        <v>2147</v>
      </c>
      <c r="F41" s="3131" t="str">
        <f t="shared" ref="F41:F43" si="2">IF(SUM(C41)=0,"NA",G41*1000/C41)</f>
        <v>NA</v>
      </c>
      <c r="G41" s="3239" t="s">
        <v>2146</v>
      </c>
    </row>
    <row r="42" spans="2:7" ht="18" customHeight="1" x14ac:dyDescent="0.25">
      <c r="B42" s="290" t="s">
        <v>768</v>
      </c>
      <c r="C42" s="3275">
        <v>4.0590000000000002</v>
      </c>
      <c r="D42" s="2967" t="s">
        <v>2147</v>
      </c>
      <c r="E42" s="2967" t="s">
        <v>2147</v>
      </c>
      <c r="F42" s="3131">
        <f t="shared" si="2"/>
        <v>4.9999999999999991</v>
      </c>
      <c r="G42" s="3201">
        <v>2.0294999999999997E-2</v>
      </c>
    </row>
    <row r="43" spans="2:7" ht="18" customHeight="1" x14ac:dyDescent="0.25">
      <c r="B43" s="290" t="s">
        <v>769</v>
      </c>
      <c r="C43" s="3267" t="s">
        <v>2146</v>
      </c>
      <c r="D43" s="2905" t="s">
        <v>2147</v>
      </c>
      <c r="E43" s="2905" t="s">
        <v>2147</v>
      </c>
      <c r="F43" s="3131" t="str">
        <f t="shared" si="2"/>
        <v>NA</v>
      </c>
      <c r="G43" s="3239" t="s">
        <v>2146</v>
      </c>
    </row>
    <row r="44" spans="2:7" ht="18" customHeight="1" x14ac:dyDescent="0.25">
      <c r="B44" s="2494" t="s">
        <v>2093</v>
      </c>
      <c r="C44" s="2635">
        <f>C45</f>
        <v>0.33</v>
      </c>
      <c r="D44" s="3258"/>
      <c r="E44" s="3258"/>
      <c r="F44" s="3131">
        <f>IF(SUM(C44)=0,"NA",G44*1000/C44)</f>
        <v>8</v>
      </c>
      <c r="G44" s="3128">
        <f>G45</f>
        <v>2.64E-3</v>
      </c>
    </row>
    <row r="45" spans="2:7" ht="18" customHeight="1" thickBot="1" x14ac:dyDescent="0.3">
      <c r="B45" s="2636" t="s">
        <v>2199</v>
      </c>
      <c r="C45" s="3276">
        <v>0.33</v>
      </c>
      <c r="D45" s="3137" t="s">
        <v>2147</v>
      </c>
      <c r="E45" s="3137" t="s">
        <v>2147</v>
      </c>
      <c r="F45" s="3265">
        <f>IF(SUM(C45)=0,"NA",G45*1000/C45)</f>
        <v>8</v>
      </c>
      <c r="G45" s="3203">
        <v>2.64E-3</v>
      </c>
    </row>
    <row r="46" spans="2:7" ht="12" customHeight="1" x14ac:dyDescent="0.25">
      <c r="B46" s="247"/>
      <c r="C46" s="247"/>
      <c r="D46" s="247"/>
      <c r="E46" s="247"/>
      <c r="F46" s="247"/>
      <c r="G46" s="247"/>
    </row>
    <row r="47" spans="2:7" ht="12" customHeight="1" x14ac:dyDescent="0.25">
      <c r="B47" s="1050"/>
      <c r="C47" s="1050"/>
      <c r="D47" s="1050"/>
      <c r="E47" s="1050"/>
      <c r="F47" s="1050"/>
      <c r="G47" s="1050"/>
    </row>
    <row r="48" spans="2:7" ht="12" customHeight="1" x14ac:dyDescent="0.25">
      <c r="B48" s="1050"/>
      <c r="C48" s="1050"/>
      <c r="D48" s="1050"/>
      <c r="E48" s="1050"/>
      <c r="F48" s="1050"/>
      <c r="G48" s="1050"/>
    </row>
    <row r="49" spans="2:7" ht="12" customHeight="1" x14ac:dyDescent="0.25">
      <c r="B49" s="1050"/>
      <c r="C49" s="1050"/>
      <c r="D49" s="1050"/>
      <c r="E49" s="1050"/>
      <c r="F49" s="1050"/>
      <c r="G49" s="1050"/>
    </row>
    <row r="50" spans="2:7" ht="12" customHeight="1" x14ac:dyDescent="0.25">
      <c r="B50" s="994"/>
      <c r="C50" s="994"/>
      <c r="D50" s="994"/>
      <c r="E50" s="994"/>
      <c r="F50" s="994"/>
      <c r="G50" s="254"/>
    </row>
    <row r="51" spans="2:7" ht="12" customHeight="1" x14ac:dyDescent="0.25">
      <c r="B51" s="994"/>
      <c r="C51" s="994"/>
      <c r="D51" s="994"/>
      <c r="E51" s="994"/>
      <c r="F51" s="994"/>
      <c r="G51" s="254"/>
    </row>
    <row r="52" spans="2:7" ht="12" customHeight="1" x14ac:dyDescent="0.25">
      <c r="B52" s="994"/>
      <c r="C52" s="994"/>
      <c r="D52" s="994"/>
      <c r="E52" s="994"/>
      <c r="F52" s="994"/>
      <c r="G52" s="254"/>
    </row>
    <row r="53" spans="2:7" ht="12" customHeight="1" x14ac:dyDescent="0.25">
      <c r="B53" s="994"/>
      <c r="C53" s="994"/>
      <c r="D53" s="994"/>
      <c r="E53" s="994"/>
      <c r="F53" s="994"/>
      <c r="G53" s="254"/>
    </row>
    <row r="54" spans="2:7" ht="12" customHeight="1" x14ac:dyDescent="0.25">
      <c r="B54" s="994"/>
      <c r="C54" s="994"/>
      <c r="D54" s="994"/>
      <c r="E54" s="994"/>
      <c r="F54" s="994"/>
      <c r="G54" s="254"/>
    </row>
    <row r="55" spans="2:7" ht="12" customHeight="1" x14ac:dyDescent="0.25">
      <c r="B55" s="1065"/>
      <c r="C55" s="2023"/>
      <c r="D55" s="2023"/>
      <c r="E55" s="2023"/>
      <c r="F55" s="2023"/>
      <c r="G55" s="2023"/>
    </row>
    <row r="56" spans="2:7" ht="12" customHeight="1" x14ac:dyDescent="0.25">
      <c r="B56" s="994"/>
      <c r="C56" s="994"/>
      <c r="D56" s="994"/>
      <c r="E56" s="994"/>
      <c r="F56" s="994"/>
      <c r="G56" s="254"/>
    </row>
    <row r="57" spans="2:7" ht="12" customHeight="1" thickBot="1" x14ac:dyDescent="0.3">
      <c r="B57" s="72"/>
      <c r="C57" s="254"/>
      <c r="D57" s="254"/>
      <c r="E57" s="254"/>
      <c r="F57" s="254"/>
      <c r="G57" s="254"/>
    </row>
    <row r="58" spans="2:7" ht="12" customHeight="1" x14ac:dyDescent="0.25">
      <c r="B58" s="292" t="s">
        <v>390</v>
      </c>
      <c r="C58" s="293"/>
      <c r="D58" s="293"/>
      <c r="E58" s="293"/>
      <c r="F58" s="293"/>
      <c r="G58" s="294"/>
    </row>
    <row r="59" spans="2:7" ht="12" customHeight="1" x14ac:dyDescent="0.25">
      <c r="B59" s="1066"/>
      <c r="C59" s="1067"/>
      <c r="D59" s="1067"/>
      <c r="E59" s="1067"/>
      <c r="F59" s="1067"/>
      <c r="G59" s="1068"/>
    </row>
    <row r="60" spans="2:7" ht="12" customHeight="1" x14ac:dyDescent="0.25">
      <c r="B60" s="1066"/>
      <c r="C60" s="1067"/>
      <c r="D60" s="1067"/>
      <c r="E60" s="1067"/>
      <c r="F60" s="1067"/>
      <c r="G60" s="1068"/>
    </row>
    <row r="61" spans="2:7" ht="12" customHeight="1" x14ac:dyDescent="0.25">
      <c r="B61" s="1066"/>
      <c r="C61" s="1067"/>
      <c r="D61" s="1067"/>
      <c r="E61" s="1067"/>
      <c r="F61" s="1067"/>
      <c r="G61" s="1068"/>
    </row>
    <row r="62" spans="2:7" ht="12" customHeight="1" x14ac:dyDescent="0.25">
      <c r="B62" s="295"/>
      <c r="C62" s="296"/>
      <c r="D62" s="296"/>
      <c r="E62" s="296"/>
      <c r="F62" s="296"/>
      <c r="G62" s="297"/>
    </row>
    <row r="63" spans="2:7" ht="12" customHeight="1" x14ac:dyDescent="0.25">
      <c r="B63" s="1000"/>
      <c r="C63" s="1001"/>
      <c r="D63" s="1001"/>
      <c r="E63" s="1001"/>
      <c r="F63" s="1001"/>
      <c r="G63" s="1002"/>
    </row>
    <row r="64" spans="2:7" ht="12" customHeight="1" x14ac:dyDescent="0.25">
      <c r="B64" s="1000"/>
      <c r="C64" s="1001"/>
      <c r="D64" s="1001"/>
      <c r="E64" s="1001"/>
      <c r="F64" s="1001"/>
      <c r="G64" s="1002"/>
    </row>
    <row r="65" spans="2:7" ht="12" customHeight="1" x14ac:dyDescent="0.25">
      <c r="B65" s="1062"/>
      <c r="C65" s="1063"/>
      <c r="D65" s="1063"/>
      <c r="E65" s="1063"/>
      <c r="F65" s="1063"/>
      <c r="G65" s="1064"/>
    </row>
    <row r="66" spans="2:7" ht="12" customHeight="1" thickBot="1" x14ac:dyDescent="0.3">
      <c r="B66" s="4446" t="s">
        <v>2200</v>
      </c>
      <c r="C66" s="4447"/>
      <c r="D66" s="4447"/>
      <c r="E66" s="4447"/>
      <c r="F66" s="4447"/>
      <c r="G66" s="4448"/>
    </row>
    <row r="67" spans="2:7" ht="12" customHeight="1" x14ac:dyDescent="0.25">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3.2" x14ac:dyDescent="0.25"/>
  <cols>
    <col min="1" max="1" width="1.88671875" style="83" customWidth="1"/>
    <col min="2" max="2" width="35.5546875" style="83" bestFit="1" customWidth="1"/>
    <col min="3" max="3" width="11.5546875" style="83" bestFit="1" customWidth="1"/>
    <col min="4" max="4" width="8.109375" style="83" customWidth="1"/>
    <col min="5" max="5" width="9" style="83" customWidth="1"/>
    <col min="6" max="6" width="8.109375" style="83" customWidth="1"/>
    <col min="7" max="9" width="15.109375" style="83" customWidth="1"/>
    <col min="10" max="11" width="25.5546875" style="83" customWidth="1"/>
    <col min="12" max="12" width="3.44140625" style="83" customWidth="1"/>
    <col min="13" max="13" width="5.88671875" style="83" bestFit="1" customWidth="1"/>
    <col min="14" max="14" width="11.88671875" style="83" bestFit="1" customWidth="1"/>
    <col min="15" max="15" width="10.88671875" style="83" customWidth="1"/>
    <col min="16" max="16" width="10.109375" style="83" customWidth="1"/>
    <col min="17" max="28" width="5.88671875" style="83" customWidth="1"/>
    <col min="29" max="16384" width="8" style="83"/>
  </cols>
  <sheetData>
    <row r="1" spans="1:28" ht="15.75" customHeight="1" x14ac:dyDescent="0.25">
      <c r="B1" s="3" t="s">
        <v>770</v>
      </c>
      <c r="J1" s="2"/>
      <c r="K1" s="14" t="s">
        <v>2521</v>
      </c>
    </row>
    <row r="2" spans="1:28" ht="17.25" customHeight="1" x14ac:dyDescent="0.25">
      <c r="B2" s="3" t="s">
        <v>771</v>
      </c>
      <c r="J2" s="2"/>
      <c r="K2" s="14" t="s">
        <v>2522</v>
      </c>
    </row>
    <row r="3" spans="1:28" ht="15.75" customHeight="1" x14ac:dyDescent="0.25">
      <c r="B3" s="3" t="s">
        <v>62</v>
      </c>
      <c r="J3" s="2"/>
      <c r="K3" s="14" t="s">
        <v>2144</v>
      </c>
    </row>
    <row r="4" spans="1:28" ht="12" customHeight="1" x14ac:dyDescent="0.25">
      <c r="B4" s="3"/>
      <c r="J4" s="2"/>
      <c r="K4" s="2"/>
    </row>
    <row r="5" spans="1:28" s="84" customFormat="1" ht="12" customHeight="1" thickBot="1" x14ac:dyDescent="0.3">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5">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5">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3">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 thickBot="1" x14ac:dyDescent="0.3">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5">
      <c r="B10" s="1639" t="s">
        <v>799</v>
      </c>
      <c r="C10" s="4182">
        <f>C15</f>
        <v>24838.232</v>
      </c>
      <c r="D10" s="2942"/>
      <c r="E10" s="2942"/>
      <c r="F10" s="2942"/>
      <c r="G10" s="2942"/>
      <c r="H10" s="2942"/>
      <c r="I10" s="3279"/>
      <c r="J10" s="3280">
        <f>IF(SUM(C10)=0,"NA",K10*1000/C10)</f>
        <v>4.7846341389133862</v>
      </c>
      <c r="K10" s="3281">
        <f>K15</f>
        <v>118.84185277745091</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5">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3">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5">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5">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3">
      <c r="B15" s="1641" t="s">
        <v>805</v>
      </c>
      <c r="C15" s="4184">
        <f>SUM(C17:C20)</f>
        <v>24838.232</v>
      </c>
      <c r="D15" s="3293"/>
      <c r="E15" s="3293"/>
      <c r="F15" s="3293"/>
      <c r="G15" s="3293"/>
      <c r="H15" s="3293"/>
      <c r="I15" s="3288"/>
      <c r="J15" s="3287">
        <f>IF(SUM(C15)=0,"NA",K15*1000/C15)</f>
        <v>4.7846341389133862</v>
      </c>
      <c r="K15" s="3281">
        <f>SUM(K17:K20)</f>
        <v>118.84185277745091</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5">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5">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3">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5">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5">
      <c r="B20" s="1736" t="s">
        <v>810</v>
      </c>
      <c r="C20" s="4184">
        <f>SUM(C21:C23)</f>
        <v>24838.232</v>
      </c>
      <c r="D20" s="3293"/>
      <c r="E20" s="3293"/>
      <c r="F20" s="3293"/>
      <c r="G20" s="3293"/>
      <c r="H20" s="3293"/>
      <c r="I20" s="3288"/>
      <c r="J20" s="3301">
        <f>IF(SUM(C20)=0,"NA",K20*1000/C20)</f>
        <v>4.7846341389133862</v>
      </c>
      <c r="K20" s="3281">
        <f>SUM(K21:K23)</f>
        <v>118.84185277745091</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3">
      <c r="B21" s="2642" t="s">
        <v>2196</v>
      </c>
      <c r="C21" s="3325">
        <f>Table3.A!C21</f>
        <v>2561.9349999999999</v>
      </c>
      <c r="D21" s="3325">
        <v>5.4055255675766798</v>
      </c>
      <c r="E21" s="3325">
        <v>94.53260714445004</v>
      </c>
      <c r="F21" s="3325">
        <v>6.1867287973279998E-2</v>
      </c>
      <c r="G21" s="3298">
        <f>Table3.A!K10</f>
        <v>438.18535468393998</v>
      </c>
      <c r="H21" s="3299">
        <v>2.9467296468758502</v>
      </c>
      <c r="I21" s="3300">
        <v>0.24</v>
      </c>
      <c r="J21" s="3301">
        <f>IF(SUM(C21)=0,"NA",K21*1000/C21)</f>
        <v>7.0821017090992653</v>
      </c>
      <c r="K21" s="3277">
        <v>18.143884242101226</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5">
      <c r="B22" s="2642" t="s">
        <v>2197</v>
      </c>
      <c r="C22" s="3325">
        <f>Table3.A!C22</f>
        <v>21947.53</v>
      </c>
      <c r="D22" s="3325" t="s">
        <v>2146</v>
      </c>
      <c r="E22" s="3325">
        <v>85.639128339039104</v>
      </c>
      <c r="F22" s="3325">
        <v>14.3608716609609</v>
      </c>
      <c r="G22" s="3298">
        <f>Table3.A!L10</f>
        <v>360.74923628679397</v>
      </c>
      <c r="H22" s="3299" t="s">
        <v>2147</v>
      </c>
      <c r="I22" s="3300" t="s">
        <v>2147</v>
      </c>
      <c r="J22" s="3301">
        <f t="shared" ref="J22:J45" si="0">IF(SUM(C22)=0,"NA",K22*1000/C22)</f>
        <v>4.5380777352076072</v>
      </c>
      <c r="K22" s="3277">
        <v>99.599597235801014</v>
      </c>
      <c r="M22" s="1594" t="s">
        <v>800</v>
      </c>
      <c r="N22" s="4455" t="s">
        <v>2196</v>
      </c>
      <c r="O22" s="1690" t="s">
        <v>802</v>
      </c>
      <c r="P22" s="1691" t="s">
        <v>791</v>
      </c>
      <c r="Q22" s="3774">
        <v>2.9295063081833801</v>
      </c>
      <c r="R22" s="300" t="s">
        <v>2146</v>
      </c>
      <c r="S22" s="3772">
        <v>6.3981460707363604</v>
      </c>
      <c r="T22" s="3772">
        <v>0.86812167536872586</v>
      </c>
      <c r="U22" s="3772" t="s">
        <v>2146</v>
      </c>
      <c r="V22" s="3772" t="s">
        <v>2153</v>
      </c>
      <c r="W22" s="3772" t="s">
        <v>2146</v>
      </c>
      <c r="X22" s="3772">
        <v>89.804225945711494</v>
      </c>
      <c r="Y22" s="301" t="s">
        <v>2146</v>
      </c>
      <c r="Z22" s="301" t="s">
        <v>2146</v>
      </c>
      <c r="AA22" s="301" t="s">
        <v>2146</v>
      </c>
      <c r="AB22" s="1306" t="s">
        <v>2146</v>
      </c>
    </row>
    <row r="23" spans="2:28" s="84" customFormat="1" ht="18" customHeight="1" x14ac:dyDescent="0.25">
      <c r="B23" s="2642" t="s">
        <v>2198</v>
      </c>
      <c r="C23" s="3325">
        <f>Table3.A!C23</f>
        <v>328.767</v>
      </c>
      <c r="D23" s="3325" t="s">
        <v>2146</v>
      </c>
      <c r="E23" s="3325">
        <v>100</v>
      </c>
      <c r="F23" s="3325" t="s">
        <v>2146</v>
      </c>
      <c r="G23" s="3298">
        <f>Table3.A!M10</f>
        <v>541.1875</v>
      </c>
      <c r="H23" s="3299">
        <v>1.81777706005807</v>
      </c>
      <c r="I23" s="3300">
        <v>0.19</v>
      </c>
      <c r="J23" s="3301">
        <f t="shared" si="0"/>
        <v>3.3408806222907814</v>
      </c>
      <c r="K23" s="3277">
        <v>1.0983712995486732</v>
      </c>
      <c r="M23" s="1664" t="s">
        <v>813</v>
      </c>
      <c r="N23" s="4456"/>
      <c r="O23" s="1692" t="s">
        <v>794</v>
      </c>
      <c r="P23" s="1693" t="s">
        <v>792</v>
      </c>
      <c r="Q23" s="3776">
        <v>3.20529353528417</v>
      </c>
      <c r="R23" s="277" t="s">
        <v>2146</v>
      </c>
      <c r="S23" s="691">
        <v>6.0206440756886304</v>
      </c>
      <c r="T23" s="3147">
        <v>1.1127743003689077</v>
      </c>
      <c r="U23" s="3147" t="s">
        <v>2146</v>
      </c>
      <c r="V23" s="3147" t="s">
        <v>2153</v>
      </c>
      <c r="W23" s="3147" t="s">
        <v>2146</v>
      </c>
      <c r="X23" s="3147">
        <v>89.661288088658296</v>
      </c>
      <c r="Y23" s="278" t="s">
        <v>2146</v>
      </c>
      <c r="Z23" s="278" t="s">
        <v>2146</v>
      </c>
      <c r="AA23" s="278" t="s">
        <v>2146</v>
      </c>
      <c r="AB23" s="279" t="s">
        <v>2146</v>
      </c>
    </row>
    <row r="24" spans="2:28" s="84" customFormat="1" ht="18" customHeight="1" thickBot="1" x14ac:dyDescent="0.3">
      <c r="B24" s="1643" t="s">
        <v>811</v>
      </c>
      <c r="C24" s="4184">
        <f>C25</f>
        <v>173738.038</v>
      </c>
      <c r="D24" s="3303"/>
      <c r="E24" s="3303"/>
      <c r="F24" s="3303"/>
      <c r="G24" s="3303"/>
      <c r="H24" s="3303"/>
      <c r="I24" s="3304"/>
      <c r="J24" s="3301">
        <f t="shared" si="0"/>
        <v>0.35760064954658283</v>
      </c>
      <c r="K24" s="3281">
        <f>K25</f>
        <v>62.128835239748895</v>
      </c>
      <c r="M24" s="1656"/>
      <c r="N24" s="4456"/>
      <c r="O24" s="1694"/>
      <c r="P24" s="1693" t="s">
        <v>793</v>
      </c>
      <c r="Q24" s="4208">
        <v>1.9583797579737301</v>
      </c>
      <c r="R24" s="304" t="s">
        <v>2146</v>
      </c>
      <c r="S24" s="1559">
        <v>8.9400035951500598</v>
      </c>
      <c r="T24" s="1560">
        <v>1.7331660858067481</v>
      </c>
      <c r="U24" s="1560" t="s">
        <v>2146</v>
      </c>
      <c r="V24" s="1560" t="s">
        <v>2153</v>
      </c>
      <c r="W24" s="1560" t="s">
        <v>2146</v>
      </c>
      <c r="X24" s="1560">
        <v>87.368450561069494</v>
      </c>
      <c r="Y24" s="305" t="s">
        <v>2146</v>
      </c>
      <c r="Z24" s="305" t="s">
        <v>2146</v>
      </c>
      <c r="AA24" s="305" t="s">
        <v>2146</v>
      </c>
      <c r="AB24" s="442" t="s">
        <v>2146</v>
      </c>
    </row>
    <row r="25" spans="2:28" s="84" customFormat="1" ht="18" customHeight="1" x14ac:dyDescent="0.25">
      <c r="B25" s="1644" t="s">
        <v>812</v>
      </c>
      <c r="C25" s="4184">
        <f>C26</f>
        <v>173738.038</v>
      </c>
      <c r="D25" s="3250"/>
      <c r="E25" s="3250"/>
      <c r="F25" s="3250"/>
      <c r="G25" s="3250"/>
      <c r="H25" s="3250"/>
      <c r="I25" s="3260"/>
      <c r="J25" s="3301">
        <f t="shared" si="0"/>
        <v>0.35760064954658283</v>
      </c>
      <c r="K25" s="3281">
        <f>K26</f>
        <v>62.128835239748895</v>
      </c>
      <c r="M25" s="1656"/>
      <c r="N25" s="4456"/>
      <c r="O25" s="1695" t="s">
        <v>2026</v>
      </c>
      <c r="P25" s="1691" t="s">
        <v>791</v>
      </c>
      <c r="Q25" s="4209">
        <v>0.70004198455262001</v>
      </c>
      <c r="R25" s="1308" t="s">
        <v>2146</v>
      </c>
      <c r="S25" s="692">
        <v>5.530330885398E-2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5">
      <c r="B26" s="2643" t="s">
        <v>2201</v>
      </c>
      <c r="C26" s="3307">
        <f>Table3.A!C26</f>
        <v>173738.038</v>
      </c>
      <c r="D26" s="3325" t="s">
        <v>2146</v>
      </c>
      <c r="E26" s="3325">
        <v>100</v>
      </c>
      <c r="F26" s="3325" t="s">
        <v>2146</v>
      </c>
      <c r="G26" s="3305">
        <f>Table3.A!N10</f>
        <v>46.030616188684803</v>
      </c>
      <c r="H26" s="3033" t="s">
        <v>2147</v>
      </c>
      <c r="I26" s="3126" t="s">
        <v>2147</v>
      </c>
      <c r="J26" s="3301">
        <f t="shared" si="0"/>
        <v>0.35760064954658283</v>
      </c>
      <c r="K26" s="3277">
        <v>62.128835239748895</v>
      </c>
      <c r="M26" s="1656"/>
      <c r="N26" s="4456"/>
      <c r="O26" s="1696"/>
      <c r="P26" s="1693" t="s">
        <v>792</v>
      </c>
      <c r="Q26" s="3776">
        <v>0.74584558172283</v>
      </c>
      <c r="R26" s="277" t="s">
        <v>2146</v>
      </c>
      <c r="S26" s="691">
        <v>0.12317511238239</v>
      </c>
      <c r="T26" s="3147">
        <v>2</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3">
      <c r="B27" s="1643" t="s">
        <v>814</v>
      </c>
      <c r="C27" s="4184">
        <f>C28</f>
        <v>2689.9360000000001</v>
      </c>
      <c r="D27" s="3250"/>
      <c r="E27" s="3250"/>
      <c r="F27" s="3250"/>
      <c r="G27" s="3250"/>
      <c r="H27" s="3250"/>
      <c r="I27" s="3260"/>
      <c r="J27" s="3301">
        <f t="shared" si="0"/>
        <v>22.989755240335686</v>
      </c>
      <c r="K27" s="3281">
        <f>K28</f>
        <v>61.840970252167615</v>
      </c>
      <c r="M27" s="1656"/>
      <c r="N27" s="4457"/>
      <c r="O27" s="1697"/>
      <c r="P27" s="1693" t="s">
        <v>793</v>
      </c>
      <c r="Q27" s="4208">
        <v>0.8</v>
      </c>
      <c r="R27" s="304" t="s">
        <v>2146</v>
      </c>
      <c r="S27" s="1559">
        <v>0.49409638554217</v>
      </c>
      <c r="T27" s="1560">
        <v>2</v>
      </c>
      <c r="U27" s="1560" t="s">
        <v>2146</v>
      </c>
      <c r="V27" s="1560" t="s">
        <v>2153</v>
      </c>
      <c r="W27" s="1560" t="s">
        <v>2146</v>
      </c>
      <c r="X27" s="1560">
        <v>0.02</v>
      </c>
      <c r="Y27" s="305" t="s">
        <v>2146</v>
      </c>
      <c r="Z27" s="305" t="s">
        <v>2146</v>
      </c>
      <c r="AA27" s="305" t="s">
        <v>2146</v>
      </c>
      <c r="AB27" s="442" t="s">
        <v>2146</v>
      </c>
    </row>
    <row r="28" spans="2:28" s="84" customFormat="1" ht="18" customHeight="1" x14ac:dyDescent="0.25">
      <c r="B28" s="1644" t="s">
        <v>815</v>
      </c>
      <c r="C28" s="4184">
        <f>C29</f>
        <v>2689.9360000000001</v>
      </c>
      <c r="D28" s="3250"/>
      <c r="E28" s="3250"/>
      <c r="F28" s="3250"/>
      <c r="G28" s="3250"/>
      <c r="H28" s="3250"/>
      <c r="I28" s="3260"/>
      <c r="J28" s="3301">
        <f t="shared" si="0"/>
        <v>22.989755240335686</v>
      </c>
      <c r="K28" s="3281">
        <f>K29</f>
        <v>61.840970252167615</v>
      </c>
      <c r="M28" s="1595"/>
      <c r="N28" s="4455"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5">
      <c r="B29" s="2643" t="s">
        <v>817</v>
      </c>
      <c r="C29" s="3307">
        <f>Table3.A!C29</f>
        <v>2689.9360000000001</v>
      </c>
      <c r="D29" s="3325">
        <v>1.61495252067716</v>
      </c>
      <c r="E29" s="3325">
        <v>98.385047479322836</v>
      </c>
      <c r="F29" s="3325" t="s">
        <v>2146</v>
      </c>
      <c r="G29" s="3305">
        <f>Table3.A!O10</f>
        <v>53.511156610844701</v>
      </c>
      <c r="H29" s="3033">
        <v>0.30146158820125002</v>
      </c>
      <c r="I29" s="3126">
        <v>0.45</v>
      </c>
      <c r="J29" s="3301">
        <f t="shared" si="0"/>
        <v>22.989755240335686</v>
      </c>
      <c r="K29" s="3277">
        <v>61.840970252167615</v>
      </c>
      <c r="M29" s="1664"/>
      <c r="N29" s="4456"/>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3">
      <c r="B30" s="1643" t="s">
        <v>816</v>
      </c>
      <c r="C30" s="4184">
        <f>SUM(C32:C39)</f>
        <v>43872.492000000006</v>
      </c>
      <c r="D30" s="3250"/>
      <c r="E30" s="3250"/>
      <c r="F30" s="3250"/>
      <c r="G30" s="3250"/>
      <c r="H30" s="3250"/>
      <c r="I30" s="3260"/>
      <c r="J30" s="3301">
        <f t="shared" si="0"/>
        <v>7.3495951063632214E-2</v>
      </c>
      <c r="K30" s="3281">
        <f>SUM(K32:K39)</f>
        <v>3.2244505250715965</v>
      </c>
      <c r="M30" s="1656"/>
      <c r="N30" s="4456"/>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5">
      <c r="B31" s="1642" t="s">
        <v>200</v>
      </c>
      <c r="C31" s="3261"/>
      <c r="D31" s="3261"/>
      <c r="E31" s="3261"/>
      <c r="F31" s="3261"/>
      <c r="G31" s="3261"/>
      <c r="H31" s="3261"/>
      <c r="I31" s="3261"/>
      <c r="J31" s="3306"/>
      <c r="K31" s="3262"/>
      <c r="M31" s="1656"/>
      <c r="N31" s="4456"/>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5">
      <c r="B32" s="1644" t="s">
        <v>818</v>
      </c>
      <c r="C32" s="3307">
        <f>Table3.A!C32</f>
        <v>13.398999999999999</v>
      </c>
      <c r="D32" s="3325" t="s">
        <v>2146</v>
      </c>
      <c r="E32" s="3325" t="s">
        <v>2146</v>
      </c>
      <c r="F32" s="3325">
        <v>100</v>
      </c>
      <c r="G32" s="3307" t="s">
        <v>2147</v>
      </c>
      <c r="H32" s="3307" t="s">
        <v>2147</v>
      </c>
      <c r="I32" s="3307" t="s">
        <v>2147</v>
      </c>
      <c r="J32" s="3301">
        <f t="shared" si="0"/>
        <v>11.569996682399513</v>
      </c>
      <c r="K32" s="3277">
        <v>0.15502638554747106</v>
      </c>
      <c r="M32" s="1656"/>
      <c r="N32" s="4456"/>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3">
      <c r="B33" s="1644" t="s">
        <v>819</v>
      </c>
      <c r="C33" s="3307">
        <f>Table3.A!C33</f>
        <v>0.68400000000000005</v>
      </c>
      <c r="D33" s="3325" t="s">
        <v>2146</v>
      </c>
      <c r="E33" s="3325">
        <v>41.361238169885702</v>
      </c>
      <c r="F33" s="3325">
        <v>58.638761830114298</v>
      </c>
      <c r="G33" s="3307" t="s">
        <v>2147</v>
      </c>
      <c r="H33" s="3307" t="s">
        <v>2147</v>
      </c>
      <c r="I33" s="3307" t="s">
        <v>2147</v>
      </c>
      <c r="J33" s="3287">
        <f t="shared" si="0"/>
        <v>8.0234030231591298</v>
      </c>
      <c r="K33" s="3277">
        <v>5.4880076678408456E-3</v>
      </c>
      <c r="M33" s="1656"/>
      <c r="N33" s="4457"/>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5">
      <c r="B34" s="1644" t="s">
        <v>820</v>
      </c>
      <c r="C34" s="3307">
        <f>Table3.A!C34</f>
        <v>61.372</v>
      </c>
      <c r="D34" s="3325" t="s">
        <v>2146</v>
      </c>
      <c r="E34" s="3325">
        <v>100</v>
      </c>
      <c r="F34" s="3325" t="e">
        <v>#VALUE!</v>
      </c>
      <c r="G34" s="3307" t="s">
        <v>2147</v>
      </c>
      <c r="H34" s="3307" t="s">
        <v>2147</v>
      </c>
      <c r="I34" s="3307" t="s">
        <v>2147</v>
      </c>
      <c r="J34" s="3287">
        <f t="shared" si="0"/>
        <v>0.99987154809855627</v>
      </c>
      <c r="K34" s="3277">
        <v>6.1364116649904592E-2</v>
      </c>
      <c r="M34" s="1595"/>
      <c r="N34" s="4455"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5">
      <c r="B35" s="1644" t="s">
        <v>821</v>
      </c>
      <c r="C35" s="3307">
        <f>Table3.A!C35</f>
        <v>660.6</v>
      </c>
      <c r="D35" s="3325" t="s">
        <v>2146</v>
      </c>
      <c r="E35" s="3325">
        <v>99.840619204570373</v>
      </c>
      <c r="F35" s="3325">
        <v>0.15938079542962</v>
      </c>
      <c r="G35" s="3307" t="s">
        <v>2147</v>
      </c>
      <c r="H35" s="3307" t="s">
        <v>2147</v>
      </c>
      <c r="I35" s="3307" t="s">
        <v>2147</v>
      </c>
      <c r="J35" s="3287">
        <f t="shared" si="0"/>
        <v>0.35894986092822434</v>
      </c>
      <c r="K35" s="3277">
        <v>0.23712227812918499</v>
      </c>
      <c r="M35" s="1664"/>
      <c r="N35" s="4456"/>
      <c r="O35" s="1692" t="s">
        <v>794</v>
      </c>
      <c r="P35" s="1693" t="s">
        <v>792</v>
      </c>
      <c r="Q35" s="3776">
        <v>1.8</v>
      </c>
      <c r="R35" s="277" t="s">
        <v>2146</v>
      </c>
      <c r="S35" s="277" t="s">
        <v>2146</v>
      </c>
      <c r="T35" s="3147" t="s">
        <v>2153</v>
      </c>
      <c r="U35" s="3147" t="s">
        <v>2146</v>
      </c>
      <c r="V35" s="3147">
        <v>100</v>
      </c>
      <c r="W35" s="3147" t="s">
        <v>2146</v>
      </c>
      <c r="X35" s="278" t="s">
        <v>2146</v>
      </c>
      <c r="Y35" s="3147" t="s">
        <v>2146</v>
      </c>
      <c r="Z35" s="278" t="s">
        <v>2146</v>
      </c>
      <c r="AA35" s="278" t="s">
        <v>2146</v>
      </c>
      <c r="AB35" s="279" t="s">
        <v>2146</v>
      </c>
    </row>
    <row r="36" spans="2:28" s="84" customFormat="1" ht="18" customHeight="1" thickBot="1" x14ac:dyDescent="0.3">
      <c r="B36" s="1644" t="s">
        <v>822</v>
      </c>
      <c r="C36" s="3307">
        <f>Table3.A!C36</f>
        <v>359.27</v>
      </c>
      <c r="D36" s="3325" t="s">
        <v>2146</v>
      </c>
      <c r="E36" s="3325">
        <v>96.532903699810745</v>
      </c>
      <c r="F36" s="3325">
        <v>3.4670963001892501</v>
      </c>
      <c r="G36" s="3307" t="s">
        <v>2147</v>
      </c>
      <c r="H36" s="3307" t="s">
        <v>2147</v>
      </c>
      <c r="I36" s="3307" t="s">
        <v>2147</v>
      </c>
      <c r="J36" s="3287">
        <f t="shared" si="0"/>
        <v>3.2967709166979007</v>
      </c>
      <c r="K36" s="3277">
        <v>1.1844308872420548</v>
      </c>
      <c r="M36" s="1656"/>
      <c r="N36" s="4456"/>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5">
      <c r="B37" s="1644" t="s">
        <v>823</v>
      </c>
      <c r="C37" s="3307">
        <f>Table3.A!C37</f>
        <v>2.734</v>
      </c>
      <c r="D37" s="3325" t="s">
        <v>2146</v>
      </c>
      <c r="E37" s="3325">
        <v>89.018338308843497</v>
      </c>
      <c r="F37" s="3325">
        <v>10.9816616911565</v>
      </c>
      <c r="G37" s="3307" t="s">
        <v>2147</v>
      </c>
      <c r="H37" s="3307" t="s">
        <v>2147</v>
      </c>
      <c r="I37" s="3307" t="s">
        <v>2147</v>
      </c>
      <c r="J37" s="3287">
        <f t="shared" si="0"/>
        <v>1.3136270602678468</v>
      </c>
      <c r="K37" s="3277">
        <v>3.5914563827722928E-3</v>
      </c>
      <c r="M37" s="1656"/>
      <c r="N37" s="4456"/>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5">
      <c r="B38" s="1644" t="s">
        <v>824</v>
      </c>
      <c r="C38" s="3307">
        <f>Table3.A!C38</f>
        <v>42770.044000000002</v>
      </c>
      <c r="D38" s="3325">
        <v>1.3170881655233799</v>
      </c>
      <c r="E38" s="3325">
        <v>98.682911834476613</v>
      </c>
      <c r="F38" s="3325" t="s">
        <v>2146</v>
      </c>
      <c r="G38" s="3307" t="s">
        <v>2147</v>
      </c>
      <c r="H38" s="3307" t="s">
        <v>2147</v>
      </c>
      <c r="I38" s="3307" t="s">
        <v>2147</v>
      </c>
      <c r="J38" s="3287">
        <f t="shared" si="0"/>
        <v>3.6844925966952193E-2</v>
      </c>
      <c r="K38" s="3277">
        <v>1.5758591047832879</v>
      </c>
      <c r="M38" s="1656"/>
      <c r="N38" s="4456"/>
      <c r="O38" s="1696"/>
      <c r="P38" s="1693" t="s">
        <v>792</v>
      </c>
      <c r="Q38" s="3776">
        <v>0.75683420348911001</v>
      </c>
      <c r="R38" s="277" t="s">
        <v>2146</v>
      </c>
      <c r="S38" s="277" t="s">
        <v>2146</v>
      </c>
      <c r="T38" s="3147" t="s">
        <v>2153</v>
      </c>
      <c r="U38" s="3147" t="s">
        <v>2146</v>
      </c>
      <c r="V38" s="3147">
        <v>1.7040935590424175E-2</v>
      </c>
      <c r="W38" s="3147" t="s">
        <v>2146</v>
      </c>
      <c r="X38" s="278" t="s">
        <v>2146</v>
      </c>
      <c r="Y38" s="3147" t="s">
        <v>2146</v>
      </c>
      <c r="Z38" s="278" t="s">
        <v>2146</v>
      </c>
      <c r="AA38" s="278" t="s">
        <v>2146</v>
      </c>
      <c r="AB38" s="279" t="s">
        <v>2146</v>
      </c>
    </row>
    <row r="39" spans="2:28" s="84" customFormat="1" ht="18" customHeight="1" thickBot="1" x14ac:dyDescent="0.3">
      <c r="B39" s="1644" t="s">
        <v>825</v>
      </c>
      <c r="C39" s="4184">
        <f>SUM(C40:C44)</f>
        <v>4.3890000000000002</v>
      </c>
      <c r="D39" s="3294"/>
      <c r="E39" s="3294"/>
      <c r="F39" s="3294"/>
      <c r="G39" s="3294"/>
      <c r="H39" s="3294"/>
      <c r="I39" s="3295"/>
      <c r="J39" s="3287">
        <f t="shared" si="0"/>
        <v>0.35732254934613605</v>
      </c>
      <c r="K39" s="3281">
        <f>SUM(K40:K44)</f>
        <v>1.5682886690801911E-3</v>
      </c>
      <c r="M39" s="1660"/>
      <c r="N39" s="4457"/>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5">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58" t="s">
        <v>817</v>
      </c>
      <c r="N40" s="4459"/>
      <c r="O40" s="1690" t="s">
        <v>802</v>
      </c>
      <c r="P40" s="1691" t="s">
        <v>791</v>
      </c>
      <c r="Q40" s="3774">
        <v>87.8</v>
      </c>
      <c r="R40" s="300" t="s">
        <v>2146</v>
      </c>
      <c r="S40" s="300" t="s">
        <v>2146</v>
      </c>
      <c r="T40" s="3773" t="s">
        <v>2153</v>
      </c>
      <c r="U40" s="3773" t="s">
        <v>2153</v>
      </c>
      <c r="V40" s="3773">
        <v>8.5500000000000007</v>
      </c>
      <c r="W40" s="3773" t="s">
        <v>2153</v>
      </c>
      <c r="X40" s="301" t="s">
        <v>2146</v>
      </c>
      <c r="Y40" s="301" t="s">
        <v>2146</v>
      </c>
      <c r="Z40" s="3773" t="s">
        <v>2146</v>
      </c>
      <c r="AA40" s="301" t="s">
        <v>2146</v>
      </c>
      <c r="AB40" s="3775">
        <v>4.7</v>
      </c>
    </row>
    <row r="41" spans="2:28" s="84" customFormat="1" ht="18" customHeight="1" x14ac:dyDescent="0.25">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60"/>
      <c r="N41" s="4461"/>
      <c r="O41" s="1692" t="s">
        <v>794</v>
      </c>
      <c r="P41" s="1693" t="s">
        <v>792</v>
      </c>
      <c r="Q41" s="3776">
        <v>88.963322925818701</v>
      </c>
      <c r="R41" s="277" t="s">
        <v>2146</v>
      </c>
      <c r="S41" s="277" t="s">
        <v>2146</v>
      </c>
      <c r="T41" s="3147" t="s">
        <v>2153</v>
      </c>
      <c r="U41" s="3147" t="s">
        <v>2153</v>
      </c>
      <c r="V41" s="3147">
        <v>7.3518042874062814</v>
      </c>
      <c r="W41" s="3147" t="s">
        <v>2153</v>
      </c>
      <c r="X41" s="278" t="s">
        <v>2146</v>
      </c>
      <c r="Y41" s="278" t="s">
        <v>2146</v>
      </c>
      <c r="Z41" s="3147">
        <v>0.37165901906232002</v>
      </c>
      <c r="AA41" s="278" t="s">
        <v>2146</v>
      </c>
      <c r="AB41" s="2911">
        <v>2.7294887345624201</v>
      </c>
    </row>
    <row r="42" spans="2:28" s="84" customFormat="1" ht="18" customHeight="1" thickBot="1" x14ac:dyDescent="0.3">
      <c r="B42" s="350" t="s">
        <v>828</v>
      </c>
      <c r="C42" s="3307">
        <f>Table3.A!C42</f>
        <v>4.0590000000000002</v>
      </c>
      <c r="D42" s="3325" t="s">
        <v>2146</v>
      </c>
      <c r="E42" s="3325">
        <v>100</v>
      </c>
      <c r="F42" s="3325" t="s">
        <v>2146</v>
      </c>
      <c r="G42" s="3307" t="s">
        <v>2147</v>
      </c>
      <c r="H42" s="3307" t="s">
        <v>2147</v>
      </c>
      <c r="I42" s="3307" t="s">
        <v>2147</v>
      </c>
      <c r="J42" s="3287">
        <f t="shared" si="0"/>
        <v>0.35732254934613605</v>
      </c>
      <c r="K42" s="3277">
        <v>1.4503722277959662E-3</v>
      </c>
      <c r="M42" s="4460"/>
      <c r="N42" s="4461"/>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5">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60"/>
      <c r="N43" s="4461"/>
      <c r="O43" s="1695" t="s">
        <v>2026</v>
      </c>
      <c r="P43" s="1691" t="s">
        <v>791</v>
      </c>
      <c r="Q43" s="3774">
        <v>0.7</v>
      </c>
      <c r="R43" s="300" t="s">
        <v>2146</v>
      </c>
      <c r="S43" s="300" t="s">
        <v>2146</v>
      </c>
      <c r="T43" s="3773" t="s">
        <v>2153</v>
      </c>
      <c r="U43" s="3773" t="s">
        <v>2153</v>
      </c>
      <c r="V43" s="3773">
        <v>1.5321637426900585</v>
      </c>
      <c r="W43" s="3773" t="s">
        <v>2153</v>
      </c>
      <c r="X43" s="301" t="s">
        <v>2146</v>
      </c>
      <c r="Y43" s="301" t="s">
        <v>2146</v>
      </c>
      <c r="Z43" s="3773" t="s">
        <v>2146</v>
      </c>
      <c r="AA43" s="301" t="s">
        <v>2146</v>
      </c>
      <c r="AB43" s="3775">
        <v>3.2127659574470002E-2</v>
      </c>
    </row>
    <row r="44" spans="2:28" s="84" customFormat="1" ht="18" customHeight="1" x14ac:dyDescent="0.25">
      <c r="B44" s="2644" t="s">
        <v>2091</v>
      </c>
      <c r="C44" s="4184">
        <f>C45</f>
        <v>0.33</v>
      </c>
      <c r="D44" s="3294"/>
      <c r="E44" s="3294"/>
      <c r="F44" s="3294"/>
      <c r="G44" s="3294"/>
      <c r="H44" s="3294"/>
      <c r="I44" s="3295"/>
      <c r="J44" s="3287">
        <f t="shared" si="0"/>
        <v>0.35732254934613616</v>
      </c>
      <c r="K44" s="3281">
        <f>K45</f>
        <v>1.1791644128422493E-4</v>
      </c>
      <c r="M44" s="4460"/>
      <c r="N44" s="4461"/>
      <c r="O44" s="1696"/>
      <c r="P44" s="1693" t="s">
        <v>792</v>
      </c>
      <c r="Q44" s="3776">
        <v>0.75511085377616005</v>
      </c>
      <c r="R44" s="277" t="s">
        <v>2146</v>
      </c>
      <c r="S44" s="277" t="s">
        <v>2146</v>
      </c>
      <c r="T44" s="3147" t="s">
        <v>2153</v>
      </c>
      <c r="U44" s="3147" t="s">
        <v>2153</v>
      </c>
      <c r="V44" s="3147">
        <v>1.6525118174024271</v>
      </c>
      <c r="W44" s="3147" t="s">
        <v>2153</v>
      </c>
      <c r="X44" s="278" t="s">
        <v>2146</v>
      </c>
      <c r="Y44" s="278" t="s">
        <v>2146</v>
      </c>
      <c r="Z44" s="3147">
        <v>0.1</v>
      </c>
      <c r="AA44" s="278" t="s">
        <v>2146</v>
      </c>
      <c r="AB44" s="2911">
        <v>3.3946149825980002E-2</v>
      </c>
    </row>
    <row r="45" spans="2:28" s="84" customFormat="1" ht="18" customHeight="1" thickBot="1" x14ac:dyDescent="0.3">
      <c r="B45" s="2648" t="s">
        <v>2199</v>
      </c>
      <c r="C45" s="4186">
        <f>Table3.A!C45</f>
        <v>0.33</v>
      </c>
      <c r="D45" s="3040" t="s">
        <v>2146</v>
      </c>
      <c r="E45" s="3040">
        <v>100</v>
      </c>
      <c r="F45" s="3040" t="s">
        <v>2146</v>
      </c>
      <c r="G45" s="3040" t="s">
        <v>2147</v>
      </c>
      <c r="H45" s="3040" t="s">
        <v>2147</v>
      </c>
      <c r="I45" s="3308" t="s">
        <v>2147</v>
      </c>
      <c r="J45" s="3309">
        <f t="shared" si="0"/>
        <v>0.35732254934613616</v>
      </c>
      <c r="K45" s="3278">
        <v>1.1791644128422493E-4</v>
      </c>
      <c r="M45" s="4462"/>
      <c r="N45" s="4463"/>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5">
      <c r="B46" s="514" t="s">
        <v>389</v>
      </c>
      <c r="C46" s="514" t="s">
        <v>389</v>
      </c>
      <c r="D46" s="514"/>
      <c r="E46" s="514"/>
      <c r="F46" s="514"/>
      <c r="G46" s="514"/>
      <c r="H46" s="514"/>
      <c r="I46" s="514"/>
      <c r="J46" s="514"/>
      <c r="K46" s="514"/>
      <c r="M46" s="4458" t="s">
        <v>2206</v>
      </c>
      <c r="N46" s="4459"/>
      <c r="O46" s="1690" t="s">
        <v>802</v>
      </c>
      <c r="P46" s="1691" t="s">
        <v>791</v>
      </c>
      <c r="Q46" s="299" t="s">
        <v>2146</v>
      </c>
      <c r="R46" s="300" t="s">
        <v>2146</v>
      </c>
      <c r="S46" s="300" t="s">
        <v>2146</v>
      </c>
      <c r="T46" s="3773">
        <v>56.441566820824349</v>
      </c>
      <c r="U46" s="3773" t="s">
        <v>2146</v>
      </c>
      <c r="V46" s="3773" t="s">
        <v>2146</v>
      </c>
      <c r="W46" s="3773" t="s">
        <v>2153</v>
      </c>
      <c r="X46" s="3773">
        <v>0.1653442752217</v>
      </c>
      <c r="Y46" s="3773">
        <v>15.667941176073599</v>
      </c>
      <c r="Z46" s="3773">
        <v>0.70681217078460001</v>
      </c>
      <c r="AA46" s="301" t="s">
        <v>2146</v>
      </c>
      <c r="AB46" s="3775">
        <v>99.834655724778301</v>
      </c>
    </row>
    <row r="47" spans="2:28" s="84" customFormat="1" ht="14.4" x14ac:dyDescent="0.25">
      <c r="B47" s="313"/>
      <c r="C47" s="1645"/>
      <c r="D47" s="1645"/>
      <c r="E47" s="1645"/>
      <c r="F47" s="1645"/>
      <c r="G47" s="1645"/>
      <c r="H47" s="1645"/>
      <c r="I47" s="1645"/>
      <c r="J47" s="1645"/>
      <c r="K47" s="1645"/>
      <c r="M47" s="4460"/>
      <c r="N47" s="4461"/>
      <c r="O47" s="1692" t="s">
        <v>794</v>
      </c>
      <c r="P47" s="1693" t="s">
        <v>792</v>
      </c>
      <c r="Q47" s="302" t="s">
        <v>2146</v>
      </c>
      <c r="R47" s="277" t="s">
        <v>2146</v>
      </c>
      <c r="S47" s="277" t="s">
        <v>2146</v>
      </c>
      <c r="T47" s="3147">
        <v>47.73765121206474</v>
      </c>
      <c r="U47" s="3147" t="s">
        <v>2146</v>
      </c>
      <c r="V47" s="3147" t="s">
        <v>2146</v>
      </c>
      <c r="W47" s="3147" t="s">
        <v>2153</v>
      </c>
      <c r="X47" s="3147">
        <v>0.18185378380306</v>
      </c>
      <c r="Y47" s="3147">
        <v>17.902792078960999</v>
      </c>
      <c r="Z47" s="3147">
        <v>0.3700966158906</v>
      </c>
      <c r="AA47" s="278" t="s">
        <v>2146</v>
      </c>
      <c r="AB47" s="2911">
        <v>99.818146216196894</v>
      </c>
    </row>
    <row r="48" spans="2:28" s="84" customFormat="1" ht="15" thickBot="1" x14ac:dyDescent="0.3">
      <c r="B48" s="1020"/>
      <c r="C48" s="1646"/>
      <c r="D48" s="1646"/>
      <c r="E48" s="1646"/>
      <c r="F48" s="1646"/>
      <c r="G48" s="1646"/>
      <c r="H48" s="1646"/>
      <c r="I48" s="1646"/>
      <c r="J48" s="1646"/>
      <c r="K48" s="1646"/>
      <c r="M48" s="4460"/>
      <c r="N48" s="4461"/>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4.4" x14ac:dyDescent="0.25">
      <c r="B49" s="312"/>
      <c r="C49" s="312"/>
      <c r="D49" s="312"/>
      <c r="E49" s="312"/>
      <c r="F49" s="312"/>
      <c r="G49" s="312"/>
      <c r="H49" s="312"/>
      <c r="I49" s="312"/>
      <c r="J49" s="312"/>
      <c r="K49" s="312"/>
      <c r="M49" s="4460"/>
      <c r="N49" s="4461"/>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4.4" x14ac:dyDescent="0.25">
      <c r="B50" s="72"/>
      <c r="C50" s="313"/>
      <c r="D50" s="313"/>
      <c r="E50" s="313"/>
      <c r="F50" s="313"/>
      <c r="G50" s="313"/>
      <c r="H50" s="313"/>
      <c r="I50" s="313"/>
      <c r="J50" s="313"/>
      <c r="K50" s="313"/>
      <c r="M50" s="4460"/>
      <c r="N50" s="4461"/>
      <c r="O50" s="1696"/>
      <c r="P50" s="1693" t="s">
        <v>792</v>
      </c>
      <c r="Q50" s="302" t="s">
        <v>2146</v>
      </c>
      <c r="R50" s="277" t="s">
        <v>2146</v>
      </c>
      <c r="S50" s="277" t="s">
        <v>2146</v>
      </c>
      <c r="T50" s="3147">
        <v>1.9999999999999997E-2</v>
      </c>
      <c r="U50" s="3147" t="s">
        <v>2146</v>
      </c>
      <c r="V50" s="3147" t="s">
        <v>2146</v>
      </c>
      <c r="W50" s="3147" t="s">
        <v>2153</v>
      </c>
      <c r="X50" s="3147">
        <v>1.398459188131E-2</v>
      </c>
      <c r="Y50" s="3147">
        <v>0.01</v>
      </c>
      <c r="Z50" s="3147">
        <v>0.1</v>
      </c>
      <c r="AA50" s="278" t="s">
        <v>2146</v>
      </c>
      <c r="AB50" s="2911">
        <v>1.4999999999999999E-2</v>
      </c>
    </row>
    <row r="51" spans="2:28" s="84" customFormat="1" ht="15" thickBot="1" x14ac:dyDescent="0.3">
      <c r="B51" s="1058"/>
      <c r="C51" s="1646"/>
      <c r="D51" s="1646"/>
      <c r="E51" s="1646"/>
      <c r="F51" s="1646"/>
      <c r="G51" s="1646"/>
      <c r="H51" s="1646"/>
      <c r="I51" s="1646"/>
      <c r="J51" s="1646"/>
      <c r="K51" s="1646"/>
      <c r="M51" s="4462"/>
      <c r="N51" s="4463"/>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5">
      <c r="B52" s="1058"/>
      <c r="C52" s="1646"/>
      <c r="D52" s="1646"/>
      <c r="E52" s="1646"/>
      <c r="F52" s="1646"/>
      <c r="G52" s="1646"/>
      <c r="H52" s="1646"/>
      <c r="I52" s="1646"/>
      <c r="J52" s="1646"/>
      <c r="K52" s="1646"/>
      <c r="M52" s="4458" t="s">
        <v>2204</v>
      </c>
      <c r="N52" s="4459"/>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4.4" x14ac:dyDescent="0.25">
      <c r="B53" s="1058"/>
      <c r="C53" s="1646"/>
      <c r="D53" s="1646"/>
      <c r="E53" s="1646"/>
      <c r="F53" s="1646"/>
      <c r="G53" s="1646"/>
      <c r="H53" s="1646"/>
      <c r="I53" s="1646"/>
      <c r="J53" s="1646"/>
      <c r="K53" s="1646"/>
      <c r="M53" s="4460"/>
      <c r="N53" s="4461"/>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5" thickBot="1" x14ac:dyDescent="0.3">
      <c r="B54" s="1058"/>
      <c r="C54" s="1646"/>
      <c r="D54" s="1646"/>
      <c r="E54" s="1646"/>
      <c r="F54" s="1646"/>
      <c r="G54" s="1646"/>
      <c r="H54" s="1646"/>
      <c r="I54" s="1646"/>
      <c r="J54" s="1646"/>
      <c r="K54" s="1646"/>
      <c r="M54" s="4460"/>
      <c r="N54" s="4461"/>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5" thickBot="1" x14ac:dyDescent="0.3">
      <c r="B55" s="1647"/>
      <c r="C55" s="989"/>
      <c r="D55" s="989"/>
      <c r="E55" s="989"/>
      <c r="F55" s="989"/>
      <c r="G55" s="989"/>
      <c r="H55" s="989"/>
      <c r="I55" s="989"/>
      <c r="J55" s="989"/>
      <c r="K55" s="989"/>
      <c r="M55" s="4460"/>
      <c r="N55" s="4461"/>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5">
      <c r="B56" s="223" t="s">
        <v>352</v>
      </c>
      <c r="C56" s="314"/>
      <c r="D56" s="314"/>
      <c r="E56" s="314"/>
      <c r="F56" s="314"/>
      <c r="G56" s="314"/>
      <c r="H56" s="314"/>
      <c r="I56" s="314"/>
      <c r="J56" s="314"/>
      <c r="K56" s="315"/>
      <c r="M56" s="4460"/>
      <c r="N56" s="4461"/>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ht="12.6" thickBot="1" x14ac:dyDescent="0.3">
      <c r="B57" s="1073"/>
      <c r="C57" s="1074"/>
      <c r="D57" s="1074"/>
      <c r="E57" s="1074"/>
      <c r="F57" s="1074"/>
      <c r="G57" s="1074"/>
      <c r="H57" s="1074"/>
      <c r="I57" s="1074"/>
      <c r="J57" s="1074"/>
      <c r="K57" s="1075"/>
      <c r="M57" s="4462"/>
      <c r="N57" s="4463"/>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5">
      <c r="B58" s="366"/>
      <c r="C58" s="367"/>
      <c r="D58" s="367"/>
      <c r="E58" s="367"/>
      <c r="F58" s="367"/>
      <c r="G58" s="367"/>
      <c r="H58" s="367"/>
      <c r="I58" s="367"/>
      <c r="J58" s="367"/>
      <c r="K58" s="368"/>
      <c r="M58" s="4458" t="s">
        <v>2205</v>
      </c>
      <c r="N58" s="4459"/>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5">
      <c r="B59" s="1000"/>
      <c r="C59" s="1001"/>
      <c r="D59" s="1001"/>
      <c r="E59" s="1001"/>
      <c r="F59" s="1001"/>
      <c r="G59" s="1001"/>
      <c r="H59" s="1001"/>
      <c r="I59" s="1001"/>
      <c r="J59" s="1001"/>
      <c r="K59" s="1002"/>
      <c r="M59" s="4460"/>
      <c r="N59" s="4461"/>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ht="12.6" thickBot="1" x14ac:dyDescent="0.3">
      <c r="B60" s="1000"/>
      <c r="C60" s="1001"/>
      <c r="D60" s="1001"/>
      <c r="E60" s="1001"/>
      <c r="F60" s="1001"/>
      <c r="G60" s="1001"/>
      <c r="H60" s="1001"/>
      <c r="I60" s="1001"/>
      <c r="J60" s="1001"/>
      <c r="K60" s="1002"/>
      <c r="M60" s="4460"/>
      <c r="N60" s="4461"/>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4.4" x14ac:dyDescent="0.25">
      <c r="B61" s="1000"/>
      <c r="C61" s="1001"/>
      <c r="D61" s="1001"/>
      <c r="E61" s="1001"/>
      <c r="F61" s="1001"/>
      <c r="G61" s="1001"/>
      <c r="H61" s="1001"/>
      <c r="I61" s="1001"/>
      <c r="J61" s="1001"/>
      <c r="K61" s="1002"/>
      <c r="M61" s="4460"/>
      <c r="N61" s="4461"/>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5">
      <c r="B62" s="1003"/>
      <c r="C62" s="1004"/>
      <c r="D62" s="1004"/>
      <c r="E62" s="1004"/>
      <c r="F62" s="1004"/>
      <c r="G62" s="1004"/>
      <c r="H62" s="1004"/>
      <c r="I62" s="1004"/>
      <c r="J62" s="1004"/>
      <c r="K62" s="1005"/>
      <c r="M62" s="4460"/>
      <c r="N62" s="4461"/>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ht="12.6" thickBot="1" x14ac:dyDescent="0.3">
      <c r="B63" s="1006"/>
      <c r="C63" s="1007"/>
      <c r="D63" s="1007"/>
      <c r="E63" s="1007"/>
      <c r="F63" s="1007"/>
      <c r="G63" s="1007"/>
      <c r="H63" s="1007"/>
      <c r="I63" s="1007"/>
      <c r="J63" s="1007"/>
      <c r="K63" s="1008"/>
      <c r="M63" s="4462"/>
      <c r="N63" s="4463"/>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3">
      <c r="B64" s="4452" t="s">
        <v>2207</v>
      </c>
      <c r="C64" s="4453"/>
      <c r="D64" s="4453"/>
      <c r="E64" s="4453"/>
      <c r="F64" s="4453"/>
      <c r="G64" s="4453"/>
      <c r="H64" s="4453"/>
      <c r="I64" s="4453"/>
      <c r="J64" s="4453"/>
      <c r="K64" s="4454"/>
      <c r="M64" s="83"/>
      <c r="N64" s="83"/>
      <c r="O64" s="83"/>
      <c r="P64" s="83"/>
      <c r="Q64" s="83"/>
      <c r="R64" s="83"/>
      <c r="S64" s="83"/>
      <c r="T64" s="83"/>
      <c r="U64" s="83"/>
      <c r="V64" s="83"/>
      <c r="W64" s="83"/>
      <c r="X64" s="83"/>
      <c r="Y64" s="83"/>
      <c r="Z64" s="83"/>
      <c r="AA64" s="83"/>
      <c r="AB64" s="83"/>
    </row>
    <row r="65" spans="2:28" s="84" customFormat="1" x14ac:dyDescent="0.25">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5">
      <c r="M66" s="83"/>
      <c r="N66" s="83"/>
      <c r="O66" s="83"/>
      <c r="P66" s="83"/>
      <c r="Q66" s="83"/>
      <c r="R66" s="83"/>
      <c r="S66" s="83"/>
      <c r="T66" s="83"/>
      <c r="U66" s="83"/>
      <c r="V66" s="83"/>
      <c r="W66" s="83"/>
      <c r="X66" s="83"/>
      <c r="Y66" s="83"/>
      <c r="Z66" s="83"/>
      <c r="AA66" s="83"/>
      <c r="AB66" s="83"/>
    </row>
    <row r="67" spans="2:28" x14ac:dyDescent="0.25">
      <c r="B67" s="84"/>
      <c r="C67" s="84"/>
      <c r="D67" s="84"/>
      <c r="E67" s="84"/>
      <c r="F67" s="84"/>
      <c r="G67" s="84"/>
      <c r="H67" s="84"/>
      <c r="I67" s="84"/>
      <c r="J67" s="84"/>
      <c r="K67" s="84"/>
    </row>
    <row r="68" spans="2:28" x14ac:dyDescent="0.25">
      <c r="B68" s="84"/>
      <c r="C68" s="84"/>
      <c r="D68" s="84"/>
      <c r="E68" s="84"/>
      <c r="F68" s="84"/>
      <c r="G68" s="84"/>
      <c r="H68" s="84"/>
      <c r="I68" s="84"/>
      <c r="J68" s="84"/>
      <c r="K68" s="84"/>
    </row>
    <row r="77" spans="2:28" ht="12.75" customHeight="1" x14ac:dyDescent="0.25"/>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3.2" x14ac:dyDescent="0.25"/>
  <cols>
    <col min="1" max="1" width="1.88671875" style="83" customWidth="1"/>
    <col min="2" max="2" width="38.5546875" style="83" bestFit="1" customWidth="1"/>
    <col min="3" max="12" width="10.88671875" style="83" customWidth="1"/>
    <col min="13" max="13" width="12.6640625" style="83" customWidth="1"/>
    <col min="14" max="17" width="10.88671875" style="83" customWidth="1"/>
    <col min="18" max="18" width="12.6640625" style="83" customWidth="1"/>
    <col min="19" max="20" width="10.88671875" style="83" customWidth="1"/>
    <col min="21" max="21" width="10.109375" style="83" customWidth="1"/>
    <col min="22" max="22" width="6.88671875" style="83" customWidth="1"/>
    <col min="23" max="23" width="7.88671875" style="83" customWidth="1"/>
    <col min="24" max="24" width="5.88671875" style="83" bestFit="1" customWidth="1"/>
    <col min="25" max="25" width="6.88671875" style="83" customWidth="1"/>
    <col min="26" max="26" width="7.88671875" style="83" customWidth="1"/>
    <col min="27" max="16384" width="8" style="83"/>
  </cols>
  <sheetData>
    <row r="1" spans="1:26" ht="15.75" customHeight="1" x14ac:dyDescent="0.25">
      <c r="B1" s="3" t="s">
        <v>830</v>
      </c>
      <c r="R1" s="2"/>
      <c r="X1" s="2"/>
      <c r="Y1" s="2"/>
      <c r="Z1" s="14" t="s">
        <v>2521</v>
      </c>
    </row>
    <row r="2" spans="1:26" ht="17.25" customHeight="1" x14ac:dyDescent="0.25">
      <c r="B2" s="3" t="s">
        <v>831</v>
      </c>
      <c r="R2" s="2"/>
      <c r="X2" s="2"/>
      <c r="Y2" s="2"/>
      <c r="Z2" s="14" t="s">
        <v>2522</v>
      </c>
    </row>
    <row r="3" spans="1:26" ht="15.75" customHeight="1" x14ac:dyDescent="0.25">
      <c r="B3" s="3" t="s">
        <v>62</v>
      </c>
      <c r="R3" s="2"/>
      <c r="X3" s="2"/>
      <c r="Y3" s="2"/>
      <c r="Z3" s="14" t="s">
        <v>2144</v>
      </c>
    </row>
    <row r="4" spans="1:26" ht="15.75" customHeight="1" thickBot="1" x14ac:dyDescent="0.3">
      <c r="B4" s="2452" t="s">
        <v>64</v>
      </c>
      <c r="R4" s="2"/>
    </row>
    <row r="5" spans="1:26" ht="22.8" x14ac:dyDescent="0.25">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5.6" x14ac:dyDescent="0.25">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5">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 customHeight="1" x14ac:dyDescent="0.25">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5.8" thickBot="1" x14ac:dyDescent="0.3">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5">
      <c r="B10" s="347" t="s">
        <v>799</v>
      </c>
      <c r="C10" s="3489">
        <f>C15</f>
        <v>24838.232</v>
      </c>
      <c r="D10" s="3490"/>
      <c r="E10" s="3491"/>
      <c r="F10" s="3478">
        <f>F15</f>
        <v>9710106.4999407809</v>
      </c>
      <c r="G10" s="3478" t="str">
        <f t="shared" ref="G10:R10" si="0">G15</f>
        <v>NO</v>
      </c>
      <c r="H10" s="3478">
        <f t="shared" si="0"/>
        <v>17437411.910971101</v>
      </c>
      <c r="I10" s="3478">
        <f t="shared" si="0"/>
        <v>3180678.7419616994</v>
      </c>
      <c r="J10" s="3478" t="str">
        <f t="shared" si="0"/>
        <v>NO</v>
      </c>
      <c r="K10" s="3478">
        <f t="shared" si="0"/>
        <v>33332491.154253386</v>
      </c>
      <c r="L10" s="3478" t="str">
        <f t="shared" si="0"/>
        <v>NO</v>
      </c>
      <c r="M10" s="3478">
        <f t="shared" si="0"/>
        <v>1047328636.784325</v>
      </c>
      <c r="N10" s="3478" t="str">
        <f t="shared" si="0"/>
        <v>NO</v>
      </c>
      <c r="O10" s="3478" t="str">
        <f t="shared" si="0"/>
        <v>NO</v>
      </c>
      <c r="P10" s="3478" t="str">
        <f t="shared" si="0"/>
        <v>NO</v>
      </c>
      <c r="Q10" s="3478" t="str">
        <f t="shared" si="0"/>
        <v>NO</v>
      </c>
      <c r="R10" s="3478">
        <f t="shared" si="0"/>
        <v>1110989325.0914519</v>
      </c>
      <c r="S10" s="2651"/>
      <c r="T10" s="2652"/>
      <c r="U10" s="3456">
        <f>IF(SUM(X10)=0,"NA",X10*1000/C10)</f>
        <v>1.2176782430405656E-2</v>
      </c>
      <c r="V10" s="3448"/>
      <c r="W10" s="3449"/>
      <c r="X10" s="3311">
        <f t="shared" ref="X10" si="1">X15</f>
        <v>0.30244974701993954</v>
      </c>
      <c r="Y10" s="3363"/>
      <c r="Z10" s="3450"/>
    </row>
    <row r="11" spans="1:26" ht="18" customHeight="1" x14ac:dyDescent="0.25">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5">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5">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5">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5">
      <c r="B15" s="350" t="s">
        <v>805</v>
      </c>
      <c r="C15" s="3314">
        <f>C20</f>
        <v>24838.232</v>
      </c>
      <c r="D15" s="3493"/>
      <c r="E15" s="3493"/>
      <c r="F15" s="2649">
        <f>F20</f>
        <v>9710106.4999407809</v>
      </c>
      <c r="G15" s="2649" t="str">
        <f t="shared" ref="G15:R15" si="2">G20</f>
        <v>NO</v>
      </c>
      <c r="H15" s="2649">
        <f t="shared" si="2"/>
        <v>17437411.910971101</v>
      </c>
      <c r="I15" s="2649">
        <f t="shared" si="2"/>
        <v>3180678.7419616994</v>
      </c>
      <c r="J15" s="2649" t="str">
        <f t="shared" si="2"/>
        <v>NO</v>
      </c>
      <c r="K15" s="2649">
        <f t="shared" si="2"/>
        <v>33332491.154253386</v>
      </c>
      <c r="L15" s="2649" t="str">
        <f t="shared" si="2"/>
        <v>NO</v>
      </c>
      <c r="M15" s="2649">
        <f t="shared" si="2"/>
        <v>1047328636.784325</v>
      </c>
      <c r="N15" s="2649" t="str">
        <f t="shared" si="2"/>
        <v>NO</v>
      </c>
      <c r="O15" s="2649" t="str">
        <f t="shared" si="2"/>
        <v>NO</v>
      </c>
      <c r="P15" s="2649" t="str">
        <f t="shared" si="2"/>
        <v>NO</v>
      </c>
      <c r="Q15" s="2649" t="str">
        <f t="shared" si="2"/>
        <v>NO</v>
      </c>
      <c r="R15" s="2649">
        <f t="shared" si="2"/>
        <v>1110989325.0914519</v>
      </c>
      <c r="S15" s="2657"/>
      <c r="T15" s="2658"/>
      <c r="U15" s="3456">
        <f>IF(SUM(X15)=0,"NA",X15*1000/C15)</f>
        <v>1.2176782430405656E-2</v>
      </c>
      <c r="V15" s="3454"/>
      <c r="W15" s="3455"/>
      <c r="X15" s="3314">
        <f t="shared" ref="X15" si="3">X20</f>
        <v>0.30244974701993954</v>
      </c>
      <c r="Y15" s="3173"/>
      <c r="Z15" s="3457"/>
    </row>
    <row r="16" spans="1:26" ht="18" customHeight="1" x14ac:dyDescent="0.25">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5">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5">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5">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5">
      <c r="B20" s="1740" t="s">
        <v>810</v>
      </c>
      <c r="C20" s="3314">
        <f>IF(SUM(C21:C23)=0,"NO",SUM(C21:C23))</f>
        <v>24838.232</v>
      </c>
      <c r="D20" s="3492"/>
      <c r="E20" s="3492"/>
      <c r="F20" s="2649">
        <f>IF(SUM(F21:F23)=0,"NO",SUM(F21:F23))</f>
        <v>9710106.4999407809</v>
      </c>
      <c r="G20" s="2649" t="str">
        <f t="shared" ref="G20:Q20" si="6">IF(SUM(G21:G23)=0,"NO",SUM(G21:G23))</f>
        <v>NO</v>
      </c>
      <c r="H20" s="2649">
        <f t="shared" si="6"/>
        <v>17437411.910971101</v>
      </c>
      <c r="I20" s="2649">
        <f t="shared" si="6"/>
        <v>3180678.7419616994</v>
      </c>
      <c r="J20" s="2649" t="str">
        <f t="shared" si="6"/>
        <v>NO</v>
      </c>
      <c r="K20" s="2649">
        <f t="shared" si="6"/>
        <v>33332491.154253386</v>
      </c>
      <c r="L20" s="2649" t="str">
        <f t="shared" si="6"/>
        <v>NO</v>
      </c>
      <c r="M20" s="2649">
        <f t="shared" si="6"/>
        <v>1047328636.784325</v>
      </c>
      <c r="N20" s="2649" t="str">
        <f t="shared" si="6"/>
        <v>NO</v>
      </c>
      <c r="O20" s="2649" t="str">
        <f t="shared" si="6"/>
        <v>NO</v>
      </c>
      <c r="P20" s="2649" t="str">
        <f t="shared" si="6"/>
        <v>NO</v>
      </c>
      <c r="Q20" s="2649" t="str">
        <f t="shared" si="6"/>
        <v>NO</v>
      </c>
      <c r="R20" s="3482">
        <f>IF(SUM(F20:Q20)=0,"NO",SUM(F20:Q20))</f>
        <v>1110989325.0914519</v>
      </c>
      <c r="S20" s="2657"/>
      <c r="T20" s="2658"/>
      <c r="U20" s="3456">
        <f t="shared" si="4"/>
        <v>1.2176782430405656E-2</v>
      </c>
      <c r="V20" s="3454"/>
      <c r="W20" s="3455"/>
      <c r="X20" s="3314">
        <f t="shared" ref="X20" si="7">IF(SUM(X21:X23)=0,"NO",SUM(X21:X23))</f>
        <v>0.30244974701993954</v>
      </c>
      <c r="Y20" s="3173"/>
      <c r="Z20" s="3457"/>
    </row>
    <row r="21" spans="2:26" ht="18" customHeight="1" x14ac:dyDescent="0.25">
      <c r="B21" s="2647" t="s">
        <v>2196</v>
      </c>
      <c r="C21" s="3495">
        <f>Table3.A!C21</f>
        <v>2561.9349999999999</v>
      </c>
      <c r="D21" s="3307">
        <v>114.04880991988905</v>
      </c>
      <c r="E21" s="3494">
        <f>'Table3.B(a)'!G21</f>
        <v>438.18535468393998</v>
      </c>
      <c r="F21" s="3479">
        <v>9264508.7892000005</v>
      </c>
      <c r="G21" s="3479" t="s">
        <v>2146</v>
      </c>
      <c r="H21" s="3479">
        <v>17437411.910971101</v>
      </c>
      <c r="I21" s="3479">
        <v>3180678.7419616994</v>
      </c>
      <c r="J21" s="3479" t="s">
        <v>2146</v>
      </c>
      <c r="K21" s="3479" t="s">
        <v>2153</v>
      </c>
      <c r="L21" s="3479" t="s">
        <v>2146</v>
      </c>
      <c r="M21" s="3479">
        <v>262303092.9404</v>
      </c>
      <c r="N21" s="3479" t="s">
        <v>2146</v>
      </c>
      <c r="O21" s="3479" t="s">
        <v>2146</v>
      </c>
      <c r="P21" s="3479" t="s">
        <v>2146</v>
      </c>
      <c r="Q21" s="3479" t="s">
        <v>2146</v>
      </c>
      <c r="R21" s="3482">
        <f t="shared" ref="R21:R45" si="8">IF(SUM(F21:Q21)=0,"NO",SUM(F21:Q21))</f>
        <v>292185692.38253284</v>
      </c>
      <c r="S21" s="2657"/>
      <c r="T21" s="2658"/>
      <c r="U21" s="3456">
        <f t="shared" si="4"/>
        <v>9.7547546125372024E-3</v>
      </c>
      <c r="V21" s="3454"/>
      <c r="W21" s="3455"/>
      <c r="X21" s="3315">
        <v>2.4991047258270498E-2</v>
      </c>
      <c r="Y21" s="3173"/>
      <c r="Z21" s="3457"/>
    </row>
    <row r="22" spans="2:26" ht="18" customHeight="1" x14ac:dyDescent="0.25">
      <c r="B22" s="2647" t="s">
        <v>2197</v>
      </c>
      <c r="C22" s="3495">
        <f>Table3.A!C22</f>
        <v>21947.53</v>
      </c>
      <c r="D22" s="3307">
        <v>35.768287235804685</v>
      </c>
      <c r="E22" s="3494">
        <f>'Table3.B(a)'!G22</f>
        <v>360.74923628679397</v>
      </c>
      <c r="F22" s="3483" t="s">
        <v>2146</v>
      </c>
      <c r="G22" s="3479" t="s">
        <v>2146</v>
      </c>
      <c r="H22" s="3483" t="s">
        <v>2146</v>
      </c>
      <c r="I22" s="3483" t="s">
        <v>2146</v>
      </c>
      <c r="J22" s="3483" t="s">
        <v>2146</v>
      </c>
      <c r="K22" s="3483" t="s">
        <v>2146</v>
      </c>
      <c r="L22" s="3483" t="s">
        <v>2146</v>
      </c>
      <c r="M22" s="3483">
        <v>785025543.843925</v>
      </c>
      <c r="N22" s="3483" t="s">
        <v>2146</v>
      </c>
      <c r="O22" s="3483" t="s">
        <v>2146</v>
      </c>
      <c r="P22" s="3483" t="s">
        <v>2146</v>
      </c>
      <c r="Q22" s="3483" t="s">
        <v>2146</v>
      </c>
      <c r="R22" s="3482">
        <f t="shared" si="8"/>
        <v>785025543.843925</v>
      </c>
      <c r="S22" s="2657"/>
      <c r="T22" s="2658"/>
      <c r="U22" s="3456" t="str">
        <f>IF(SUM(X22)=0,"NA",X22*1000/C22)</f>
        <v>NA</v>
      </c>
      <c r="V22" s="3454"/>
      <c r="W22" s="3455"/>
      <c r="X22" s="3315" t="s">
        <v>2147</v>
      </c>
      <c r="Y22" s="3173"/>
      <c r="Z22" s="3457"/>
    </row>
    <row r="23" spans="2:26" ht="18" customHeight="1" x14ac:dyDescent="0.25">
      <c r="B23" s="2647" t="s">
        <v>2198</v>
      </c>
      <c r="C23" s="3495">
        <f>Table3.A!C23</f>
        <v>328.767</v>
      </c>
      <c r="D23" s="3307">
        <v>75.297761305733857</v>
      </c>
      <c r="E23" s="3494">
        <f>'Table3.B(a)'!G23</f>
        <v>541.1875</v>
      </c>
      <c r="F23" s="3483">
        <v>445597.71074078098</v>
      </c>
      <c r="G23" s="3479" t="s">
        <v>2146</v>
      </c>
      <c r="H23" s="3483" t="s">
        <v>2146</v>
      </c>
      <c r="I23" s="3483" t="s">
        <v>2153</v>
      </c>
      <c r="J23" s="3483" t="s">
        <v>2153</v>
      </c>
      <c r="K23" s="3483">
        <v>33332491.154253386</v>
      </c>
      <c r="L23" s="3483" t="s">
        <v>2146</v>
      </c>
      <c r="M23" s="3483" t="s">
        <v>2146</v>
      </c>
      <c r="N23" s="3483" t="s">
        <v>2146</v>
      </c>
      <c r="O23" s="3483" t="s">
        <v>2146</v>
      </c>
      <c r="P23" s="3483" t="s">
        <v>2146</v>
      </c>
      <c r="Q23" s="3483" t="s">
        <v>2146</v>
      </c>
      <c r="R23" s="3482">
        <f t="shared" si="8"/>
        <v>33778088.864994168</v>
      </c>
      <c r="S23" s="2657"/>
      <c r="T23" s="2658"/>
      <c r="U23" s="3456">
        <f t="shared" ref="U23:U30" si="9">IF(SUM(X23)=0,"NA",X23*1000/C23)</f>
        <v>0.84393719491819141</v>
      </c>
      <c r="V23" s="3454"/>
      <c r="W23" s="3455"/>
      <c r="X23" s="3315">
        <v>0.27745869976166904</v>
      </c>
      <c r="Y23" s="3173"/>
      <c r="Z23" s="3457"/>
    </row>
    <row r="24" spans="2:26" ht="18" customHeight="1" x14ac:dyDescent="0.25">
      <c r="B24" s="351" t="s">
        <v>811</v>
      </c>
      <c r="C24" s="3314">
        <f>C25</f>
        <v>173738.038</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1216147672.4790299</v>
      </c>
      <c r="N24" s="2649" t="str">
        <f t="shared" si="10"/>
        <v>NO</v>
      </c>
      <c r="O24" s="2649" t="str">
        <f t="shared" si="10"/>
        <v>NO</v>
      </c>
      <c r="P24" s="2649" t="str">
        <f t="shared" si="10"/>
        <v>NO</v>
      </c>
      <c r="Q24" s="2649" t="str">
        <f t="shared" si="10"/>
        <v>NO</v>
      </c>
      <c r="R24" s="3482">
        <f t="shared" si="8"/>
        <v>1216147672.4790299</v>
      </c>
      <c r="S24" s="2657"/>
      <c r="T24" s="2658"/>
      <c r="U24" s="3456" t="str">
        <f t="shared" si="9"/>
        <v>NA</v>
      </c>
      <c r="V24" s="3454"/>
      <c r="W24" s="3455"/>
      <c r="X24" s="3314" t="str">
        <f t="shared" ref="X24:X25" si="11">X25</f>
        <v>NA</v>
      </c>
      <c r="Y24" s="3173"/>
      <c r="Z24" s="3457"/>
    </row>
    <row r="25" spans="2:26" ht="18" customHeight="1" x14ac:dyDescent="0.25">
      <c r="B25" s="350" t="s">
        <v>812</v>
      </c>
      <c r="C25" s="3314">
        <f>C26</f>
        <v>173738.038</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1216147672.4790299</v>
      </c>
      <c r="N25" s="2649" t="str">
        <f t="shared" si="10"/>
        <v>NO</v>
      </c>
      <c r="O25" s="2649" t="str">
        <f t="shared" si="10"/>
        <v>NO</v>
      </c>
      <c r="P25" s="2649" t="str">
        <f t="shared" si="10"/>
        <v>NO</v>
      </c>
      <c r="Q25" s="2649" t="str">
        <f t="shared" si="10"/>
        <v>NO</v>
      </c>
      <c r="R25" s="3482">
        <f t="shared" si="8"/>
        <v>1216147672.4790299</v>
      </c>
      <c r="S25" s="2657"/>
      <c r="T25" s="2658"/>
      <c r="U25" s="3456" t="str">
        <f t="shared" si="9"/>
        <v>NA</v>
      </c>
      <c r="V25" s="3454"/>
      <c r="W25" s="3455"/>
      <c r="X25" s="3314" t="str">
        <f t="shared" si="11"/>
        <v>NA</v>
      </c>
      <c r="Y25" s="3173"/>
      <c r="Z25" s="3457"/>
    </row>
    <row r="26" spans="2:26" ht="18" customHeight="1" x14ac:dyDescent="0.25">
      <c r="B26" s="2642" t="s">
        <v>2201</v>
      </c>
      <c r="C26" s="3495">
        <f>Table3.A!C26</f>
        <v>173738.038</v>
      </c>
      <c r="D26" s="3307">
        <v>6.9998929990862173</v>
      </c>
      <c r="E26" s="3494">
        <f>'Table3.B(a)'!G26</f>
        <v>46.030616188684803</v>
      </c>
      <c r="F26" s="3483" t="s">
        <v>2146</v>
      </c>
      <c r="G26" s="3479" t="s">
        <v>2146</v>
      </c>
      <c r="H26" s="3483" t="s">
        <v>2146</v>
      </c>
      <c r="I26" s="3483" t="s">
        <v>2146</v>
      </c>
      <c r="J26" s="3483" t="s">
        <v>2146</v>
      </c>
      <c r="K26" s="3483" t="s">
        <v>2146</v>
      </c>
      <c r="L26" s="3483" t="s">
        <v>2146</v>
      </c>
      <c r="M26" s="3479">
        <v>1216147672.4790299</v>
      </c>
      <c r="N26" s="3483" t="s">
        <v>2146</v>
      </c>
      <c r="O26" s="3483" t="s">
        <v>2146</v>
      </c>
      <c r="P26" s="3483" t="s">
        <v>2146</v>
      </c>
      <c r="Q26" s="3483" t="s">
        <v>2146</v>
      </c>
      <c r="R26" s="3482">
        <f t="shared" si="8"/>
        <v>1216147672.4790299</v>
      </c>
      <c r="S26" s="2657"/>
      <c r="T26" s="2658"/>
      <c r="U26" s="3456" t="str">
        <f t="shared" si="9"/>
        <v>NA</v>
      </c>
      <c r="V26" s="3454"/>
      <c r="W26" s="3455"/>
      <c r="X26" s="3315" t="s">
        <v>2147</v>
      </c>
      <c r="Y26" s="3173"/>
      <c r="Z26" s="3457"/>
    </row>
    <row r="27" spans="2:26" ht="18" customHeight="1" x14ac:dyDescent="0.25">
      <c r="B27" s="351" t="s">
        <v>814</v>
      </c>
      <c r="C27" s="3314">
        <f>C28</f>
        <v>2689.9360000000001</v>
      </c>
      <c r="D27" s="3492"/>
      <c r="E27" s="3492"/>
      <c r="F27" s="2649">
        <f>F28</f>
        <v>40388242.042551197</v>
      </c>
      <c r="G27" s="2649" t="str">
        <f t="shared" ref="G27:G28" si="12">G28</f>
        <v>NO</v>
      </c>
      <c r="H27" s="2649" t="str">
        <f t="shared" ref="H27:H28" si="13">H28</f>
        <v>NO</v>
      </c>
      <c r="I27" s="2649" t="str">
        <f t="shared" ref="I27:I28" si="14">I28</f>
        <v>IE</v>
      </c>
      <c r="J27" s="2649" t="str">
        <f t="shared" ref="J27:J28" si="15">J28</f>
        <v>IE</v>
      </c>
      <c r="K27" s="2649">
        <f t="shared" ref="K27:K28" si="16">K28</f>
        <v>3298989.2079984602</v>
      </c>
      <c r="L27" s="2649" t="str">
        <f t="shared" ref="L27:L28" si="17">L28</f>
        <v>IE</v>
      </c>
      <c r="M27" s="2649" t="str">
        <f t="shared" ref="M27:M28" si="18">M28</f>
        <v>NO</v>
      </c>
      <c r="N27" s="2649" t="str">
        <f t="shared" ref="N27:N28" si="19">N28</f>
        <v>NO</v>
      </c>
      <c r="O27" s="2649">
        <f t="shared" ref="O27:O28" si="20">O28</f>
        <v>165850.06810867201</v>
      </c>
      <c r="P27" s="2649" t="str">
        <f t="shared" ref="P27:P28" si="21">P28</f>
        <v>NO</v>
      </c>
      <c r="Q27" s="2649">
        <f t="shared" ref="Q27:Q28" si="22">Q28</f>
        <v>1249321.9271331199</v>
      </c>
      <c r="R27" s="3482">
        <f t="shared" si="8"/>
        <v>45102403.24579145</v>
      </c>
      <c r="S27" s="2657"/>
      <c r="T27" s="2658"/>
      <c r="U27" s="3456">
        <f t="shared" si="9"/>
        <v>2.4566318754555273E-2</v>
      </c>
      <c r="V27" s="3454"/>
      <c r="W27" s="3455"/>
      <c r="X27" s="3314">
        <f t="shared" ref="X27:X28" si="23">X28</f>
        <v>6.6081825205353398E-2</v>
      </c>
      <c r="Y27" s="3173"/>
      <c r="Z27" s="3457"/>
    </row>
    <row r="28" spans="2:26" ht="18" customHeight="1" x14ac:dyDescent="0.25">
      <c r="B28" s="350" t="s">
        <v>815</v>
      </c>
      <c r="C28" s="3314">
        <f>C29</f>
        <v>2689.9360000000001</v>
      </c>
      <c r="D28" s="3492"/>
      <c r="E28" s="3492"/>
      <c r="F28" s="2649">
        <f>F29</f>
        <v>40388242.042551197</v>
      </c>
      <c r="G28" s="2649" t="str">
        <f t="shared" si="12"/>
        <v>NO</v>
      </c>
      <c r="H28" s="2649" t="str">
        <f t="shared" si="13"/>
        <v>NO</v>
      </c>
      <c r="I28" s="2649" t="str">
        <f t="shared" si="14"/>
        <v>IE</v>
      </c>
      <c r="J28" s="2649" t="str">
        <f t="shared" si="15"/>
        <v>IE</v>
      </c>
      <c r="K28" s="2649">
        <f t="shared" si="16"/>
        <v>3298989.2079984602</v>
      </c>
      <c r="L28" s="2649" t="str">
        <f t="shared" si="17"/>
        <v>IE</v>
      </c>
      <c r="M28" s="2649" t="str">
        <f t="shared" si="18"/>
        <v>NO</v>
      </c>
      <c r="N28" s="2649" t="str">
        <f t="shared" si="19"/>
        <v>NO</v>
      </c>
      <c r="O28" s="2649">
        <f t="shared" si="20"/>
        <v>165850.06810867201</v>
      </c>
      <c r="P28" s="2649" t="str">
        <f t="shared" si="21"/>
        <v>NO</v>
      </c>
      <c r="Q28" s="2649">
        <f t="shared" si="22"/>
        <v>1249321.9271331199</v>
      </c>
      <c r="R28" s="3482">
        <f t="shared" si="8"/>
        <v>45102403.24579145</v>
      </c>
      <c r="S28" s="2657"/>
      <c r="T28" s="2658"/>
      <c r="U28" s="3456">
        <f t="shared" si="9"/>
        <v>2.4566318754555273E-2</v>
      </c>
      <c r="V28" s="3454"/>
      <c r="W28" s="3455"/>
      <c r="X28" s="3314">
        <f t="shared" si="23"/>
        <v>6.6081825205353398E-2</v>
      </c>
      <c r="Y28" s="3173"/>
      <c r="Z28" s="3457"/>
    </row>
    <row r="29" spans="2:26" ht="18" customHeight="1" x14ac:dyDescent="0.25">
      <c r="B29" s="2642" t="s">
        <v>817</v>
      </c>
      <c r="C29" s="3495">
        <f>Table3.A!C29</f>
        <v>2689.9360000000001</v>
      </c>
      <c r="D29" s="3307">
        <v>16.561313180778068</v>
      </c>
      <c r="E29" s="3494">
        <f>'Table3.B(a)'!G29</f>
        <v>53.511156610844701</v>
      </c>
      <c r="F29" s="3479">
        <v>40388242.042551197</v>
      </c>
      <c r="G29" s="3479" t="s">
        <v>2146</v>
      </c>
      <c r="H29" s="3479" t="s">
        <v>2146</v>
      </c>
      <c r="I29" s="3479" t="s">
        <v>2153</v>
      </c>
      <c r="J29" s="3479" t="s">
        <v>2153</v>
      </c>
      <c r="K29" s="3479">
        <v>3298989.2079984602</v>
      </c>
      <c r="L29" s="3479" t="s">
        <v>2153</v>
      </c>
      <c r="M29" s="3479" t="s">
        <v>2146</v>
      </c>
      <c r="N29" s="3479" t="s">
        <v>2146</v>
      </c>
      <c r="O29" s="3479">
        <v>165850.06810867201</v>
      </c>
      <c r="P29" s="3479" t="s">
        <v>2146</v>
      </c>
      <c r="Q29" s="3479">
        <v>1249321.9271331199</v>
      </c>
      <c r="R29" s="3482">
        <f t="shared" si="8"/>
        <v>45102403.24579145</v>
      </c>
      <c r="S29" s="2657"/>
      <c r="T29" s="2658"/>
      <c r="U29" s="3456">
        <f t="shared" si="9"/>
        <v>2.4566318754555273E-2</v>
      </c>
      <c r="V29" s="3454"/>
      <c r="W29" s="3455"/>
      <c r="X29" s="3315">
        <v>6.6081825205353398E-2</v>
      </c>
      <c r="Y29" s="3173"/>
      <c r="Z29" s="3457"/>
    </row>
    <row r="30" spans="2:26" ht="18" customHeight="1" x14ac:dyDescent="0.25">
      <c r="B30" s="351" t="s">
        <v>861</v>
      </c>
      <c r="C30" s="3314">
        <f>IF(SUM(C32:C39)=0,"NO",SUM(C32:C39))</f>
        <v>43872.492000000006</v>
      </c>
      <c r="D30" s="3492"/>
      <c r="E30" s="3492"/>
      <c r="F30" s="2649" t="str">
        <f>IF(SUM(F32:F39)=0,"NO",SUM(F32:F39))</f>
        <v>NO</v>
      </c>
      <c r="G30" s="2649" t="str">
        <f t="shared" ref="G30:Q30" si="24">IF(SUM(G32:G39)=0,"NO",SUM(G32:G39))</f>
        <v>NO</v>
      </c>
      <c r="H30" s="2649" t="str">
        <f t="shared" si="24"/>
        <v>NO</v>
      </c>
      <c r="I30" s="2649">
        <f t="shared" si="24"/>
        <v>10264117.447521361</v>
      </c>
      <c r="J30" s="2649" t="str">
        <f t="shared" si="24"/>
        <v>NO</v>
      </c>
      <c r="K30" s="2649" t="str">
        <f t="shared" si="24"/>
        <v>NO</v>
      </c>
      <c r="L30" s="2649" t="str">
        <f t="shared" si="24"/>
        <v>NO</v>
      </c>
      <c r="M30" s="2649">
        <f t="shared" si="24"/>
        <v>20299740.645627614</v>
      </c>
      <c r="N30" s="2649">
        <f t="shared" si="24"/>
        <v>4098132.7789137401</v>
      </c>
      <c r="O30" s="2649">
        <f t="shared" si="24"/>
        <v>76487.712844551104</v>
      </c>
      <c r="P30" s="2649" t="str">
        <f t="shared" si="24"/>
        <v>NO</v>
      </c>
      <c r="Q30" s="2649">
        <f t="shared" si="24"/>
        <v>27977262.8478356</v>
      </c>
      <c r="R30" s="3482">
        <f t="shared" si="8"/>
        <v>62715741.432742864</v>
      </c>
      <c r="S30" s="2657"/>
      <c r="T30" s="2658"/>
      <c r="U30" s="3456">
        <f t="shared" si="9"/>
        <v>4.3081696079642316E-3</v>
      </c>
      <c r="V30" s="3454"/>
      <c r="W30" s="3455"/>
      <c r="X30" s="3314">
        <f t="shared" ref="X30" si="25">IF(SUM(X32:X39)=0,"NO",SUM(X32:X39))</f>
        <v>0.18901013666005392</v>
      </c>
      <c r="Y30" s="3173"/>
      <c r="Z30" s="3457"/>
    </row>
    <row r="31" spans="2:26" ht="18" customHeight="1" x14ac:dyDescent="0.25">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5">
      <c r="B32" s="350" t="s">
        <v>818</v>
      </c>
      <c r="C32" s="3495">
        <f>Table3.A!C32</f>
        <v>13.398999999999999</v>
      </c>
      <c r="D32" s="3307">
        <v>39.5</v>
      </c>
      <c r="E32" s="3494" t="str">
        <f>'Table3.B(a)'!G32</f>
        <v>NA</v>
      </c>
      <c r="F32" s="3479" t="s">
        <v>2146</v>
      </c>
      <c r="G32" s="3479" t="s">
        <v>2146</v>
      </c>
      <c r="H32" s="3479" t="s">
        <v>2146</v>
      </c>
      <c r="I32" s="3479" t="s">
        <v>2146</v>
      </c>
      <c r="J32" s="3479" t="s">
        <v>2146</v>
      </c>
      <c r="K32" s="3479" t="s">
        <v>2146</v>
      </c>
      <c r="L32" s="3479" t="s">
        <v>2146</v>
      </c>
      <c r="M32" s="3479">
        <v>529260.5</v>
      </c>
      <c r="N32" s="3479" t="s">
        <v>2146</v>
      </c>
      <c r="O32" s="3479" t="s">
        <v>2146</v>
      </c>
      <c r="P32" s="3479" t="s">
        <v>2146</v>
      </c>
      <c r="Q32" s="3479" t="s">
        <v>2146</v>
      </c>
      <c r="R32" s="3482">
        <f t="shared" si="8"/>
        <v>529260.5</v>
      </c>
      <c r="S32" s="2657"/>
      <c r="T32" s="2658"/>
      <c r="U32" s="3456" t="str">
        <f>IF(SUM(X32)=0,"NA",X32*1000/C32)</f>
        <v>NA</v>
      </c>
      <c r="V32" s="3454"/>
      <c r="W32" s="3455"/>
      <c r="X32" s="3315" t="s">
        <v>2147</v>
      </c>
      <c r="Y32" s="3173"/>
      <c r="Z32" s="3457"/>
    </row>
    <row r="33" spans="2:26" ht="18" customHeight="1" x14ac:dyDescent="0.25">
      <c r="B33" s="350" t="s">
        <v>819</v>
      </c>
      <c r="C33" s="3495">
        <f>Table3.A!C33</f>
        <v>0.68400000000000005</v>
      </c>
      <c r="D33" s="3307">
        <v>39.5</v>
      </c>
      <c r="E33" s="3494" t="str">
        <f>'Table3.B(a)'!G33</f>
        <v>NA</v>
      </c>
      <c r="F33" s="3479" t="s">
        <v>2146</v>
      </c>
      <c r="G33" s="3479" t="s">
        <v>2146</v>
      </c>
      <c r="H33" s="3479" t="s">
        <v>2146</v>
      </c>
      <c r="I33" s="3479" t="s">
        <v>2146</v>
      </c>
      <c r="J33" s="3479" t="s">
        <v>2146</v>
      </c>
      <c r="K33" s="3479" t="s">
        <v>2146</v>
      </c>
      <c r="L33" s="3479" t="s">
        <v>2146</v>
      </c>
      <c r="M33" s="3479">
        <v>27011.995999999999</v>
      </c>
      <c r="N33" s="3479" t="s">
        <v>2146</v>
      </c>
      <c r="O33" s="3479" t="s">
        <v>2146</v>
      </c>
      <c r="P33" s="3479" t="s">
        <v>2146</v>
      </c>
      <c r="Q33" s="3479" t="s">
        <v>2146</v>
      </c>
      <c r="R33" s="3482">
        <f t="shared" si="8"/>
        <v>27011.995999999999</v>
      </c>
      <c r="S33" s="2657"/>
      <c r="T33" s="2658"/>
      <c r="U33" s="3456" t="str">
        <f t="shared" ref="U33:U45" si="26">IF(SUM(X33)=0,"NA",X33*1000/C33)</f>
        <v>NA</v>
      </c>
      <c r="V33" s="3454"/>
      <c r="W33" s="3455"/>
      <c r="X33" s="3315" t="s">
        <v>2147</v>
      </c>
      <c r="Y33" s="3173"/>
      <c r="Z33" s="3457"/>
    </row>
    <row r="34" spans="2:26" ht="18" customHeight="1" x14ac:dyDescent="0.25">
      <c r="B34" s="350" t="s">
        <v>820</v>
      </c>
      <c r="C34" s="3495">
        <f>Table3.A!C34</f>
        <v>61.372</v>
      </c>
      <c r="D34" s="3307">
        <v>13.2</v>
      </c>
      <c r="E34" s="3494" t="str">
        <f>'Table3.B(a)'!G34</f>
        <v>NA</v>
      </c>
      <c r="F34" s="3479" t="s">
        <v>2146</v>
      </c>
      <c r="G34" s="3479" t="s">
        <v>2146</v>
      </c>
      <c r="H34" s="3479" t="s">
        <v>2146</v>
      </c>
      <c r="I34" s="3479" t="s">
        <v>2146</v>
      </c>
      <c r="J34" s="3479" t="s">
        <v>2146</v>
      </c>
      <c r="K34" s="3479" t="s">
        <v>2146</v>
      </c>
      <c r="L34" s="3479" t="s">
        <v>2146</v>
      </c>
      <c r="M34" s="3479">
        <v>810106.58519999997</v>
      </c>
      <c r="N34" s="3479" t="s">
        <v>2146</v>
      </c>
      <c r="O34" s="3479" t="s">
        <v>2146</v>
      </c>
      <c r="P34" s="3479" t="s">
        <v>2146</v>
      </c>
      <c r="Q34" s="3479" t="s">
        <v>2146</v>
      </c>
      <c r="R34" s="3482">
        <f t="shared" si="8"/>
        <v>810106.58519999997</v>
      </c>
      <c r="S34" s="2657"/>
      <c r="T34" s="2658"/>
      <c r="U34" s="3456" t="str">
        <f t="shared" si="26"/>
        <v>NA</v>
      </c>
      <c r="V34" s="3454"/>
      <c r="W34" s="3455"/>
      <c r="X34" s="3315" t="s">
        <v>2147</v>
      </c>
      <c r="Y34" s="3173"/>
      <c r="Z34" s="3457"/>
    </row>
    <row r="35" spans="2:26" ht="18" customHeight="1" x14ac:dyDescent="0.25">
      <c r="B35" s="350" t="s">
        <v>821</v>
      </c>
      <c r="C35" s="3495">
        <f>Table3.A!C35</f>
        <v>660.6</v>
      </c>
      <c r="D35" s="3307">
        <v>7</v>
      </c>
      <c r="E35" s="3494" t="str">
        <f>'Table3.B(a)'!G35</f>
        <v>NA</v>
      </c>
      <c r="F35" s="3479" t="s">
        <v>2146</v>
      </c>
      <c r="G35" s="3479" t="s">
        <v>2146</v>
      </c>
      <c r="H35" s="3479" t="s">
        <v>2146</v>
      </c>
      <c r="I35" s="3479" t="s">
        <v>2146</v>
      </c>
      <c r="J35" s="3479" t="s">
        <v>2146</v>
      </c>
      <c r="K35" s="3479" t="s">
        <v>2146</v>
      </c>
      <c r="L35" s="3479" t="s">
        <v>2146</v>
      </c>
      <c r="M35" s="3479">
        <v>4624202.0439999998</v>
      </c>
      <c r="N35" s="3479" t="s">
        <v>2146</v>
      </c>
      <c r="O35" s="3479" t="s">
        <v>2146</v>
      </c>
      <c r="P35" s="3479" t="s">
        <v>2146</v>
      </c>
      <c r="Q35" s="3479" t="s">
        <v>2146</v>
      </c>
      <c r="R35" s="3482">
        <f t="shared" si="8"/>
        <v>4624202.0439999998</v>
      </c>
      <c r="S35" s="2657"/>
      <c r="T35" s="2658"/>
      <c r="U35" s="3456" t="str">
        <f t="shared" si="26"/>
        <v>NA</v>
      </c>
      <c r="V35" s="3454"/>
      <c r="W35" s="3455"/>
      <c r="X35" s="3315" t="s">
        <v>2147</v>
      </c>
      <c r="Y35" s="3173"/>
      <c r="Z35" s="3457"/>
    </row>
    <row r="36" spans="2:26" ht="18" customHeight="1" x14ac:dyDescent="0.25">
      <c r="B36" s="350" t="s">
        <v>822</v>
      </c>
      <c r="C36" s="3495">
        <f>Table3.A!C36</f>
        <v>359.27</v>
      </c>
      <c r="D36" s="3307">
        <v>39.5</v>
      </c>
      <c r="E36" s="3494" t="str">
        <f>'Table3.B(a)'!G36</f>
        <v>NA</v>
      </c>
      <c r="F36" s="3479" t="s">
        <v>2146</v>
      </c>
      <c r="G36" s="3479" t="s">
        <v>2146</v>
      </c>
      <c r="H36" s="3479" t="s">
        <v>2146</v>
      </c>
      <c r="I36" s="3479" t="s">
        <v>2146</v>
      </c>
      <c r="J36" s="3479" t="s">
        <v>2146</v>
      </c>
      <c r="K36" s="3479" t="s">
        <v>2146</v>
      </c>
      <c r="L36" s="3479" t="s">
        <v>2146</v>
      </c>
      <c r="M36" s="3479">
        <v>14191161.7215</v>
      </c>
      <c r="N36" s="3479" t="s">
        <v>2146</v>
      </c>
      <c r="O36" s="3479" t="s">
        <v>2146</v>
      </c>
      <c r="P36" s="3479" t="s">
        <v>2146</v>
      </c>
      <c r="Q36" s="3479" t="s">
        <v>2146</v>
      </c>
      <c r="R36" s="3482">
        <f t="shared" si="8"/>
        <v>14191161.7215</v>
      </c>
      <c r="S36" s="2657"/>
      <c r="T36" s="2658"/>
      <c r="U36" s="3456" t="str">
        <f t="shared" si="26"/>
        <v>NA</v>
      </c>
      <c r="V36" s="3454"/>
      <c r="W36" s="3455"/>
      <c r="X36" s="3315" t="s">
        <v>2147</v>
      </c>
      <c r="Y36" s="3173"/>
      <c r="Z36" s="3457"/>
    </row>
    <row r="37" spans="2:26" ht="18" customHeight="1" x14ac:dyDescent="0.25">
      <c r="B37" s="350" t="s">
        <v>862</v>
      </c>
      <c r="C37" s="3495">
        <f>Table3.A!C37</f>
        <v>2.734</v>
      </c>
      <c r="D37" s="3307">
        <v>13.2</v>
      </c>
      <c r="E37" s="3494" t="str">
        <f>'Table3.B(a)'!G37</f>
        <v>NA</v>
      </c>
      <c r="F37" s="3479" t="s">
        <v>2146</v>
      </c>
      <c r="G37" s="3479" t="s">
        <v>2146</v>
      </c>
      <c r="H37" s="3479" t="s">
        <v>2146</v>
      </c>
      <c r="I37" s="3479" t="s">
        <v>2146</v>
      </c>
      <c r="J37" s="3479" t="s">
        <v>2146</v>
      </c>
      <c r="K37" s="3479" t="s">
        <v>2146</v>
      </c>
      <c r="L37" s="3479" t="s">
        <v>2146</v>
      </c>
      <c r="M37" s="3479">
        <v>36089.565599999994</v>
      </c>
      <c r="N37" s="3479" t="s">
        <v>2146</v>
      </c>
      <c r="O37" s="3479" t="s">
        <v>2146</v>
      </c>
      <c r="P37" s="3479" t="s">
        <v>2146</v>
      </c>
      <c r="Q37" s="3479" t="s">
        <v>2146</v>
      </c>
      <c r="R37" s="3482">
        <f t="shared" si="8"/>
        <v>36089.565599999994</v>
      </c>
      <c r="S37" s="2657"/>
      <c r="T37" s="2658"/>
      <c r="U37" s="3456" t="str">
        <f t="shared" si="26"/>
        <v>NA</v>
      </c>
      <c r="V37" s="3454"/>
      <c r="W37" s="3455"/>
      <c r="X37" s="3315" t="s">
        <v>2147</v>
      </c>
      <c r="Y37" s="3173"/>
      <c r="Z37" s="3457"/>
    </row>
    <row r="38" spans="2:26" ht="18" customHeight="1" x14ac:dyDescent="0.25">
      <c r="B38" s="350" t="s">
        <v>824</v>
      </c>
      <c r="C38" s="3495">
        <f>Table3.A!C38</f>
        <v>42770.044000000002</v>
      </c>
      <c r="D38" s="3307">
        <v>0.65532894540425002</v>
      </c>
      <c r="E38" s="3494" t="str">
        <f>'Table3.B(a)'!G38</f>
        <v>NA</v>
      </c>
      <c r="F38" s="3479" t="s">
        <v>2146</v>
      </c>
      <c r="G38" s="3479" t="s">
        <v>2146</v>
      </c>
      <c r="H38" s="3479" t="s">
        <v>2146</v>
      </c>
      <c r="I38" s="3479">
        <v>10264117.447521361</v>
      </c>
      <c r="J38" s="3479" t="s">
        <v>2153</v>
      </c>
      <c r="K38" s="3479" t="s">
        <v>2153</v>
      </c>
      <c r="L38" s="3479" t="s">
        <v>2153</v>
      </c>
      <c r="M38" s="3479">
        <v>51185.233327617301</v>
      </c>
      <c r="N38" s="3479">
        <v>4098132.7789137401</v>
      </c>
      <c r="O38" s="3479">
        <v>76487.712844551104</v>
      </c>
      <c r="P38" s="3479" t="s">
        <v>2146</v>
      </c>
      <c r="Q38" s="3479">
        <v>27977262.8478356</v>
      </c>
      <c r="R38" s="3482">
        <f t="shared" si="8"/>
        <v>42467186.020442873</v>
      </c>
      <c r="S38" s="2657"/>
      <c r="T38" s="2658"/>
      <c r="U38" s="3456">
        <f t="shared" si="26"/>
        <v>4.4192177277174163E-3</v>
      </c>
      <c r="V38" s="3454"/>
      <c r="W38" s="3455"/>
      <c r="X38" s="3315">
        <v>0.18901013666005392</v>
      </c>
      <c r="Y38" s="3173"/>
      <c r="Z38" s="3457"/>
    </row>
    <row r="39" spans="2:26" ht="18" customHeight="1" x14ac:dyDescent="0.25">
      <c r="B39" s="350" t="s">
        <v>825</v>
      </c>
      <c r="C39" s="3314">
        <f>IF(SUM(C40:C44)=0,"NO",SUM(C40:C44))</f>
        <v>4.3890000000000002</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30723</v>
      </c>
      <c r="N39" s="2649" t="str">
        <f t="shared" si="27"/>
        <v>NO</v>
      </c>
      <c r="O39" s="2649" t="str">
        <f t="shared" si="27"/>
        <v>NO</v>
      </c>
      <c r="P39" s="2649" t="str">
        <f t="shared" si="27"/>
        <v>NO</v>
      </c>
      <c r="Q39" s="2649" t="str">
        <f t="shared" si="27"/>
        <v>NO</v>
      </c>
      <c r="R39" s="3482">
        <f t="shared" si="8"/>
        <v>30723</v>
      </c>
      <c r="S39" s="2657"/>
      <c r="T39" s="2658"/>
      <c r="U39" s="3456" t="str">
        <f t="shared" si="26"/>
        <v>NA</v>
      </c>
      <c r="V39" s="3454"/>
      <c r="W39" s="3455"/>
      <c r="X39" s="3314" t="str">
        <f>IF(SUM(X40:X44)=0,"NO",SUM(X40:X44))</f>
        <v>NO</v>
      </c>
      <c r="Y39" s="3173"/>
      <c r="Z39" s="3457"/>
    </row>
    <row r="40" spans="2:26" ht="18" customHeight="1" x14ac:dyDescent="0.25">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5">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5">
      <c r="B42" s="352" t="s">
        <v>828</v>
      </c>
      <c r="C42" s="3495">
        <f>Table3.A!C42</f>
        <v>4.0590000000000002</v>
      </c>
      <c r="D42" s="3307">
        <v>7</v>
      </c>
      <c r="E42" s="3494" t="str">
        <f>'Table3.B(a)'!G42</f>
        <v>NA</v>
      </c>
      <c r="F42" s="3479" t="s">
        <v>2146</v>
      </c>
      <c r="G42" s="3479" t="s">
        <v>2146</v>
      </c>
      <c r="H42" s="3479" t="s">
        <v>2146</v>
      </c>
      <c r="I42" s="3479" t="s">
        <v>2146</v>
      </c>
      <c r="J42" s="3479" t="s">
        <v>2146</v>
      </c>
      <c r="K42" s="3479" t="s">
        <v>2146</v>
      </c>
      <c r="L42" s="3479" t="s">
        <v>2146</v>
      </c>
      <c r="M42" s="3479">
        <v>28413</v>
      </c>
      <c r="N42" s="3479" t="s">
        <v>2146</v>
      </c>
      <c r="O42" s="3479" t="s">
        <v>2146</v>
      </c>
      <c r="P42" s="3479" t="s">
        <v>2146</v>
      </c>
      <c r="Q42" s="3479" t="s">
        <v>2146</v>
      </c>
      <c r="R42" s="3482">
        <f t="shared" si="8"/>
        <v>28413</v>
      </c>
      <c r="S42" s="2657"/>
      <c r="T42" s="2658"/>
      <c r="U42" s="3456" t="str">
        <f t="shared" si="26"/>
        <v>NA</v>
      </c>
      <c r="V42" s="3454"/>
      <c r="W42" s="3455"/>
      <c r="X42" s="3315" t="s">
        <v>2147</v>
      </c>
      <c r="Y42" s="3173"/>
      <c r="Z42" s="3457"/>
    </row>
    <row r="43" spans="2:26" ht="18" customHeight="1" x14ac:dyDescent="0.25">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5">
      <c r="B44" s="353" t="s">
        <v>2091</v>
      </c>
      <c r="C44" s="3314">
        <f>C45</f>
        <v>0.33</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2310</v>
      </c>
      <c r="N44" s="2649" t="str">
        <f t="shared" si="28"/>
        <v>NO</v>
      </c>
      <c r="O44" s="2649" t="str">
        <f t="shared" si="28"/>
        <v>NO</v>
      </c>
      <c r="P44" s="2649" t="str">
        <f t="shared" si="28"/>
        <v>NO</v>
      </c>
      <c r="Q44" s="2649" t="str">
        <f t="shared" si="28"/>
        <v>NO</v>
      </c>
      <c r="R44" s="3482">
        <f t="shared" si="8"/>
        <v>2310</v>
      </c>
      <c r="S44" s="2657"/>
      <c r="T44" s="2658"/>
      <c r="U44" s="3456" t="str">
        <f t="shared" si="26"/>
        <v>NA</v>
      </c>
      <c r="V44" s="3454"/>
      <c r="W44" s="3455"/>
      <c r="X44" s="3314" t="str">
        <f>X45</f>
        <v>NA</v>
      </c>
      <c r="Y44" s="3173"/>
      <c r="Z44" s="3457"/>
    </row>
    <row r="45" spans="2:26" ht="18" customHeight="1" x14ac:dyDescent="0.25">
      <c r="B45" s="2646" t="s">
        <v>2199</v>
      </c>
      <c r="C45" s="3495">
        <f>Table3.A!C45</f>
        <v>0.33</v>
      </c>
      <c r="D45" s="3307">
        <v>7</v>
      </c>
      <c r="E45" s="3494" t="str">
        <f>'Table3.B(a)'!G45</f>
        <v>NA</v>
      </c>
      <c r="F45" s="3479" t="s">
        <v>2146</v>
      </c>
      <c r="G45" s="3479" t="s">
        <v>2146</v>
      </c>
      <c r="H45" s="3479" t="s">
        <v>2146</v>
      </c>
      <c r="I45" s="3479" t="s">
        <v>2146</v>
      </c>
      <c r="J45" s="3479" t="s">
        <v>2146</v>
      </c>
      <c r="K45" s="3479" t="s">
        <v>2146</v>
      </c>
      <c r="L45" s="3479" t="s">
        <v>2146</v>
      </c>
      <c r="M45" s="3479">
        <v>2310</v>
      </c>
      <c r="N45" s="3479" t="s">
        <v>2146</v>
      </c>
      <c r="O45" s="3479" t="s">
        <v>2146</v>
      </c>
      <c r="P45" s="3479" t="s">
        <v>2146</v>
      </c>
      <c r="Q45" s="3479" t="s">
        <v>2146</v>
      </c>
      <c r="R45" s="3482">
        <f t="shared" si="8"/>
        <v>2310</v>
      </c>
      <c r="S45" s="2662"/>
      <c r="T45" s="2663"/>
      <c r="U45" s="3456" t="str">
        <f t="shared" si="26"/>
        <v>NA</v>
      </c>
      <c r="V45" s="3462"/>
      <c r="W45" s="3463"/>
      <c r="X45" s="3315" t="s">
        <v>2147</v>
      </c>
      <c r="Y45" s="3464"/>
      <c r="Z45" s="3465"/>
    </row>
    <row r="46" spans="2:26" s="959" customFormat="1" ht="18" customHeight="1" thickBot="1" x14ac:dyDescent="0.4">
      <c r="B46" s="356" t="s">
        <v>708</v>
      </c>
      <c r="C46" s="42"/>
      <c r="D46" s="42"/>
      <c r="E46" s="42"/>
      <c r="F46" s="2664"/>
      <c r="G46" s="2664"/>
      <c r="H46" s="2664"/>
      <c r="I46" s="2664"/>
      <c r="J46" s="2664"/>
      <c r="K46" s="2664"/>
      <c r="L46" s="2664"/>
      <c r="M46" s="42"/>
      <c r="N46" s="2665"/>
      <c r="O46" s="2665"/>
      <c r="P46" s="42"/>
      <c r="Q46" s="2665"/>
      <c r="R46" s="357"/>
      <c r="S46" s="3446">
        <v>59150974.441188402</v>
      </c>
      <c r="T46" s="3447">
        <v>165761.56733123699</v>
      </c>
      <c r="U46" s="3466"/>
      <c r="V46" s="3467">
        <f>IF(SUM(S46)=0,"NA",Y46*1000000/S46)</f>
        <v>3.5123237177185716E-3</v>
      </c>
      <c r="W46" s="3468">
        <f>IF(SUM(T46)=0,"NA",Z46*1000000/T46)</f>
        <v>1.7285714285714297E-2</v>
      </c>
      <c r="X46" s="3316"/>
      <c r="Y46" s="3320">
        <v>0.20775737045595105</v>
      </c>
      <c r="Z46" s="3321">
        <v>2.8653070924399555E-3</v>
      </c>
    </row>
    <row r="47" spans="2:26" ht="18" customHeight="1" x14ac:dyDescent="0.25">
      <c r="B47" s="358" t="s">
        <v>863</v>
      </c>
      <c r="C47" s="359"/>
      <c r="D47" s="359"/>
      <c r="E47" s="359"/>
      <c r="F47" s="3485">
        <f>IF(SUM(F30,F27,F24,F10)=0,"NO",SUM(F30,F27,F24,F10))</f>
        <v>50098348.54249198</v>
      </c>
      <c r="G47" s="3485" t="str">
        <f t="shared" ref="G47:Q47" si="29">IF(SUM(G30,G27,G24,G10)=0,"NO",SUM(G30,G27,G24,G10))</f>
        <v>NO</v>
      </c>
      <c r="H47" s="3485">
        <f t="shared" si="29"/>
        <v>17437411.910971101</v>
      </c>
      <c r="I47" s="3485">
        <f t="shared" si="29"/>
        <v>13444796.18948306</v>
      </c>
      <c r="J47" s="3485" t="str">
        <f t="shared" si="29"/>
        <v>NO</v>
      </c>
      <c r="K47" s="3485">
        <f t="shared" si="29"/>
        <v>36631480.362251848</v>
      </c>
      <c r="L47" s="3485" t="str">
        <f t="shared" si="29"/>
        <v>NO</v>
      </c>
      <c r="M47" s="3409"/>
      <c r="N47" s="3485">
        <f t="shared" si="29"/>
        <v>4098132.7789137401</v>
      </c>
      <c r="O47" s="3485">
        <f t="shared" si="29"/>
        <v>242337.78095322312</v>
      </c>
      <c r="P47" s="3409"/>
      <c r="Q47" s="3485">
        <f t="shared" si="29"/>
        <v>29226584.774968721</v>
      </c>
      <c r="R47" s="359"/>
      <c r="S47" s="359"/>
      <c r="T47" s="360"/>
      <c r="U47" s="3317"/>
      <c r="V47" s="3469"/>
      <c r="W47" s="3470"/>
      <c r="X47" s="3317"/>
      <c r="Y47" s="3469"/>
      <c r="Z47" s="3470"/>
    </row>
    <row r="48" spans="2:26" ht="18" customHeight="1" thickBot="1" x14ac:dyDescent="0.3">
      <c r="B48" s="361" t="s">
        <v>864</v>
      </c>
      <c r="C48" s="357"/>
      <c r="D48" s="357"/>
      <c r="E48" s="357"/>
      <c r="F48" s="3486" t="str">
        <f>IF(SUM(F49)=0,"NA",F49*1000000/F47)</f>
        <v>NA</v>
      </c>
      <c r="G48" s="3486" t="str">
        <f t="shared" ref="G48:Q48" si="30">IF(SUM(G49)=0,"NA",G49*1000000/G47)</f>
        <v>NA</v>
      </c>
      <c r="H48" s="3486" t="str">
        <f t="shared" si="30"/>
        <v>NA</v>
      </c>
      <c r="I48" s="3486">
        <f t="shared" si="30"/>
        <v>3.2700483816751794E-2</v>
      </c>
      <c r="J48" s="3486" t="str">
        <f t="shared" si="30"/>
        <v>NA</v>
      </c>
      <c r="K48" s="3486" t="str">
        <f t="shared" si="30"/>
        <v>NA</v>
      </c>
      <c r="L48" s="3486" t="str">
        <f t="shared" si="30"/>
        <v>NA</v>
      </c>
      <c r="M48" s="87"/>
      <c r="N48" s="3486">
        <f t="shared" si="30"/>
        <v>1.5714285714285663E-2</v>
      </c>
      <c r="O48" s="3486" t="str">
        <f t="shared" si="30"/>
        <v>NA</v>
      </c>
      <c r="P48" s="87"/>
      <c r="Q48" s="3486">
        <f t="shared" si="30"/>
        <v>1.8302220290381927E-3</v>
      </c>
      <c r="R48" s="357"/>
      <c r="S48" s="357"/>
      <c r="T48" s="57"/>
      <c r="U48" s="3318"/>
      <c r="V48" s="3471"/>
      <c r="W48" s="3472"/>
      <c r="X48" s="3318"/>
      <c r="Y48" s="3471"/>
      <c r="Z48" s="3472"/>
    </row>
    <row r="49" spans="2:26" ht="18" customHeight="1" thickBot="1" x14ac:dyDescent="0.3">
      <c r="B49" s="1311" t="s">
        <v>865</v>
      </c>
      <c r="C49" s="1312"/>
      <c r="D49" s="1312"/>
      <c r="E49" s="1312"/>
      <c r="F49" s="3487" t="s">
        <v>2147</v>
      </c>
      <c r="G49" s="3487" t="s">
        <v>2146</v>
      </c>
      <c r="H49" s="3487" t="s">
        <v>2147</v>
      </c>
      <c r="I49" s="3487">
        <v>0.43965134021371693</v>
      </c>
      <c r="J49" s="3487" t="s">
        <v>2153</v>
      </c>
      <c r="K49" s="3487" t="s">
        <v>2153</v>
      </c>
      <c r="L49" s="3487" t="s">
        <v>2153</v>
      </c>
      <c r="M49" s="3474"/>
      <c r="N49" s="3488">
        <v>6.4399229382929996E-2</v>
      </c>
      <c r="O49" s="3488" t="s">
        <v>2147</v>
      </c>
      <c r="P49" s="3474"/>
      <c r="Q49" s="3488">
        <v>5.3491139288700001E-2</v>
      </c>
      <c r="R49" s="1312"/>
      <c r="S49" s="1313"/>
      <c r="T49" s="1314"/>
      <c r="U49" s="3473">
        <f>X49*1000/SUM(C10,C24,C27,C30)</f>
        <v>2.2743928781303506E-3</v>
      </c>
      <c r="V49" s="3474"/>
      <c r="W49" s="3475"/>
      <c r="X49" s="3319">
        <f>SUM(X10,X24,X27,X30)</f>
        <v>0.55754170888534682</v>
      </c>
      <c r="Y49" s="3476"/>
      <c r="Z49" s="3477"/>
    </row>
    <row r="50" spans="2:26" x14ac:dyDescent="0.25">
      <c r="B50"/>
      <c r="C50"/>
      <c r="D50"/>
      <c r="E50"/>
      <c r="F50"/>
      <c r="G50"/>
      <c r="H50"/>
      <c r="I50"/>
      <c r="J50"/>
      <c r="K50"/>
      <c r="L50"/>
      <c r="M50"/>
      <c r="N50"/>
      <c r="O50"/>
      <c r="P50"/>
      <c r="Q50"/>
      <c r="R50"/>
      <c r="S50"/>
      <c r="T50"/>
      <c r="U50"/>
      <c r="V50"/>
      <c r="W50"/>
      <c r="X50"/>
      <c r="Y50"/>
    </row>
    <row r="51" spans="2:26" ht="14.4" x14ac:dyDescent="0.25">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4.4" x14ac:dyDescent="0.25">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0.399999999999999" x14ac:dyDescent="0.35">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4.4" x14ac:dyDescent="0.25">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4.4" x14ac:dyDescent="0.25">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4.4" x14ac:dyDescent="0.25">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4.4" x14ac:dyDescent="0.25">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4.4" x14ac:dyDescent="0.25">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5" thickBot="1" x14ac:dyDescent="0.3">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5">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5">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5">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5">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5">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5">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5">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8" thickBot="1" x14ac:dyDescent="0.3">
      <c r="B67" s="4464" t="s">
        <v>2208</v>
      </c>
      <c r="C67" s="4465"/>
      <c r="D67" s="4465"/>
      <c r="E67" s="4465"/>
      <c r="F67" s="4465"/>
      <c r="G67" s="4465"/>
      <c r="H67" s="4465"/>
      <c r="I67" s="4465"/>
      <c r="J67" s="4465"/>
      <c r="K67" s="4465"/>
      <c r="L67" s="4465"/>
      <c r="M67" s="4465"/>
      <c r="N67" s="4465"/>
      <c r="O67" s="4465"/>
      <c r="P67" s="4465"/>
      <c r="Q67" s="4465"/>
      <c r="R67" s="4465"/>
      <c r="S67" s="4465"/>
      <c r="T67" s="4465"/>
      <c r="U67" s="4465"/>
      <c r="V67" s="4465"/>
      <c r="W67" s="4465"/>
      <c r="X67" s="4465"/>
      <c r="Y67" s="4465"/>
      <c r="Z67" s="4466"/>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09375" defaultRowHeight="12" customHeight="1" x14ac:dyDescent="0.25"/>
  <cols>
    <col min="1" max="1" width="1.88671875" style="83" customWidth="1"/>
    <col min="2" max="2" width="30.5546875" style="83" customWidth="1"/>
    <col min="3" max="3" width="20.5546875" style="83" customWidth="1"/>
    <col min="4" max="5" width="13.5546875" style="83" customWidth="1"/>
    <col min="6" max="7" width="20.5546875" style="83" customWidth="1"/>
    <col min="8" max="16384" width="9.109375" style="83"/>
  </cols>
  <sheetData>
    <row r="1" spans="1:9" ht="15.75" customHeight="1" x14ac:dyDescent="0.25">
      <c r="B1" s="3" t="s">
        <v>866</v>
      </c>
      <c r="G1" s="14" t="s">
        <v>2521</v>
      </c>
    </row>
    <row r="2" spans="1:9" ht="15.75" customHeight="1" x14ac:dyDescent="0.25">
      <c r="B2" s="3" t="s">
        <v>867</v>
      </c>
      <c r="G2" s="14" t="s">
        <v>2522</v>
      </c>
    </row>
    <row r="3" spans="1:9" ht="15.75" customHeight="1" x14ac:dyDescent="0.25">
      <c r="B3" s="3" t="s">
        <v>62</v>
      </c>
      <c r="G3" s="14" t="s">
        <v>2144</v>
      </c>
    </row>
    <row r="4" spans="1:9" ht="12" hidden="1" customHeight="1" x14ac:dyDescent="0.25">
      <c r="A4" s="457"/>
      <c r="B4" s="3"/>
      <c r="G4" s="226"/>
    </row>
    <row r="5" spans="1:9" ht="12" hidden="1" customHeight="1" x14ac:dyDescent="0.25">
      <c r="A5" s="457"/>
      <c r="B5" s="3"/>
      <c r="G5" s="226"/>
    </row>
    <row r="6" spans="1:9" ht="12" customHeight="1" thickBot="1" x14ac:dyDescent="0.3">
      <c r="B6" s="2446" t="s">
        <v>64</v>
      </c>
    </row>
    <row r="7" spans="1:9" ht="37.200000000000003" x14ac:dyDescent="0.25">
      <c r="B7" s="1810" t="s">
        <v>326</v>
      </c>
      <c r="C7" s="823" t="s">
        <v>727</v>
      </c>
      <c r="D7" s="823"/>
      <c r="E7" s="1096"/>
      <c r="F7" s="2302" t="s">
        <v>868</v>
      </c>
      <c r="G7" s="203" t="s">
        <v>124</v>
      </c>
    </row>
    <row r="8" spans="1:9" ht="14.4" x14ac:dyDescent="0.25">
      <c r="B8" s="432" t="s">
        <v>328</v>
      </c>
      <c r="C8" s="1811" t="s">
        <v>869</v>
      </c>
      <c r="D8" s="335" t="s">
        <v>870</v>
      </c>
      <c r="E8" s="331"/>
      <c r="F8" s="2303" t="s">
        <v>330</v>
      </c>
      <c r="G8" s="2300" t="s">
        <v>330</v>
      </c>
    </row>
    <row r="9" spans="1:9" ht="13.8" thickBot="1" x14ac:dyDescent="0.3">
      <c r="B9" s="1812"/>
      <c r="C9" s="1619" t="s">
        <v>871</v>
      </c>
      <c r="D9" s="1813" t="s">
        <v>872</v>
      </c>
      <c r="E9" s="1814" t="s">
        <v>873</v>
      </c>
      <c r="F9" s="402" t="s">
        <v>874</v>
      </c>
      <c r="G9" s="2301" t="s">
        <v>73</v>
      </c>
    </row>
    <row r="10" spans="1:9" ht="18" customHeight="1" thickTop="1" x14ac:dyDescent="0.25">
      <c r="B10" s="1620" t="s">
        <v>875</v>
      </c>
      <c r="C10" s="376"/>
      <c r="D10" s="134"/>
      <c r="E10" s="377"/>
      <c r="F10" s="2304"/>
      <c r="G10" s="3164">
        <f>IF(SUM(G11:G12)=0,"NO",SUM(G11:G12))</f>
        <v>19.024842145513141</v>
      </c>
    </row>
    <row r="11" spans="1:9" ht="18" customHeight="1" x14ac:dyDescent="0.25">
      <c r="B11" s="439" t="s">
        <v>876</v>
      </c>
      <c r="C11" s="4147">
        <v>1.1972839613287101</v>
      </c>
      <c r="D11" s="243" t="s">
        <v>2146</v>
      </c>
      <c r="E11" s="283" t="s">
        <v>2146</v>
      </c>
      <c r="F11" s="2305">
        <f>IF(SUM(C11)=0,"NA",G11/C11)</f>
        <v>15.889999999999947</v>
      </c>
      <c r="G11" s="3093">
        <v>19.024842145513141</v>
      </c>
    </row>
    <row r="12" spans="1:9" ht="18" customHeight="1" x14ac:dyDescent="0.25">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5">
      <c r="B13" s="1621" t="s">
        <v>878</v>
      </c>
      <c r="C13" s="378" t="s">
        <v>2146</v>
      </c>
      <c r="D13" s="243" t="s">
        <v>2146</v>
      </c>
      <c r="E13" s="283" t="s">
        <v>2146</v>
      </c>
      <c r="F13" s="2306" t="str">
        <f t="shared" si="0"/>
        <v>NA</v>
      </c>
      <c r="G13" s="2166" t="s">
        <v>2146</v>
      </c>
      <c r="I13" s="379"/>
    </row>
    <row r="14" spans="1:9" ht="18" customHeight="1" thickBot="1" x14ac:dyDescent="0.3">
      <c r="B14" s="1622" t="s">
        <v>879</v>
      </c>
      <c r="C14" s="378" t="s">
        <v>2146</v>
      </c>
      <c r="D14" s="243" t="s">
        <v>2146</v>
      </c>
      <c r="E14" s="283" t="s">
        <v>2146</v>
      </c>
      <c r="F14" s="2307" t="str">
        <f t="shared" si="0"/>
        <v>NA</v>
      </c>
      <c r="G14" s="2169" t="s">
        <v>2146</v>
      </c>
    </row>
    <row r="15" spans="1:9" ht="18" customHeight="1" x14ac:dyDescent="0.25">
      <c r="B15" s="1623" t="s">
        <v>880</v>
      </c>
      <c r="C15" s="380"/>
      <c r="D15" s="381"/>
      <c r="E15" s="382"/>
      <c r="F15" s="2308"/>
      <c r="G15" s="2171" t="str">
        <f>IF(SUM(G16:G17)=0,"NO",SUM(G16:G17))</f>
        <v>NO</v>
      </c>
    </row>
    <row r="16" spans="1:9" ht="18" customHeight="1" x14ac:dyDescent="0.25">
      <c r="B16" s="439" t="s">
        <v>881</v>
      </c>
      <c r="C16" s="378" t="s">
        <v>2146</v>
      </c>
      <c r="D16" s="243" t="s">
        <v>2146</v>
      </c>
      <c r="E16" s="283" t="s">
        <v>2146</v>
      </c>
      <c r="F16" s="2306" t="str">
        <f t="shared" si="0"/>
        <v>NA</v>
      </c>
      <c r="G16" s="2166" t="s">
        <v>2146</v>
      </c>
    </row>
    <row r="17" spans="2:7" ht="18" customHeight="1" thickBot="1" x14ac:dyDescent="0.3">
      <c r="B17" s="1624" t="s">
        <v>882</v>
      </c>
      <c r="C17" s="378" t="s">
        <v>2146</v>
      </c>
      <c r="D17" s="243" t="s">
        <v>2146</v>
      </c>
      <c r="E17" s="283" t="s">
        <v>2146</v>
      </c>
      <c r="F17" s="2307" t="str">
        <f t="shared" si="0"/>
        <v>NA</v>
      </c>
      <c r="G17" s="2169" t="s">
        <v>2146</v>
      </c>
    </row>
    <row r="18" spans="2:7" ht="18" customHeight="1" x14ac:dyDescent="0.25">
      <c r="B18" s="1623" t="s">
        <v>883</v>
      </c>
      <c r="C18" s="380"/>
      <c r="D18" s="381"/>
      <c r="E18" s="382"/>
      <c r="F18" s="2308"/>
      <c r="G18" s="2171" t="str">
        <f>IF(SUM(G19:G20)=0,"NO",SUM(G19:G20))</f>
        <v>NO</v>
      </c>
    </row>
    <row r="19" spans="2:7" ht="18" customHeight="1" x14ac:dyDescent="0.25">
      <c r="B19" s="439" t="s">
        <v>884</v>
      </c>
      <c r="C19" s="378" t="s">
        <v>2146</v>
      </c>
      <c r="D19" s="243" t="s">
        <v>2146</v>
      </c>
      <c r="E19" s="283" t="s">
        <v>2146</v>
      </c>
      <c r="F19" s="2306" t="str">
        <f t="shared" si="0"/>
        <v>NA</v>
      </c>
      <c r="G19" s="2166" t="s">
        <v>2146</v>
      </c>
    </row>
    <row r="20" spans="2:7" ht="18" customHeight="1" thickBot="1" x14ac:dyDescent="0.3">
      <c r="B20" s="1624" t="s">
        <v>885</v>
      </c>
      <c r="C20" s="378" t="s">
        <v>2146</v>
      </c>
      <c r="D20" s="243" t="s">
        <v>2146</v>
      </c>
      <c r="E20" s="283" t="s">
        <v>2146</v>
      </c>
      <c r="F20" s="2307" t="str">
        <f t="shared" si="0"/>
        <v>NA</v>
      </c>
      <c r="G20" s="2169" t="s">
        <v>2146</v>
      </c>
    </row>
    <row r="21" spans="2:7" ht="18" customHeight="1" x14ac:dyDescent="0.25">
      <c r="B21" s="1625" t="s">
        <v>886</v>
      </c>
      <c r="C21" s="380"/>
      <c r="D21" s="381"/>
      <c r="E21" s="382"/>
      <c r="F21" s="2308"/>
      <c r="G21" s="2168" t="str">
        <f>G22</f>
        <v>NO</v>
      </c>
    </row>
    <row r="22" spans="2:7" ht="18" customHeight="1" thickBot="1" x14ac:dyDescent="0.3">
      <c r="B22" s="2666" t="s">
        <v>2147</v>
      </c>
      <c r="C22" s="378" t="s">
        <v>2146</v>
      </c>
      <c r="D22" s="243" t="s">
        <v>2146</v>
      </c>
      <c r="E22" s="283" t="s">
        <v>2146</v>
      </c>
      <c r="F22" s="2307" t="str">
        <f t="shared" si="0"/>
        <v>NA</v>
      </c>
      <c r="G22" s="383" t="s">
        <v>2146</v>
      </c>
    </row>
    <row r="23" spans="2:7" ht="18" customHeight="1" thickBot="1" x14ac:dyDescent="0.3">
      <c r="B23" s="1457"/>
      <c r="C23" s="1458"/>
      <c r="D23" s="1458"/>
      <c r="E23" s="1458"/>
      <c r="F23" s="1458"/>
      <c r="G23" s="1459"/>
    </row>
    <row r="24" spans="2:7" ht="18" customHeight="1" x14ac:dyDescent="0.25">
      <c r="B24" s="1617" t="s">
        <v>887</v>
      </c>
      <c r="C24" s="384" t="s">
        <v>2146</v>
      </c>
      <c r="D24" s="2309"/>
      <c r="E24" s="2310"/>
      <c r="F24" s="2310"/>
      <c r="G24" s="2311"/>
    </row>
    <row r="25" spans="2:7" ht="18" customHeight="1" thickBot="1" x14ac:dyDescent="0.3">
      <c r="B25" s="1618" t="s">
        <v>888</v>
      </c>
      <c r="C25" s="4148">
        <f>C11</f>
        <v>1.1972839613287101</v>
      </c>
      <c r="D25" s="2312"/>
      <c r="E25" s="2313"/>
      <c r="F25" s="2314"/>
      <c r="G25" s="2315"/>
    </row>
    <row r="27" spans="2:7" ht="14.4" x14ac:dyDescent="0.25">
      <c r="B27" s="1077"/>
      <c r="C27" s="1077"/>
      <c r="D27" s="1077"/>
      <c r="E27" s="1077"/>
      <c r="F27" s="1077"/>
    </row>
    <row r="28" spans="2:7" ht="14.4" x14ac:dyDescent="0.25">
      <c r="B28" s="1077"/>
      <c r="C28" s="1077"/>
      <c r="D28" s="1077"/>
      <c r="E28" s="1077"/>
      <c r="F28" s="1077"/>
    </row>
    <row r="29" spans="2:7" ht="14.4" x14ac:dyDescent="0.25">
      <c r="B29" s="1077"/>
      <c r="C29" s="1077"/>
      <c r="D29" s="1077"/>
      <c r="E29" s="1077"/>
      <c r="F29" s="1077"/>
    </row>
    <row r="30" spans="2:7" ht="14.4" x14ac:dyDescent="0.25">
      <c r="B30" s="1077"/>
      <c r="C30" s="1077"/>
      <c r="D30" s="1077"/>
      <c r="E30" s="1077"/>
      <c r="F30" s="1077"/>
    </row>
    <row r="31" spans="2:7" ht="14.4" x14ac:dyDescent="0.25">
      <c r="B31" s="1077"/>
      <c r="C31" s="1077"/>
      <c r="D31" s="1077"/>
      <c r="E31" s="1077"/>
      <c r="F31" s="1077"/>
    </row>
    <row r="32" spans="2:7" ht="14.4" x14ac:dyDescent="0.25">
      <c r="B32" s="312"/>
      <c r="C32" s="312"/>
      <c r="D32" s="312"/>
      <c r="E32" s="312"/>
      <c r="F32" s="312"/>
    </row>
    <row r="33" spans="2:7" ht="15" thickBot="1" x14ac:dyDescent="0.3">
      <c r="B33" s="312"/>
      <c r="C33" s="312"/>
      <c r="D33" s="312"/>
      <c r="E33" s="312"/>
      <c r="F33" s="312"/>
    </row>
    <row r="34" spans="2:7" ht="13.2" x14ac:dyDescent="0.25">
      <c r="B34" s="292" t="s">
        <v>352</v>
      </c>
      <c r="C34" s="293"/>
      <c r="D34" s="293"/>
      <c r="E34" s="293"/>
      <c r="F34" s="293"/>
      <c r="G34" s="294"/>
    </row>
    <row r="35" spans="2:7" ht="13.2" x14ac:dyDescent="0.25">
      <c r="B35" s="295"/>
      <c r="C35" s="296"/>
      <c r="D35" s="296"/>
      <c r="E35" s="296"/>
      <c r="F35" s="296"/>
      <c r="G35" s="297"/>
    </row>
    <row r="36" spans="2:7" ht="13.2" x14ac:dyDescent="0.25">
      <c r="B36" s="295"/>
      <c r="C36" s="296"/>
      <c r="D36" s="296"/>
      <c r="E36" s="296"/>
      <c r="F36" s="296"/>
      <c r="G36" s="297"/>
    </row>
    <row r="37" spans="2:7" ht="13.2" x14ac:dyDescent="0.25">
      <c r="B37" s="295"/>
      <c r="C37" s="296"/>
      <c r="D37" s="296"/>
      <c r="E37" s="296"/>
      <c r="F37" s="296"/>
      <c r="G37" s="297"/>
    </row>
    <row r="38" spans="2:7" ht="13.2" x14ac:dyDescent="0.25">
      <c r="B38" s="295"/>
      <c r="C38" s="296"/>
      <c r="D38" s="296"/>
      <c r="E38" s="296"/>
      <c r="F38" s="296"/>
      <c r="G38" s="297"/>
    </row>
    <row r="39" spans="2:7" ht="13.2" x14ac:dyDescent="0.25">
      <c r="B39" s="295"/>
      <c r="C39" s="296"/>
      <c r="D39" s="296"/>
      <c r="E39" s="296"/>
      <c r="F39" s="296"/>
      <c r="G39" s="297"/>
    </row>
    <row r="40" spans="2:7" ht="13.8" thickBot="1" x14ac:dyDescent="0.3">
      <c r="B40" s="1585"/>
      <c r="C40" s="1586"/>
      <c r="D40" s="1586"/>
      <c r="E40" s="1586"/>
      <c r="F40" s="1586"/>
      <c r="G40" s="1587"/>
    </row>
    <row r="41" spans="2:7" ht="12" customHeight="1" thickBot="1" x14ac:dyDescent="0.3">
      <c r="B41" s="195"/>
      <c r="C41" s="196"/>
      <c r="D41" s="196"/>
      <c r="E41" s="196"/>
      <c r="F41" s="196"/>
      <c r="G41" s="197"/>
    </row>
    <row r="42" spans="2:7" ht="12" customHeight="1" x14ac:dyDescent="0.25">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5"/>
  <cols>
    <col min="1" max="1" width="1.5546875" style="83" customWidth="1"/>
    <col min="2" max="2" width="44.109375" style="83" customWidth="1"/>
    <col min="3" max="3" width="40.88671875" style="83" customWidth="1"/>
    <col min="4" max="4" width="16.5546875" style="83" customWidth="1"/>
    <col min="5" max="5" width="22.109375" style="83" customWidth="1"/>
    <col min="6" max="6" width="16.88671875" style="83" customWidth="1"/>
    <col min="7" max="7" width="1.109375" style="83" customWidth="1"/>
    <col min="8" max="8" width="26.88671875" style="83" customWidth="1"/>
    <col min="9" max="9" width="36.88671875" style="83" customWidth="1"/>
    <col min="10" max="16384" width="8" style="83"/>
  </cols>
  <sheetData>
    <row r="1" spans="2:10" ht="15.6" x14ac:dyDescent="0.25">
      <c r="B1" s="213" t="s">
        <v>889</v>
      </c>
      <c r="C1" s="213"/>
      <c r="F1" s="14" t="s">
        <v>2521</v>
      </c>
    </row>
    <row r="2" spans="2:10" ht="18" x14ac:dyDescent="0.25">
      <c r="B2" s="213" t="s">
        <v>890</v>
      </c>
      <c r="C2" s="213"/>
      <c r="F2" s="14" t="s">
        <v>2522</v>
      </c>
    </row>
    <row r="3" spans="2:10" ht="15.6" x14ac:dyDescent="0.25">
      <c r="B3" s="3" t="s">
        <v>62</v>
      </c>
      <c r="F3" s="14" t="s">
        <v>2144</v>
      </c>
      <c r="G3" s="385"/>
    </row>
    <row r="4" spans="2:10" ht="12" hidden="1" customHeight="1" x14ac:dyDescent="0.25">
      <c r="B4" s="3"/>
      <c r="F4" s="2"/>
      <c r="G4" s="385"/>
    </row>
    <row r="5" spans="2:10" ht="12" hidden="1" customHeight="1" x14ac:dyDescent="0.25">
      <c r="B5" s="3"/>
      <c r="F5" s="2"/>
      <c r="G5" s="385"/>
    </row>
    <row r="6" spans="2:10" ht="12" customHeight="1" thickBot="1" x14ac:dyDescent="0.3">
      <c r="B6" s="2446" t="s">
        <v>64</v>
      </c>
      <c r="H6" s="386" t="s">
        <v>417</v>
      </c>
      <c r="I6" s="386"/>
      <c r="J6" s="387"/>
    </row>
    <row r="7" spans="2:10" ht="27" customHeight="1" x14ac:dyDescent="0.25">
      <c r="B7" s="388" t="s">
        <v>65</v>
      </c>
      <c r="C7" s="389" t="s">
        <v>727</v>
      </c>
      <c r="D7" s="203"/>
      <c r="E7" s="2017" t="s">
        <v>123</v>
      </c>
      <c r="F7" s="2018" t="s">
        <v>124</v>
      </c>
      <c r="H7" s="390" t="s">
        <v>1955</v>
      </c>
      <c r="I7" s="391" t="s">
        <v>619</v>
      </c>
      <c r="J7" s="392" t="s">
        <v>359</v>
      </c>
    </row>
    <row r="8" spans="2:10" ht="24" customHeight="1" x14ac:dyDescent="0.25">
      <c r="B8" s="393"/>
      <c r="C8" s="321" t="s">
        <v>619</v>
      </c>
      <c r="D8" s="394" t="s">
        <v>1881</v>
      </c>
      <c r="E8" s="395"/>
      <c r="F8" s="396" t="s">
        <v>68</v>
      </c>
      <c r="H8" s="397" t="s">
        <v>891</v>
      </c>
      <c r="I8" s="398" t="s">
        <v>892</v>
      </c>
      <c r="J8" s="399">
        <v>0.11</v>
      </c>
    </row>
    <row r="9" spans="2:10" ht="37.799999999999997" thickBot="1" x14ac:dyDescent="0.3">
      <c r="B9" s="400"/>
      <c r="C9" s="342"/>
      <c r="D9" s="401" t="s">
        <v>893</v>
      </c>
      <c r="E9" s="402" t="s">
        <v>1954</v>
      </c>
      <c r="F9" s="269" t="s">
        <v>73</v>
      </c>
      <c r="H9" s="397" t="s">
        <v>894</v>
      </c>
      <c r="I9" s="398" t="s">
        <v>895</v>
      </c>
      <c r="J9" s="399">
        <v>0.21</v>
      </c>
    </row>
    <row r="10" spans="2:10" ht="24" customHeight="1" thickTop="1" thickBot="1" x14ac:dyDescent="0.3">
      <c r="B10" s="403" t="s">
        <v>896</v>
      </c>
      <c r="C10" s="404"/>
      <c r="D10" s="405"/>
      <c r="E10" s="406"/>
      <c r="F10" s="3424">
        <f>IF(SUM(F11:F12,F16:F20)=0,"NO",SUM(F11:F12,F16:F20))</f>
        <v>31.474282984058544</v>
      </c>
      <c r="H10" s="397" t="s">
        <v>897</v>
      </c>
      <c r="I10" s="398" t="s">
        <v>898</v>
      </c>
      <c r="J10" s="399">
        <v>0.21</v>
      </c>
    </row>
    <row r="11" spans="2:10" ht="24" customHeight="1" x14ac:dyDescent="0.25">
      <c r="B11" s="2431" t="s">
        <v>1949</v>
      </c>
      <c r="C11" s="2432" t="s">
        <v>899</v>
      </c>
      <c r="D11" s="3720">
        <v>440000</v>
      </c>
      <c r="E11" s="3714">
        <f>IF(SUM(D11)=0,"NA",F11*1000/D11/(44/28))</f>
        <v>6.5549117134511307E-3</v>
      </c>
      <c r="F11" s="3425">
        <v>4.532253241871925</v>
      </c>
      <c r="H11" s="397" t="s">
        <v>900</v>
      </c>
      <c r="I11" s="398" t="s">
        <v>901</v>
      </c>
      <c r="J11" s="399">
        <v>0.24</v>
      </c>
    </row>
    <row r="12" spans="2:10" ht="24" customHeight="1" thickBot="1" x14ac:dyDescent="0.3">
      <c r="B12" s="2431" t="s">
        <v>1950</v>
      </c>
      <c r="C12" s="2433" t="s">
        <v>902</v>
      </c>
      <c r="D12" s="3721">
        <f>IF(SUM(D13:D15)=0,"NO",SUM(D13:D15))</f>
        <v>72894.013817115789</v>
      </c>
      <c r="E12" s="3715">
        <f t="shared" ref="E12:E23" si="0">IF(SUM(D12)=0,"NA",F12*1000/D12/(44/28))</f>
        <v>8.1393356564752207E-3</v>
      </c>
      <c r="F12" s="3426">
        <f>IF(SUM(F13:F15)=0,"NO",SUM(F13:F15))</f>
        <v>0.93234247197967535</v>
      </c>
      <c r="H12" s="407" t="s">
        <v>903</v>
      </c>
      <c r="I12" s="408" t="s">
        <v>2147</v>
      </c>
      <c r="J12" s="2668" t="s">
        <v>2147</v>
      </c>
    </row>
    <row r="13" spans="2:10" ht="24" customHeight="1" x14ac:dyDescent="0.25">
      <c r="B13" s="2431" t="s">
        <v>904</v>
      </c>
      <c r="C13" s="2432" t="s">
        <v>905</v>
      </c>
      <c r="D13" s="3722">
        <v>66795.211557885894</v>
      </c>
      <c r="E13" s="3714">
        <f t="shared" si="0"/>
        <v>8.0607518550274392E-3</v>
      </c>
      <c r="F13" s="3425">
        <v>0.84608798288485265</v>
      </c>
      <c r="H13" s="1436" t="s">
        <v>906</v>
      </c>
      <c r="I13" s="1078"/>
      <c r="J13" s="1078"/>
    </row>
    <row r="14" spans="2:10" ht="24" customHeight="1" x14ac:dyDescent="0.25">
      <c r="B14" s="2431" t="s">
        <v>907</v>
      </c>
      <c r="C14" s="2432" t="s">
        <v>908</v>
      </c>
      <c r="D14" s="3722">
        <v>6098.8022592298903</v>
      </c>
      <c r="E14" s="3714">
        <f t="shared" si="0"/>
        <v>8.9999999999999924E-3</v>
      </c>
      <c r="F14" s="3425">
        <v>8.6254489094822653E-2</v>
      </c>
      <c r="H14" s="1437" t="s">
        <v>1795</v>
      </c>
      <c r="I14" s="1078"/>
      <c r="J14" s="1078"/>
    </row>
    <row r="15" spans="2:10" ht="24" customHeight="1" x14ac:dyDescent="0.25">
      <c r="B15" s="2434" t="s">
        <v>909</v>
      </c>
      <c r="C15" s="2432" t="s">
        <v>910</v>
      </c>
      <c r="D15" s="3722" t="s">
        <v>2154</v>
      </c>
      <c r="E15" s="3714" t="str">
        <f t="shared" si="0"/>
        <v>NA</v>
      </c>
      <c r="F15" s="3425" t="s">
        <v>2154</v>
      </c>
    </row>
    <row r="16" spans="2:10" ht="24" customHeight="1" x14ac:dyDescent="0.25">
      <c r="B16" s="2431" t="s">
        <v>911</v>
      </c>
      <c r="C16" s="2432" t="s">
        <v>912</v>
      </c>
      <c r="D16" s="3722">
        <v>2283776.0499089798</v>
      </c>
      <c r="E16" s="3714">
        <f t="shared" si="0"/>
        <v>4.0000000000000001E-3</v>
      </c>
      <c r="F16" s="3425">
        <v>14.355163742285015</v>
      </c>
    </row>
    <row r="17" spans="2:11" ht="24" customHeight="1" x14ac:dyDescent="0.25">
      <c r="B17" s="2431" t="s">
        <v>913</v>
      </c>
      <c r="C17" s="2432" t="s">
        <v>914</v>
      </c>
      <c r="D17" s="3722">
        <v>587992.45227769937</v>
      </c>
      <c r="E17" s="3714">
        <f t="shared" si="0"/>
        <v>9.9999999999999985E-3</v>
      </c>
      <c r="F17" s="3425">
        <v>9.2398813929352741</v>
      </c>
    </row>
    <row r="18" spans="2:11" ht="24" customHeight="1" x14ac:dyDescent="0.25">
      <c r="B18" s="2431" t="s">
        <v>1951</v>
      </c>
      <c r="C18" s="2432" t="s">
        <v>915</v>
      </c>
      <c r="D18" s="3722">
        <v>740295.22476848005</v>
      </c>
      <c r="E18" s="3716">
        <f t="shared" si="0"/>
        <v>2.0000000000000005E-3</v>
      </c>
      <c r="F18" s="3427">
        <v>2.3266421349866517</v>
      </c>
    </row>
    <row r="19" spans="2:11" ht="24" customHeight="1" x14ac:dyDescent="0.25">
      <c r="B19" s="2431" t="s">
        <v>1952</v>
      </c>
      <c r="C19" s="2432" t="s">
        <v>916</v>
      </c>
      <c r="D19" s="3722">
        <v>4000</v>
      </c>
      <c r="E19" s="3716">
        <f>IF(SUM(D19)=0,"NA",F19*1000000/D19/(44/28))</f>
        <v>14</v>
      </c>
      <c r="F19" s="3425">
        <v>8.7999999999999995E-2</v>
      </c>
    </row>
    <row r="20" spans="2:11" ht="24" customHeight="1" thickBot="1" x14ac:dyDescent="0.3">
      <c r="B20" s="2435" t="s">
        <v>917</v>
      </c>
      <c r="C20" s="2436" t="s">
        <v>2147</v>
      </c>
      <c r="D20" s="3723" t="s">
        <v>2146</v>
      </c>
      <c r="E20" s="3717" t="s">
        <v>2147</v>
      </c>
      <c r="F20" s="3428" t="s">
        <v>2146</v>
      </c>
    </row>
    <row r="21" spans="2:11" ht="24" customHeight="1" thickTop="1" x14ac:dyDescent="0.25">
      <c r="B21" s="409" t="s">
        <v>918</v>
      </c>
      <c r="C21" s="2437"/>
      <c r="D21" s="3724"/>
      <c r="E21" s="3718"/>
      <c r="F21" s="3429">
        <f>IF(SUM(F22:F23)=0,"NO",SUM(F22:F23))</f>
        <v>10.220638535155397</v>
      </c>
    </row>
    <row r="22" spans="2:11" ht="24" customHeight="1" x14ac:dyDescent="0.25">
      <c r="B22" s="2438" t="s">
        <v>1953</v>
      </c>
      <c r="C22" s="2432" t="s">
        <v>919</v>
      </c>
      <c r="D22" s="3722">
        <v>543239.72535988793</v>
      </c>
      <c r="E22" s="3714">
        <f t="shared" si="0"/>
        <v>2.7091010157803716E-3</v>
      </c>
      <c r="F22" s="3425">
        <v>2.3126577442331349</v>
      </c>
    </row>
    <row r="23" spans="2:11" ht="24" customHeight="1" thickBot="1" x14ac:dyDescent="0.3">
      <c r="B23" s="410" t="s">
        <v>920</v>
      </c>
      <c r="C23" s="411" t="s">
        <v>921</v>
      </c>
      <c r="D23" s="3725">
        <v>458068.65043429704</v>
      </c>
      <c r="E23" s="3719">
        <f t="shared" si="0"/>
        <v>1.0986020125223327E-2</v>
      </c>
      <c r="F23" s="3430">
        <v>7.9079807909222621</v>
      </c>
    </row>
    <row r="25" spans="2:11" ht="12" customHeight="1" x14ac:dyDescent="0.25">
      <c r="B25" s="72"/>
      <c r="C25" s="72"/>
      <c r="D25" s="72"/>
      <c r="E25" s="72"/>
      <c r="F25" s="72"/>
    </row>
    <row r="26" spans="2:11" ht="12" customHeight="1" x14ac:dyDescent="0.25">
      <c r="B26" s="72"/>
      <c r="C26" s="967"/>
      <c r="D26" s="967"/>
      <c r="E26" s="967"/>
      <c r="F26" s="967"/>
    </row>
    <row r="27" spans="2:11" ht="12" customHeight="1" x14ac:dyDescent="0.25">
      <c r="B27" s="1079"/>
      <c r="C27" s="1079"/>
      <c r="D27" s="1079"/>
      <c r="E27" s="1079"/>
      <c r="F27" s="1079"/>
      <c r="G27" s="412"/>
      <c r="H27"/>
      <c r="I27"/>
      <c r="J27"/>
      <c r="K27"/>
    </row>
    <row r="28" spans="2:11" ht="12" customHeight="1" x14ac:dyDescent="0.25">
      <c r="B28" s="1079"/>
      <c r="C28" s="1079"/>
      <c r="D28" s="1079"/>
      <c r="E28" s="1079"/>
      <c r="F28" s="1079"/>
      <c r="G28" s="412"/>
      <c r="H28"/>
      <c r="I28"/>
      <c r="J28"/>
      <c r="K28"/>
    </row>
    <row r="29" spans="2:11" ht="12" customHeight="1" x14ac:dyDescent="0.25">
      <c r="B29" s="1076"/>
      <c r="C29" s="1072"/>
      <c r="D29" s="1072"/>
      <c r="E29" s="1072"/>
      <c r="F29" s="1072"/>
      <c r="G29" s="412"/>
      <c r="H29"/>
      <c r="I29"/>
      <c r="J29"/>
      <c r="K29"/>
    </row>
    <row r="30" spans="2:11" ht="12" customHeight="1" x14ac:dyDescent="0.25">
      <c r="B30" s="1076"/>
      <c r="C30" s="1072"/>
      <c r="D30" s="1072"/>
      <c r="E30" s="1072"/>
      <c r="F30" s="1072"/>
      <c r="G30" s="412"/>
      <c r="H30"/>
      <c r="I30"/>
      <c r="J30"/>
      <c r="K30"/>
    </row>
    <row r="31" spans="2:11" ht="12" customHeight="1" x14ac:dyDescent="0.25">
      <c r="B31" s="1076"/>
      <c r="C31" s="1072"/>
      <c r="D31" s="1072"/>
      <c r="E31" s="1072"/>
      <c r="F31" s="1072"/>
      <c r="G31" s="412"/>
      <c r="H31"/>
      <c r="I31"/>
      <c r="J31"/>
      <c r="K31"/>
    </row>
    <row r="32" spans="2:11" ht="12" customHeight="1" x14ac:dyDescent="0.25">
      <c r="B32" s="1076"/>
      <c r="C32" s="1072"/>
      <c r="D32" s="1072"/>
      <c r="E32" s="1072"/>
      <c r="F32" s="1072"/>
      <c r="G32" s="412"/>
      <c r="H32"/>
      <c r="I32"/>
      <c r="J32"/>
      <c r="K32"/>
    </row>
    <row r="33" spans="2:11" ht="12" customHeight="1" x14ac:dyDescent="0.25">
      <c r="B33" s="1076"/>
      <c r="C33" s="1072"/>
      <c r="D33" s="1072"/>
      <c r="E33" s="1072"/>
      <c r="F33" s="1072"/>
      <c r="G33" s="412"/>
      <c r="H33"/>
      <c r="I33"/>
      <c r="J33"/>
      <c r="K33"/>
    </row>
    <row r="34" spans="2:11" ht="12" customHeight="1" x14ac:dyDescent="0.25">
      <c r="B34" s="1076"/>
      <c r="C34" s="1072"/>
      <c r="D34" s="1072"/>
      <c r="E34" s="1072"/>
      <c r="F34" s="1072"/>
      <c r="G34" s="412"/>
      <c r="H34"/>
      <c r="I34"/>
      <c r="J34"/>
      <c r="K34"/>
    </row>
    <row r="35" spans="2:11" ht="12" customHeight="1" x14ac:dyDescent="0.25">
      <c r="B35" s="1080"/>
      <c r="C35" s="1080"/>
      <c r="D35" s="1080"/>
      <c r="E35" s="1080"/>
      <c r="F35" s="1080"/>
      <c r="H35"/>
      <c r="I35"/>
      <c r="J35"/>
      <c r="K35"/>
    </row>
    <row r="36" spans="2:11" ht="12" customHeight="1" thickBot="1" x14ac:dyDescent="0.3">
      <c r="B36" s="1011"/>
      <c r="C36" s="1011"/>
      <c r="D36" s="1011"/>
      <c r="E36" s="1011"/>
      <c r="F36" s="1011"/>
      <c r="H36"/>
      <c r="I36"/>
      <c r="J36"/>
      <c r="K36"/>
    </row>
    <row r="37" spans="2:11" ht="12" customHeight="1" x14ac:dyDescent="0.25">
      <c r="B37" s="1009" t="s">
        <v>390</v>
      </c>
      <c r="C37" s="1088"/>
      <c r="D37" s="1088"/>
      <c r="E37" s="1088"/>
      <c r="F37" s="1089"/>
      <c r="H37"/>
      <c r="I37"/>
      <c r="J37"/>
      <c r="K37"/>
    </row>
    <row r="38" spans="2:11" ht="12" customHeight="1" x14ac:dyDescent="0.25">
      <c r="B38" s="1087"/>
      <c r="C38" s="1090"/>
      <c r="D38" s="1090"/>
      <c r="E38" s="1090"/>
      <c r="F38" s="1091"/>
      <c r="G38" s="413"/>
      <c r="H38"/>
      <c r="I38"/>
      <c r="J38"/>
      <c r="K38"/>
    </row>
    <row r="39" spans="2:11" ht="12" customHeight="1" x14ac:dyDescent="0.25">
      <c r="B39" s="1087"/>
      <c r="C39" s="1090"/>
      <c r="D39" s="1090"/>
      <c r="E39" s="1090"/>
      <c r="F39" s="1091"/>
      <c r="G39" s="413"/>
      <c r="H39"/>
      <c r="I39"/>
      <c r="J39"/>
      <c r="K39"/>
    </row>
    <row r="40" spans="2:11" ht="12" customHeight="1" x14ac:dyDescent="0.25">
      <c r="B40" s="1087"/>
      <c r="C40" s="1090"/>
      <c r="D40" s="1090"/>
      <c r="E40" s="1090"/>
      <c r="F40" s="1091"/>
      <c r="G40" s="413"/>
      <c r="H40"/>
      <c r="I40"/>
      <c r="J40"/>
      <c r="K40"/>
    </row>
    <row r="41" spans="2:11" ht="12" customHeight="1" x14ac:dyDescent="0.25">
      <c r="B41" s="1010"/>
      <c r="C41" s="1082"/>
      <c r="D41" s="1082"/>
      <c r="E41" s="1082"/>
      <c r="F41" s="1083"/>
      <c r="G41" s="414"/>
      <c r="H41"/>
      <c r="I41"/>
      <c r="J41"/>
      <c r="K41"/>
    </row>
    <row r="42" spans="2:11" ht="12" customHeight="1" x14ac:dyDescent="0.25">
      <c r="B42" s="1081"/>
      <c r="C42" s="1082"/>
      <c r="D42" s="1082"/>
      <c r="E42" s="1082"/>
      <c r="F42" s="1083"/>
      <c r="H42"/>
      <c r="I42"/>
      <c r="J42"/>
      <c r="K42"/>
    </row>
    <row r="43" spans="2:11" ht="12" customHeight="1" thickBot="1" x14ac:dyDescent="0.3">
      <c r="B43" s="1084"/>
      <c r="C43" s="1085"/>
      <c r="D43" s="1085"/>
      <c r="E43" s="1085"/>
      <c r="F43" s="1086"/>
      <c r="H43"/>
      <c r="I43"/>
      <c r="J43"/>
      <c r="K43"/>
    </row>
    <row r="44" spans="2:11" ht="12" customHeight="1" thickBot="1" x14ac:dyDescent="0.3">
      <c r="B44" s="4467" t="s">
        <v>2209</v>
      </c>
      <c r="C44" s="4468"/>
      <c r="D44" s="4468"/>
      <c r="E44" s="4468"/>
      <c r="F44" s="4469"/>
      <c r="H44"/>
      <c r="I44"/>
      <c r="J44"/>
      <c r="K44"/>
    </row>
    <row r="45" spans="2:11" ht="12" customHeight="1" x14ac:dyDescent="0.25">
      <c r="H45"/>
      <c r="I45"/>
      <c r="J45"/>
      <c r="K45"/>
    </row>
    <row r="46" spans="2:11" ht="12" customHeight="1" x14ac:dyDescent="0.25">
      <c r="H46"/>
      <c r="I46"/>
      <c r="J46"/>
      <c r="K46"/>
    </row>
    <row r="47" spans="2:11" ht="12" customHeight="1" x14ac:dyDescent="0.25">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09375" defaultRowHeight="12" customHeight="1" x14ac:dyDescent="0.25"/>
  <cols>
    <col min="1" max="1" width="1.5546875" style="83" customWidth="1"/>
    <col min="2" max="2" width="34.44140625" style="83" bestFit="1" customWidth="1"/>
    <col min="3" max="3" width="16.5546875" style="83" customWidth="1"/>
    <col min="4" max="4" width="19" style="83" customWidth="1"/>
    <col min="5" max="5" width="11.109375" style="83" customWidth="1"/>
    <col min="6" max="7" width="10.109375" style="83" customWidth="1"/>
    <col min="8" max="8" width="9.88671875" style="83" customWidth="1"/>
    <col min="9" max="9" width="9.44140625" style="83" customWidth="1"/>
    <col min="10" max="11" width="14.88671875" style="83" customWidth="1"/>
    <col min="12" max="12" width="1.109375" style="83" customWidth="1"/>
    <col min="13" max="16384" width="9.109375" style="83"/>
  </cols>
  <sheetData>
    <row r="1" spans="2:11" ht="15.75" customHeight="1" x14ac:dyDescent="0.3">
      <c r="B1" s="13" t="s">
        <v>922</v>
      </c>
      <c r="K1" s="14" t="s">
        <v>2521</v>
      </c>
    </row>
    <row r="2" spans="2:11" ht="15.75" customHeight="1" x14ac:dyDescent="0.3">
      <c r="B2" s="13" t="s">
        <v>923</v>
      </c>
      <c r="K2" s="14" t="s">
        <v>2522</v>
      </c>
    </row>
    <row r="3" spans="2:11" ht="15.75" customHeight="1" x14ac:dyDescent="0.3">
      <c r="B3" s="13" t="s">
        <v>62</v>
      </c>
      <c r="K3" s="14" t="s">
        <v>2144</v>
      </c>
    </row>
    <row r="4" spans="2:11" ht="12" hidden="1" customHeight="1" x14ac:dyDescent="0.3">
      <c r="B4" s="13"/>
      <c r="K4" s="2"/>
    </row>
    <row r="5" spans="2:11" ht="12" hidden="1" customHeight="1" x14ac:dyDescent="0.3">
      <c r="B5" s="13"/>
      <c r="K5" s="2"/>
    </row>
    <row r="6" spans="2:11" ht="12" customHeight="1" thickBot="1" x14ac:dyDescent="0.3">
      <c r="B6" s="2446" t="s">
        <v>64</v>
      </c>
      <c r="C6" s="379"/>
      <c r="K6" s="4"/>
    </row>
    <row r="7" spans="2:11" ht="24.75" customHeight="1" x14ac:dyDescent="0.25">
      <c r="B7" s="388" t="s">
        <v>65</v>
      </c>
      <c r="C7" s="822" t="s">
        <v>727</v>
      </c>
      <c r="D7" s="823"/>
      <c r="E7" s="823"/>
      <c r="F7" s="823"/>
      <c r="G7" s="1096"/>
      <c r="H7" s="822" t="s">
        <v>123</v>
      </c>
      <c r="I7" s="1096"/>
      <c r="J7" s="823" t="s">
        <v>924</v>
      </c>
      <c r="K7" s="1096"/>
    </row>
    <row r="8" spans="2:11" ht="42.75" customHeight="1" x14ac:dyDescent="0.25">
      <c r="B8" s="409"/>
      <c r="C8" s="321" t="s">
        <v>925</v>
      </c>
      <c r="D8" s="433" t="s">
        <v>926</v>
      </c>
      <c r="E8" s="433" t="s">
        <v>927</v>
      </c>
      <c r="F8" s="433" t="s">
        <v>928</v>
      </c>
      <c r="G8" s="394" t="s">
        <v>929</v>
      </c>
      <c r="H8" s="434" t="s">
        <v>67</v>
      </c>
      <c r="I8" s="172" t="s">
        <v>68</v>
      </c>
      <c r="J8" s="434" t="s">
        <v>67</v>
      </c>
      <c r="K8" s="172" t="s">
        <v>68</v>
      </c>
    </row>
    <row r="9" spans="2:11" ht="12" customHeight="1" thickBot="1" x14ac:dyDescent="0.3">
      <c r="B9" s="2227"/>
      <c r="C9" s="375" t="s">
        <v>930</v>
      </c>
      <c r="D9" s="415" t="s">
        <v>931</v>
      </c>
      <c r="E9" s="415"/>
      <c r="F9" s="415" t="s">
        <v>932</v>
      </c>
      <c r="G9" s="401"/>
      <c r="H9" s="1094" t="s">
        <v>933</v>
      </c>
      <c r="I9" s="1095"/>
      <c r="J9" s="2022" t="s">
        <v>73</v>
      </c>
      <c r="K9" s="2228"/>
    </row>
    <row r="10" spans="2:11" ht="33.75" customHeight="1" thickTop="1" x14ac:dyDescent="0.25">
      <c r="B10" s="1853" t="s">
        <v>2066</v>
      </c>
      <c r="C10" s="416"/>
      <c r="D10" s="231"/>
      <c r="E10" s="231"/>
      <c r="F10" s="231"/>
      <c r="G10" s="417"/>
      <c r="H10" s="416"/>
      <c r="I10" s="418"/>
      <c r="J10" s="419" t="s">
        <v>2147</v>
      </c>
      <c r="K10" s="420" t="s">
        <v>2147</v>
      </c>
    </row>
    <row r="11" spans="2:11" ht="18" customHeight="1" thickBot="1" x14ac:dyDescent="0.3">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5">
      <c r="B12" s="1853" t="s">
        <v>2065</v>
      </c>
      <c r="C12" s="416"/>
      <c r="D12" s="231"/>
      <c r="E12" s="231"/>
      <c r="F12" s="231"/>
      <c r="G12" s="417"/>
      <c r="H12" s="416"/>
      <c r="I12" s="417"/>
      <c r="J12" s="419" t="s">
        <v>2147</v>
      </c>
      <c r="K12" s="420" t="s">
        <v>2147</v>
      </c>
    </row>
    <row r="13" spans="2:11" ht="18" customHeight="1" thickBot="1" x14ac:dyDescent="0.3">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5">
      <c r="B14" s="425"/>
      <c r="C14" s="426"/>
      <c r="D14" s="426"/>
      <c r="E14" s="426"/>
      <c r="F14" s="426"/>
      <c r="G14" s="426"/>
      <c r="H14" s="427"/>
      <c r="I14" s="427"/>
      <c r="J14" s="426"/>
      <c r="K14" s="428"/>
    </row>
    <row r="15" spans="2:11" ht="12" customHeight="1" x14ac:dyDescent="0.25">
      <c r="B15" s="425"/>
      <c r="C15" s="426"/>
      <c r="D15" s="426"/>
      <c r="E15" s="426"/>
      <c r="F15" s="426"/>
      <c r="G15" s="426"/>
      <c r="H15" s="427"/>
      <c r="I15" s="427"/>
      <c r="J15" s="426"/>
      <c r="K15" s="428"/>
    </row>
    <row r="16" spans="2:11" ht="12" customHeight="1" x14ac:dyDescent="0.25">
      <c r="B16" s="425"/>
      <c r="C16" s="426"/>
      <c r="D16" s="426"/>
      <c r="E16" s="426"/>
      <c r="F16" s="426"/>
      <c r="G16" s="426"/>
      <c r="H16" s="427"/>
      <c r="I16" s="427"/>
      <c r="J16" s="426"/>
      <c r="K16" s="428"/>
    </row>
    <row r="17" spans="2:11" ht="12" customHeight="1" x14ac:dyDescent="0.25">
      <c r="B17" s="425"/>
      <c r="C17" s="426"/>
      <c r="D17" s="426"/>
      <c r="E17" s="426"/>
      <c r="F17" s="426"/>
      <c r="G17" s="426"/>
      <c r="H17" s="427"/>
      <c r="I17" s="427"/>
      <c r="J17" s="426"/>
      <c r="K17" s="428"/>
    </row>
    <row r="18" spans="2:11" ht="12" customHeight="1" x14ac:dyDescent="0.25">
      <c r="B18" s="425"/>
      <c r="C18" s="426"/>
      <c r="D18" s="426"/>
      <c r="E18" s="426"/>
      <c r="F18" s="426"/>
      <c r="G18" s="426"/>
      <c r="H18" s="427"/>
      <c r="I18" s="427"/>
      <c r="J18" s="426"/>
      <c r="K18" s="428"/>
    </row>
    <row r="19" spans="2:11" ht="12" customHeight="1" x14ac:dyDescent="0.25">
      <c r="B19" s="425"/>
      <c r="C19" s="426"/>
      <c r="D19" s="426"/>
      <c r="E19" s="426"/>
      <c r="F19" s="426"/>
      <c r="G19" s="426"/>
      <c r="H19" s="427"/>
      <c r="I19" s="427"/>
      <c r="J19" s="426"/>
      <c r="K19" s="428"/>
    </row>
    <row r="20" spans="2:11" ht="12" customHeight="1" x14ac:dyDescent="0.25">
      <c r="B20" s="425"/>
      <c r="C20" s="426"/>
      <c r="D20" s="426"/>
      <c r="E20" s="426"/>
      <c r="F20" s="426"/>
      <c r="G20" s="426"/>
      <c r="H20" s="427"/>
      <c r="I20" s="427"/>
      <c r="J20" s="426"/>
      <c r="K20" s="428"/>
    </row>
    <row r="21" spans="2:11" ht="12" customHeight="1" x14ac:dyDescent="0.25">
      <c r="B21" s="1092"/>
      <c r="C21" s="1049"/>
      <c r="D21" s="1049"/>
      <c r="E21" s="1049"/>
      <c r="F21" s="1049"/>
      <c r="G21" s="1049"/>
      <c r="H21" s="1049"/>
      <c r="I21" s="1049"/>
      <c r="J21" s="1049"/>
      <c r="K21" s="1049"/>
    </row>
    <row r="22" spans="2:11" ht="12" customHeight="1" thickBot="1" x14ac:dyDescent="0.3">
      <c r="B22" s="1093"/>
      <c r="C22" s="1049"/>
      <c r="D22" s="1049"/>
      <c r="E22" s="1049"/>
      <c r="F22" s="1049"/>
      <c r="G22" s="1049"/>
      <c r="H22" s="1049"/>
      <c r="I22" s="1049"/>
      <c r="J22" s="1049"/>
      <c r="K22" s="1049"/>
    </row>
    <row r="23" spans="2:11" ht="12" customHeight="1" x14ac:dyDescent="0.25">
      <c r="B23" s="223" t="s">
        <v>352</v>
      </c>
      <c r="C23" s="224"/>
      <c r="D23" s="224"/>
      <c r="E23" s="224"/>
      <c r="F23" s="224"/>
      <c r="G23" s="224"/>
      <c r="H23" s="224"/>
      <c r="I23" s="224"/>
      <c r="J23" s="224"/>
      <c r="K23" s="225"/>
    </row>
    <row r="24" spans="2:11" ht="12" customHeight="1" x14ac:dyDescent="0.25">
      <c r="B24" s="1318"/>
      <c r="C24" s="1319"/>
      <c r="D24" s="1319"/>
      <c r="E24" s="1319"/>
      <c r="F24" s="1319"/>
      <c r="G24" s="1319"/>
      <c r="H24" s="1319"/>
      <c r="I24" s="1319"/>
      <c r="J24" s="1319"/>
      <c r="K24" s="1320"/>
    </row>
    <row r="25" spans="2:11" ht="12" customHeight="1" x14ac:dyDescent="0.25">
      <c r="B25" s="1318"/>
      <c r="C25" s="1319"/>
      <c r="D25" s="1319"/>
      <c r="E25" s="1319"/>
      <c r="F25" s="1319"/>
      <c r="G25" s="1319"/>
      <c r="H25" s="1319"/>
      <c r="I25" s="1319"/>
      <c r="J25" s="1319"/>
      <c r="K25" s="1320"/>
    </row>
    <row r="26" spans="2:11" ht="12" customHeight="1" x14ac:dyDescent="0.25">
      <c r="B26" s="1315"/>
      <c r="C26" s="1316"/>
      <c r="D26" s="1316"/>
      <c r="E26" s="1316"/>
      <c r="F26" s="1316"/>
      <c r="G26" s="1316"/>
      <c r="H26" s="1316"/>
      <c r="I26" s="1316"/>
      <c r="J26" s="1316"/>
      <c r="K26" s="1317"/>
    </row>
    <row r="27" spans="2:11" ht="12" customHeight="1" thickBot="1" x14ac:dyDescent="0.3">
      <c r="B27" s="4437" t="s">
        <v>2374</v>
      </c>
      <c r="C27" s="4438"/>
      <c r="D27" s="4438"/>
      <c r="E27" s="4438"/>
      <c r="F27" s="4438"/>
      <c r="G27" s="4438"/>
      <c r="H27" s="4438"/>
      <c r="I27" s="4438"/>
      <c r="J27" s="4438"/>
      <c r="K27" s="4439"/>
    </row>
    <row r="28" spans="2:11" ht="12" customHeight="1" x14ac:dyDescent="0.25">
      <c r="B28" s="85"/>
      <c r="C28" s="85"/>
      <c r="D28" s="85"/>
      <c r="E28" s="85"/>
      <c r="F28" s="85"/>
      <c r="G28" s="85"/>
      <c r="H28" s="85"/>
      <c r="I28" s="85"/>
      <c r="J28" s="85"/>
      <c r="K28" s="85"/>
    </row>
    <row r="36" ht="13.2" x14ac:dyDescent="0.25"/>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09375" defaultRowHeight="13.2" x14ac:dyDescent="0.25"/>
  <cols>
    <col min="1" max="1" width="1.5546875" style="83" customWidth="1"/>
    <col min="2" max="2" width="42.109375" style="83" customWidth="1"/>
    <col min="3" max="3" width="9.109375" style="83" customWidth="1"/>
    <col min="4" max="4" width="11.88671875" style="83" customWidth="1"/>
    <col min="5" max="5" width="13.6640625" style="83" customWidth="1"/>
    <col min="6" max="7" width="12.88671875" style="83" customWidth="1"/>
    <col min="8" max="9" width="10.44140625" style="83" customWidth="1"/>
    <col min="10" max="10" width="10.88671875" style="83" customWidth="1"/>
    <col min="11" max="11" width="2.5546875" style="83" customWidth="1"/>
    <col min="12" max="12" width="25.5546875" style="83" bestFit="1" customWidth="1"/>
    <col min="13" max="24" width="9.88671875" style="83" customWidth="1"/>
    <col min="25" max="25" width="2.88671875" style="83" customWidth="1"/>
    <col min="26" max="16384" width="9.109375" style="83"/>
  </cols>
  <sheetData>
    <row r="1" spans="2:24" ht="15.6" x14ac:dyDescent="0.3">
      <c r="B1" s="13" t="s">
        <v>934</v>
      </c>
      <c r="J1" s="14" t="s">
        <v>2521</v>
      </c>
    </row>
    <row r="2" spans="2:24" ht="15.6" x14ac:dyDescent="0.3">
      <c r="B2" s="208" t="s">
        <v>935</v>
      </c>
      <c r="C2" s="208"/>
      <c r="D2" s="208"/>
      <c r="J2" s="14" t="s">
        <v>2522</v>
      </c>
    </row>
    <row r="3" spans="2:24" ht="15.6" x14ac:dyDescent="0.3">
      <c r="B3" s="13" t="s">
        <v>62</v>
      </c>
      <c r="J3" s="14" t="s">
        <v>2144</v>
      </c>
    </row>
    <row r="4" spans="2:24" ht="12" customHeight="1" x14ac:dyDescent="0.3">
      <c r="B4" s="13"/>
      <c r="J4" s="2"/>
    </row>
    <row r="5" spans="2:24" ht="12" customHeight="1" x14ac:dyDescent="0.3">
      <c r="B5" s="13"/>
      <c r="J5" s="2"/>
    </row>
    <row r="6" spans="2:24" ht="12" customHeight="1" thickBot="1" x14ac:dyDescent="0.3">
      <c r="B6" s="2446" t="s">
        <v>64</v>
      </c>
      <c r="L6" s="253" t="s">
        <v>417</v>
      </c>
      <c r="M6" s="253"/>
      <c r="N6" s="253"/>
      <c r="O6" s="253"/>
      <c r="P6" s="253"/>
      <c r="Q6" s="253"/>
      <c r="R6" s="253"/>
      <c r="S6" s="253"/>
      <c r="T6" s="253"/>
      <c r="U6" s="253"/>
      <c r="V6" s="253"/>
      <c r="W6" s="253"/>
      <c r="X6" s="253"/>
    </row>
    <row r="7" spans="2:24" ht="22.8" x14ac:dyDescent="0.25">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3">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3">
      <c r="B9" s="400"/>
      <c r="C9" s="375" t="s">
        <v>945</v>
      </c>
      <c r="D9" s="415" t="s">
        <v>931</v>
      </c>
      <c r="E9" s="415"/>
      <c r="F9" s="401" t="s">
        <v>932</v>
      </c>
      <c r="G9" s="1094" t="s">
        <v>933</v>
      </c>
      <c r="H9" s="1095"/>
      <c r="I9" s="1094" t="s">
        <v>73</v>
      </c>
      <c r="J9" s="1095"/>
      <c r="L9" s="1323" t="s">
        <v>946</v>
      </c>
      <c r="M9" s="4179">
        <v>14214495</v>
      </c>
      <c r="N9" s="4179">
        <v>4044166</v>
      </c>
      <c r="O9" s="4179">
        <v>218731</v>
      </c>
      <c r="P9" s="4180">
        <v>945652</v>
      </c>
      <c r="Q9" s="4180">
        <v>1640404</v>
      </c>
      <c r="R9" s="4180">
        <v>243883.29289812499</v>
      </c>
      <c r="S9" s="4180">
        <v>846065</v>
      </c>
      <c r="T9" s="4180">
        <v>159863</v>
      </c>
      <c r="U9" s="4180">
        <v>1435844.6150000002</v>
      </c>
      <c r="V9" s="4180">
        <v>27623103</v>
      </c>
      <c r="W9" s="4180">
        <v>18485.475999999999</v>
      </c>
      <c r="X9" s="4181">
        <v>172418</v>
      </c>
    </row>
    <row r="10" spans="2:24" ht="18" customHeight="1" thickTop="1" x14ac:dyDescent="0.25">
      <c r="B10" s="437" t="s">
        <v>947</v>
      </c>
      <c r="C10" s="376"/>
      <c r="D10" s="438"/>
      <c r="E10" s="438"/>
      <c r="F10" s="4149">
        <f>IF(SUM(F11:F14)=0,"NO",SUM(F11:F14))</f>
        <v>4961.1759530787913</v>
      </c>
      <c r="G10" s="4150">
        <f>IF(SUM($F10)=0,"NA",I10/$F10*1000)</f>
        <v>1.8805074230025571</v>
      </c>
      <c r="H10" s="4151">
        <f>IF(SUM($F10)=0,"NA",J10/$F10*1000)</f>
        <v>7.561909136158515E-2</v>
      </c>
      <c r="I10" s="3192">
        <f>IF(SUM(I11:I14)=0,"NO",SUM(I11:I14))</f>
        <v>9.3295282065864527</v>
      </c>
      <c r="J10" s="420">
        <f>IF(SUM(J11:J14)=0,"NO",SUM(J11:J14))</f>
        <v>0.37515961765676442</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5">
      <c r="B11" s="439" t="s">
        <v>949</v>
      </c>
      <c r="C11" s="440" t="s">
        <v>2147</v>
      </c>
      <c r="D11" s="440" t="s">
        <v>2147</v>
      </c>
      <c r="E11" s="440" t="s">
        <v>2147</v>
      </c>
      <c r="F11" s="4152">
        <v>2961.6795708616501</v>
      </c>
      <c r="G11" s="4153">
        <f>IF(SUM($F11)=0,"NA",I11/$F11*1000)</f>
        <v>1.866666666666666</v>
      </c>
      <c r="H11" s="4154">
        <f>IF(SUM($F11)=0,"NA",J11/$F11*1000)</f>
        <v>7.1657142857142836E-2</v>
      </c>
      <c r="I11" s="3326">
        <v>5.5284685322750784</v>
      </c>
      <c r="J11" s="3327">
        <v>0.21222549610631475</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5">
      <c r="B12" s="439" t="s">
        <v>951</v>
      </c>
      <c r="C12" s="440" t="s">
        <v>2147</v>
      </c>
      <c r="D12" s="440" t="s">
        <v>2147</v>
      </c>
      <c r="E12" s="440" t="s">
        <v>2147</v>
      </c>
      <c r="F12" s="4152">
        <v>691.757264646046</v>
      </c>
      <c r="G12" s="4155">
        <f t="shared" ref="G12:G28" si="0">IF(SUM($F12)=0,"NA",I12/$F12*1000)</f>
        <v>1.8666666666666654</v>
      </c>
      <c r="H12" s="4154">
        <f t="shared" ref="H12:H28" si="1">IF(SUM($F12)=0,"NA",J12/$F12*1000)</f>
        <v>8.3599999999999938E-2</v>
      </c>
      <c r="I12" s="3180">
        <v>1.2912802273392849</v>
      </c>
      <c r="J12" s="3327">
        <v>5.783090732440941E-2</v>
      </c>
      <c r="L12" s="1324" t="s">
        <v>952</v>
      </c>
      <c r="M12" s="4177">
        <v>0.32884516893262999</v>
      </c>
      <c r="N12" s="4177">
        <v>0.32657216118312998</v>
      </c>
      <c r="O12" s="4177">
        <v>0.29034805305938</v>
      </c>
      <c r="P12" s="4178">
        <v>0.27750785955160001</v>
      </c>
      <c r="Q12" s="4178">
        <v>0.34468610405444999</v>
      </c>
      <c r="R12" s="4178">
        <v>0.31687923388945</v>
      </c>
      <c r="S12" s="4178">
        <v>0.81499999999999995</v>
      </c>
      <c r="T12" s="4178">
        <v>0.33630574815448</v>
      </c>
      <c r="U12" s="4178">
        <v>0.32917377640660572</v>
      </c>
      <c r="V12" s="4178">
        <v>0.70129242902218469</v>
      </c>
      <c r="W12" s="4178">
        <v>0.2220226355790641</v>
      </c>
      <c r="X12" s="4152">
        <v>0.34015961910772757</v>
      </c>
    </row>
    <row r="13" spans="2:24" ht="18" customHeight="1" thickBot="1" x14ac:dyDescent="0.3">
      <c r="B13" s="439" t="s">
        <v>953</v>
      </c>
      <c r="C13" s="440" t="s">
        <v>2147</v>
      </c>
      <c r="D13" s="440" t="s">
        <v>2147</v>
      </c>
      <c r="E13" s="440" t="s">
        <v>2147</v>
      </c>
      <c r="F13" s="4152">
        <v>41.976326991057</v>
      </c>
      <c r="G13" s="4155">
        <f t="shared" si="0"/>
        <v>1.9599999999999991</v>
      </c>
      <c r="H13" s="4154">
        <f t="shared" si="1"/>
        <v>5.9714285714285692E-2</v>
      </c>
      <c r="I13" s="3180">
        <v>8.2273600902471683E-2</v>
      </c>
      <c r="J13" s="3327">
        <v>2.50658638318026E-3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5">
      <c r="B14" s="439" t="s">
        <v>955</v>
      </c>
      <c r="C14" s="443"/>
      <c r="D14" s="444"/>
      <c r="E14" s="444"/>
      <c r="F14" s="4156">
        <f>IF(SUM(F15:F19)=0,"NO",SUM(F15:F19))</f>
        <v>1265.7627905800382</v>
      </c>
      <c r="G14" s="4157">
        <f t="shared" si="0"/>
        <v>1.9178205143455105</v>
      </c>
      <c r="H14" s="4158">
        <f t="shared" si="1"/>
        <v>8.1055177641811457E-2</v>
      </c>
      <c r="I14" s="3199">
        <f>IF(SUM(I15:I19)=0,"NO",SUM(I15:I19))</f>
        <v>2.4275058460696175</v>
      </c>
      <c r="J14" s="3085">
        <f>IF(SUM(J15:J19)=0,"NO",SUM(J15:J19))</f>
        <v>0.10259662784286</v>
      </c>
      <c r="L14" s="1438" t="s">
        <v>956</v>
      </c>
      <c r="M14" s="173"/>
      <c r="N14" s="173"/>
      <c r="O14" s="173"/>
      <c r="P14" s="173"/>
      <c r="Q14" s="173"/>
      <c r="R14" s="173"/>
      <c r="S14" s="173"/>
      <c r="T14" s="173"/>
      <c r="U14" s="173"/>
      <c r="V14" s="173"/>
      <c r="W14" s="173"/>
      <c r="X14" s="173"/>
    </row>
    <row r="15" spans="2:24" ht="18" customHeight="1" x14ac:dyDescent="0.25">
      <c r="B15" s="2670" t="s">
        <v>2210</v>
      </c>
      <c r="C15" s="440" t="s">
        <v>2147</v>
      </c>
      <c r="D15" s="440" t="s">
        <v>2147</v>
      </c>
      <c r="E15" s="440" t="s">
        <v>2147</v>
      </c>
      <c r="F15" s="4152">
        <v>151.15729674280001</v>
      </c>
      <c r="G15" s="4159">
        <f t="shared" si="0"/>
        <v>1.8666666666666631</v>
      </c>
      <c r="H15" s="4160">
        <f t="shared" si="1"/>
        <v>9.5542857142856943E-2</v>
      </c>
      <c r="I15" s="3328">
        <v>0.28216028725322617</v>
      </c>
      <c r="J15" s="3327">
        <v>1.4442000008797778E-2</v>
      </c>
      <c r="L15" s="1439" t="s">
        <v>957</v>
      </c>
      <c r="M15" s="173"/>
      <c r="N15" s="173"/>
      <c r="O15" s="173"/>
      <c r="P15" s="173"/>
      <c r="Q15" s="173"/>
      <c r="R15" s="173"/>
      <c r="S15" s="173"/>
      <c r="T15" s="173"/>
      <c r="U15" s="173"/>
      <c r="V15" s="173"/>
      <c r="W15" s="173"/>
      <c r="X15" s="173"/>
    </row>
    <row r="16" spans="2:24" ht="18" customHeight="1" x14ac:dyDescent="0.25">
      <c r="B16" s="2671" t="s">
        <v>2211</v>
      </c>
      <c r="C16" s="440" t="s">
        <v>2147</v>
      </c>
      <c r="D16" s="440" t="s">
        <v>2147</v>
      </c>
      <c r="E16" s="440" t="s">
        <v>2147</v>
      </c>
      <c r="F16" s="4152">
        <v>339.14611680414703</v>
      </c>
      <c r="G16" s="4161">
        <f t="shared" si="0"/>
        <v>1.866666666666668</v>
      </c>
      <c r="H16" s="4162">
        <f t="shared" si="1"/>
        <v>7.1657142857142919E-2</v>
      </c>
      <c r="I16" s="3329">
        <v>0.63307275136774155</v>
      </c>
      <c r="J16" s="3327">
        <v>2.430224174128004E-2</v>
      </c>
      <c r="L16" s="1439"/>
      <c r="M16" s="173"/>
      <c r="N16" s="173"/>
      <c r="O16" s="173"/>
      <c r="P16" s="173"/>
      <c r="Q16" s="173"/>
      <c r="R16" s="173"/>
      <c r="S16" s="173"/>
      <c r="T16" s="173"/>
      <c r="U16" s="173"/>
      <c r="V16" s="173"/>
      <c r="W16" s="173"/>
      <c r="X16" s="173"/>
    </row>
    <row r="17" spans="2:24" ht="18" customHeight="1" x14ac:dyDescent="0.25">
      <c r="B17" s="2671" t="s">
        <v>2271</v>
      </c>
      <c r="C17" s="440" t="s">
        <v>2147</v>
      </c>
      <c r="D17" s="440" t="s">
        <v>2147</v>
      </c>
      <c r="E17" s="440" t="s">
        <v>2147</v>
      </c>
      <c r="F17" s="4152">
        <v>47.659841635300999</v>
      </c>
      <c r="G17" s="4161">
        <f t="shared" si="0"/>
        <v>1.8666666666666656</v>
      </c>
      <c r="H17" s="4162">
        <f t="shared" si="1"/>
        <v>7.1657142857142808E-2</v>
      </c>
      <c r="I17" s="3329">
        <v>8.8965037719228479E-2</v>
      </c>
      <c r="J17" s="3327">
        <v>3.4151680806095664E-3</v>
      </c>
      <c r="L17" s="1439"/>
      <c r="M17" s="173"/>
      <c r="N17" s="173"/>
      <c r="O17" s="173"/>
      <c r="P17" s="173"/>
      <c r="Q17" s="173"/>
      <c r="R17" s="173"/>
      <c r="S17" s="173"/>
      <c r="T17" s="173"/>
      <c r="U17" s="173"/>
      <c r="V17" s="173"/>
      <c r="W17" s="173"/>
      <c r="X17" s="173"/>
    </row>
    <row r="18" spans="2:24" ht="18" customHeight="1" x14ac:dyDescent="0.25">
      <c r="B18" s="2671" t="s">
        <v>2212</v>
      </c>
      <c r="C18" s="440" t="s">
        <v>2147</v>
      </c>
      <c r="D18" s="440" t="s">
        <v>2147</v>
      </c>
      <c r="E18" s="440" t="s">
        <v>2147</v>
      </c>
      <c r="F18" s="4152">
        <v>693.73539628799995</v>
      </c>
      <c r="G18" s="4161">
        <f t="shared" si="0"/>
        <v>1.9599999999999995</v>
      </c>
      <c r="H18" s="4162">
        <f t="shared" si="1"/>
        <v>8.3599999999999994E-2</v>
      </c>
      <c r="I18" s="3329">
        <v>1.3597213767244796</v>
      </c>
      <c r="J18" s="3327">
        <v>5.7996279129676795E-2</v>
      </c>
      <c r="L18" s="1439"/>
      <c r="M18" s="173"/>
      <c r="N18" s="173"/>
      <c r="O18" s="173"/>
      <c r="P18" s="173"/>
      <c r="Q18" s="173"/>
      <c r="R18" s="173"/>
      <c r="S18" s="173"/>
      <c r="T18" s="173"/>
      <c r="U18" s="173"/>
      <c r="V18" s="173"/>
      <c r="W18" s="173"/>
      <c r="X18" s="173"/>
    </row>
    <row r="19" spans="2:24" ht="18" customHeight="1" thickBot="1" x14ac:dyDescent="0.3">
      <c r="B19" s="2671" t="s">
        <v>2213</v>
      </c>
      <c r="C19" s="440" t="s">
        <v>2147</v>
      </c>
      <c r="D19" s="440" t="s">
        <v>2147</v>
      </c>
      <c r="E19" s="440" t="s">
        <v>2147</v>
      </c>
      <c r="F19" s="4163">
        <v>34.064139109790197</v>
      </c>
      <c r="G19" s="4161">
        <f t="shared" si="0"/>
        <v>1.8666666666666689</v>
      </c>
      <c r="H19" s="4162">
        <f t="shared" si="1"/>
        <v>7.1657142857142919E-2</v>
      </c>
      <c r="I19" s="3329">
        <v>6.3586393004941774E-2</v>
      </c>
      <c r="J19" s="3327">
        <v>2.4409388824958257E-3</v>
      </c>
      <c r="L19" s="1439"/>
      <c r="M19" s="173"/>
      <c r="N19" s="173"/>
      <c r="O19" s="173"/>
      <c r="P19" s="173"/>
      <c r="Q19" s="173"/>
      <c r="R19" s="173"/>
      <c r="S19" s="173"/>
      <c r="T19" s="173"/>
      <c r="U19" s="173"/>
      <c r="V19" s="173"/>
      <c r="W19" s="173"/>
      <c r="X19" s="173"/>
    </row>
    <row r="20" spans="2:24" ht="18" customHeight="1" x14ac:dyDescent="0.25">
      <c r="B20" s="446" t="s">
        <v>958</v>
      </c>
      <c r="C20" s="447"/>
      <c r="D20" s="448"/>
      <c r="E20" s="448"/>
      <c r="F20" s="4164">
        <f>F21</f>
        <v>270.40438546066599</v>
      </c>
      <c r="G20" s="4165">
        <f t="shared" si="0"/>
        <v>1.8666666666666649</v>
      </c>
      <c r="H20" s="4166">
        <f t="shared" si="1"/>
        <v>0.10748571428571417</v>
      </c>
      <c r="I20" s="3220">
        <f>I21</f>
        <v>0.5047548528599094</v>
      </c>
      <c r="J20" s="449">
        <f>J21</f>
        <v>2.9064608517229269E-2</v>
      </c>
      <c r="L20" s="159"/>
      <c r="M20" s="159"/>
      <c r="N20" s="159"/>
      <c r="O20" s="159"/>
      <c r="P20" s="159"/>
      <c r="Q20" s="159"/>
      <c r="R20" s="159"/>
      <c r="S20" s="159"/>
      <c r="T20" s="159"/>
      <c r="U20" s="159"/>
      <c r="V20" s="159"/>
      <c r="W20" s="159"/>
      <c r="X20" s="159"/>
    </row>
    <row r="21" spans="2:24" ht="18" customHeight="1" x14ac:dyDescent="0.25">
      <c r="B21" s="439" t="s">
        <v>959</v>
      </c>
      <c r="C21" s="450"/>
      <c r="D21" s="451"/>
      <c r="E21" s="451"/>
      <c r="F21" s="4167">
        <f>F22</f>
        <v>270.40438546066599</v>
      </c>
      <c r="G21" s="4168">
        <f t="shared" si="0"/>
        <v>1.8666666666666649</v>
      </c>
      <c r="H21" s="4158">
        <f t="shared" si="1"/>
        <v>0.10748571428571417</v>
      </c>
      <c r="I21" s="3199">
        <f>I22</f>
        <v>0.5047548528599094</v>
      </c>
      <c r="J21" s="3085">
        <f>J22</f>
        <v>2.9064608517229269E-2</v>
      </c>
      <c r="L21" s="159"/>
      <c r="M21" s="159"/>
      <c r="N21" s="159"/>
      <c r="O21" s="159"/>
      <c r="P21" s="159"/>
      <c r="Q21" s="159"/>
      <c r="R21" s="159"/>
      <c r="S21" s="159"/>
      <c r="T21" s="159"/>
      <c r="U21" s="159"/>
      <c r="V21" s="159"/>
      <c r="W21" s="159"/>
      <c r="X21" s="159"/>
    </row>
    <row r="22" spans="2:24" ht="18" customHeight="1" thickBot="1" x14ac:dyDescent="0.3">
      <c r="B22" s="2672" t="s">
        <v>2214</v>
      </c>
      <c r="C22" s="452" t="s">
        <v>2147</v>
      </c>
      <c r="D22" s="310" t="s">
        <v>2147</v>
      </c>
      <c r="E22" s="310" t="s">
        <v>2147</v>
      </c>
      <c r="F22" s="4169">
        <v>270.40438546066599</v>
      </c>
      <c r="G22" s="4170">
        <f t="shared" si="0"/>
        <v>1.8666666666666649</v>
      </c>
      <c r="H22" s="4171">
        <f t="shared" si="1"/>
        <v>0.10748571428571417</v>
      </c>
      <c r="I22" s="3330">
        <v>0.5047548528599094</v>
      </c>
      <c r="J22" s="3331">
        <v>2.9064608517229269E-2</v>
      </c>
      <c r="L22" s="159"/>
      <c r="M22" s="159"/>
      <c r="N22" s="159"/>
      <c r="O22" s="159"/>
      <c r="P22" s="159"/>
      <c r="Q22" s="159"/>
      <c r="R22" s="159"/>
      <c r="S22" s="159"/>
      <c r="T22" s="159"/>
      <c r="U22" s="159"/>
      <c r="V22" s="159"/>
      <c r="W22" s="159"/>
      <c r="X22" s="159"/>
    </row>
    <row r="23" spans="2:24" ht="18" customHeight="1" x14ac:dyDescent="0.25">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5">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3">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3">
      <c r="B26" s="454" t="s">
        <v>962</v>
      </c>
      <c r="C26" s="455" t="s">
        <v>2147</v>
      </c>
      <c r="D26" s="456" t="s">
        <v>2147</v>
      </c>
      <c r="E26" s="456" t="s">
        <v>2147</v>
      </c>
      <c r="F26" s="4174">
        <v>929.84990400000004</v>
      </c>
      <c r="G26" s="4175">
        <f t="shared" si="0"/>
        <v>1.8666666666666671</v>
      </c>
      <c r="H26" s="4176">
        <f t="shared" si="1"/>
        <v>5.9714285714285727E-2</v>
      </c>
      <c r="I26" s="3332">
        <v>1.7357198208000004</v>
      </c>
      <c r="J26" s="3333">
        <v>5.5525322838857152E-2</v>
      </c>
      <c r="L26" s="159"/>
    </row>
    <row r="27" spans="2:24" ht="18" customHeight="1" x14ac:dyDescent="0.25">
      <c r="B27" s="446" t="s">
        <v>963</v>
      </c>
      <c r="C27" s="447"/>
      <c r="D27" s="448"/>
      <c r="E27" s="448"/>
      <c r="F27" s="4164">
        <f>IF(SUM(F28:F29)=0,"NO",SUM(F28:F29))</f>
        <v>57.899900982534334</v>
      </c>
      <c r="G27" s="4165">
        <f t="shared" si="0"/>
        <v>1.8693849946100121</v>
      </c>
      <c r="H27" s="4166">
        <f t="shared" si="1"/>
        <v>0.10992055945782608</v>
      </c>
      <c r="I27" s="3220">
        <f>IF(SUM(I28:I29)=0,"NO",SUM(I28:I29))</f>
        <v>0.10823720608615518</v>
      </c>
      <c r="J27" s="449">
        <f>IF(SUM(J28:J29)=0,"NO",SUM(J28:J29))</f>
        <v>6.3643895085529079E-3</v>
      </c>
      <c r="L27" s="159"/>
      <c r="M27" s="159"/>
      <c r="N27" s="159"/>
      <c r="O27" s="159"/>
      <c r="P27" s="159"/>
      <c r="Q27" s="159"/>
      <c r="R27" s="159"/>
      <c r="S27" s="159"/>
      <c r="T27" s="159"/>
      <c r="U27" s="159"/>
      <c r="V27" s="159"/>
      <c r="W27" s="159"/>
      <c r="X27" s="159"/>
    </row>
    <row r="28" spans="2:24" ht="18" customHeight="1" x14ac:dyDescent="0.25">
      <c r="B28" s="2671" t="s">
        <v>2215</v>
      </c>
      <c r="C28" s="440" t="s">
        <v>2147</v>
      </c>
      <c r="D28" s="440" t="s">
        <v>2147</v>
      </c>
      <c r="E28" s="440" t="s">
        <v>2147</v>
      </c>
      <c r="F28" s="4163">
        <v>1.68633127240523</v>
      </c>
      <c r="G28" s="4161">
        <f t="shared" si="0"/>
        <v>1.9599999999999986</v>
      </c>
      <c r="H28" s="4162">
        <f t="shared" si="1"/>
        <v>0.19108571428571416</v>
      </c>
      <c r="I28" s="3329">
        <v>3.3052092939142483E-3</v>
      </c>
      <c r="J28" s="3327">
        <v>3.2223381570989059E-4</v>
      </c>
      <c r="L28" s="159"/>
      <c r="M28" s="159"/>
      <c r="N28" s="159"/>
      <c r="O28" s="159"/>
      <c r="P28" s="159"/>
      <c r="Q28" s="159"/>
      <c r="R28" s="159"/>
      <c r="S28" s="159"/>
      <c r="T28" s="159"/>
      <c r="U28" s="159"/>
      <c r="V28" s="159"/>
      <c r="W28" s="159"/>
      <c r="X28" s="159"/>
    </row>
    <row r="29" spans="2:24" ht="18" customHeight="1" thickBot="1" x14ac:dyDescent="0.3">
      <c r="B29" s="2671" t="s">
        <v>2216</v>
      </c>
      <c r="C29" s="440" t="s">
        <v>2147</v>
      </c>
      <c r="D29" s="440" t="s">
        <v>2147</v>
      </c>
      <c r="E29" s="440" t="s">
        <v>2147</v>
      </c>
      <c r="F29" s="4163">
        <v>56.2135697101291</v>
      </c>
      <c r="G29" s="4161">
        <f t="shared" ref="G29" si="2">IF(SUM($F29)=0,"NA",I29/$F29*1000)</f>
        <v>1.8666666666666658</v>
      </c>
      <c r="H29" s="4162">
        <f t="shared" ref="H29" si="3">IF(SUM($F29)=0,"NA",J29/$F29*1000)</f>
        <v>0.10748571428571424</v>
      </c>
      <c r="I29" s="3329">
        <v>0.10493199679224094</v>
      </c>
      <c r="J29" s="3327">
        <v>6.0421556928430169E-3</v>
      </c>
      <c r="L29" s="159"/>
      <c r="M29" s="159"/>
      <c r="N29" s="159"/>
      <c r="O29" s="159"/>
      <c r="P29" s="159"/>
      <c r="Q29" s="159"/>
      <c r="R29" s="159"/>
      <c r="S29" s="159"/>
      <c r="T29" s="159"/>
      <c r="U29" s="159"/>
      <c r="V29" s="159"/>
      <c r="W29" s="159"/>
      <c r="X29" s="159"/>
    </row>
    <row r="30" spans="2:24" ht="12" customHeight="1" x14ac:dyDescent="0.25">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5">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5">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5">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5">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5">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3">
      <c r="L36" s="159"/>
    </row>
    <row r="37" spans="2:24" ht="12" customHeight="1" x14ac:dyDescent="0.25">
      <c r="B37" s="1099" t="s">
        <v>390</v>
      </c>
      <c r="C37" s="1100"/>
      <c r="D37" s="1100"/>
      <c r="E37" s="1100"/>
      <c r="F37" s="1100"/>
      <c r="G37" s="1100"/>
      <c r="H37" s="1100"/>
      <c r="I37" s="1100"/>
      <c r="J37" s="1101"/>
      <c r="K37" s="159"/>
    </row>
    <row r="38" spans="2:24" ht="12" customHeight="1" x14ac:dyDescent="0.25">
      <c r="B38" s="1326"/>
      <c r="C38" s="1327"/>
      <c r="D38" s="1327"/>
      <c r="E38" s="1327"/>
      <c r="F38" s="1327"/>
      <c r="G38" s="1327"/>
      <c r="H38" s="1327"/>
      <c r="I38" s="1327"/>
      <c r="J38" s="1328"/>
      <c r="K38" s="159"/>
    </row>
    <row r="39" spans="2:24" ht="12" customHeight="1" x14ac:dyDescent="0.25">
      <c r="B39" s="1326"/>
      <c r="C39" s="1327"/>
      <c r="D39" s="1327"/>
      <c r="E39" s="1327"/>
      <c r="F39" s="1327"/>
      <c r="G39" s="1327"/>
      <c r="H39" s="1327"/>
      <c r="I39" s="1327"/>
      <c r="J39" s="1328"/>
      <c r="K39" s="159"/>
    </row>
    <row r="40" spans="2:24" ht="12" customHeight="1" x14ac:dyDescent="0.25">
      <c r="B40" s="1315"/>
      <c r="C40" s="1321"/>
      <c r="D40" s="1321"/>
      <c r="E40" s="1321"/>
      <c r="F40" s="1321"/>
      <c r="G40" s="1321"/>
      <c r="H40" s="1321"/>
      <c r="I40" s="1321"/>
      <c r="J40" s="1322"/>
      <c r="K40" s="159"/>
    </row>
    <row r="41" spans="2:24" ht="26.25" customHeight="1" thickBot="1" x14ac:dyDescent="0.3">
      <c r="B41" s="4464" t="s">
        <v>2217</v>
      </c>
      <c r="C41" s="4465"/>
      <c r="D41" s="4465"/>
      <c r="E41" s="4465"/>
      <c r="F41" s="4465"/>
      <c r="G41" s="4465"/>
      <c r="H41" s="4465"/>
      <c r="I41" s="4465"/>
      <c r="J41" s="4466"/>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3.2" x14ac:dyDescent="0.25"/>
  <cols>
    <col min="1" max="1" width="1.5546875" customWidth="1"/>
    <col min="2" max="2" width="52" customWidth="1"/>
    <col min="3" max="3" width="27.88671875" customWidth="1"/>
    <col min="4" max="4" width="27.44140625" customWidth="1"/>
    <col min="5" max="5" width="20.88671875" customWidth="1"/>
  </cols>
  <sheetData>
    <row r="1" spans="2:5" s="83" customFormat="1" ht="15.6" x14ac:dyDescent="0.3">
      <c r="B1" s="13" t="s">
        <v>1855</v>
      </c>
      <c r="E1" s="14" t="s">
        <v>2521</v>
      </c>
    </row>
    <row r="2" spans="2:5" s="83" customFormat="1" ht="18" x14ac:dyDescent="0.4">
      <c r="B2" s="208" t="s">
        <v>964</v>
      </c>
      <c r="C2" s="208"/>
      <c r="E2" s="14" t="s">
        <v>2522</v>
      </c>
    </row>
    <row r="3" spans="2:5" s="83" customFormat="1" ht="15.6" x14ac:dyDescent="0.3">
      <c r="B3" s="13" t="s">
        <v>62</v>
      </c>
      <c r="E3" s="14" t="s">
        <v>2144</v>
      </c>
    </row>
    <row r="4" spans="2:5" s="83" customFormat="1" ht="12" customHeight="1" x14ac:dyDescent="0.3">
      <c r="B4" s="13"/>
      <c r="E4" s="2"/>
    </row>
    <row r="5" spans="2:5" s="83" customFormat="1" ht="12" customHeight="1" x14ac:dyDescent="0.3">
      <c r="B5" s="13"/>
      <c r="E5" s="2"/>
    </row>
    <row r="6" spans="2:5" s="83" customFormat="1" ht="12" customHeight="1" thickBot="1" x14ac:dyDescent="0.3">
      <c r="B6" s="2446" t="s">
        <v>64</v>
      </c>
    </row>
    <row r="7" spans="2:5" s="83" customFormat="1" ht="27.75" customHeight="1" x14ac:dyDescent="0.25">
      <c r="B7" s="849" t="s">
        <v>65</v>
      </c>
      <c r="C7" s="458" t="s">
        <v>419</v>
      </c>
      <c r="D7" s="459" t="s">
        <v>123</v>
      </c>
      <c r="E7" s="460" t="s">
        <v>965</v>
      </c>
    </row>
    <row r="8" spans="2:5" s="83" customFormat="1" ht="14.4" x14ac:dyDescent="0.25">
      <c r="B8" s="1329"/>
      <c r="C8" s="461" t="s">
        <v>966</v>
      </c>
      <c r="D8" s="462" t="s">
        <v>967</v>
      </c>
      <c r="E8" s="463" t="s">
        <v>968</v>
      </c>
    </row>
    <row r="9" spans="2:5" s="83" customFormat="1" ht="15" thickBot="1" x14ac:dyDescent="0.3">
      <c r="B9" s="464"/>
      <c r="C9" s="465" t="s">
        <v>969</v>
      </c>
      <c r="D9" s="466" t="s">
        <v>970</v>
      </c>
      <c r="E9" s="465" t="s">
        <v>73</v>
      </c>
    </row>
    <row r="10" spans="2:5" s="83" customFormat="1" ht="18" customHeight="1" thickTop="1" x14ac:dyDescent="0.25">
      <c r="B10" s="846" t="s">
        <v>971</v>
      </c>
      <c r="C10" s="2673"/>
      <c r="D10" s="2673"/>
      <c r="E10" s="3433">
        <f>IF(SUM(E11:E12)=0,"NO",SUM(E11:E12))</f>
        <v>215.34654271285109</v>
      </c>
    </row>
    <row r="11" spans="2:5" s="83" customFormat="1" ht="18" customHeight="1" x14ac:dyDescent="0.25">
      <c r="B11" s="1854" t="s">
        <v>972</v>
      </c>
      <c r="C11" s="4187">
        <v>477712.52494683402</v>
      </c>
      <c r="D11" s="3594">
        <f>IF(SUM(C11)=0,"NA",E11*1000/(44/12)/C11)</f>
        <v>0.10800000000000003</v>
      </c>
      <c r="E11" s="3431">
        <v>189.17415987894631</v>
      </c>
    </row>
    <row r="12" spans="2:5" s="83" customFormat="1" ht="18" customHeight="1" x14ac:dyDescent="0.25">
      <c r="B12" s="1854" t="s">
        <v>973</v>
      </c>
      <c r="C12" s="4187">
        <v>57796.944057205998</v>
      </c>
      <c r="D12" s="3594">
        <f t="shared" ref="D12:D16" si="0">IF(SUM(C12)=0,"NA",E12*1000/(44/12)/C12)</f>
        <v>0.12349999999999993</v>
      </c>
      <c r="E12" s="3431">
        <v>26.172382833904766</v>
      </c>
    </row>
    <row r="13" spans="2:5" s="83" customFormat="1" ht="18" customHeight="1" x14ac:dyDescent="0.25">
      <c r="B13" s="846" t="s">
        <v>974</v>
      </c>
      <c r="C13" s="4188">
        <v>500000</v>
      </c>
      <c r="D13" s="4189">
        <f t="shared" si="0"/>
        <v>0.2</v>
      </c>
      <c r="E13" s="3432">
        <v>366.66666666666663</v>
      </c>
    </row>
    <row r="14" spans="2:5" s="83" customFormat="1" ht="18" customHeight="1" x14ac:dyDescent="0.25">
      <c r="B14" s="846" t="s">
        <v>975</v>
      </c>
      <c r="C14" s="4188" t="s">
        <v>2154</v>
      </c>
      <c r="D14" s="4189" t="str">
        <f t="shared" si="0"/>
        <v>NA</v>
      </c>
      <c r="E14" s="4190" t="s">
        <v>2154</v>
      </c>
    </row>
    <row r="15" spans="2:5" s="83" customFormat="1" ht="18" customHeight="1" x14ac:dyDescent="0.25">
      <c r="B15" s="846" t="s">
        <v>2062</v>
      </c>
      <c r="C15" s="3594" t="str">
        <f>C16</f>
        <v>NO</v>
      </c>
      <c r="D15" s="3594" t="str">
        <f t="shared" si="0"/>
        <v>NA</v>
      </c>
      <c r="E15" s="3594" t="str">
        <f>E16</f>
        <v>NO</v>
      </c>
    </row>
    <row r="16" spans="2:5" s="83" customFormat="1" ht="18" customHeight="1" thickBot="1" x14ac:dyDescent="0.3">
      <c r="B16" s="2674" t="s">
        <v>2147</v>
      </c>
      <c r="C16" s="4191" t="s">
        <v>2146</v>
      </c>
      <c r="D16" s="3598" t="str">
        <f t="shared" si="0"/>
        <v>NA</v>
      </c>
      <c r="E16" s="4192" t="s">
        <v>2146</v>
      </c>
    </row>
    <row r="17" spans="2:5" ht="12" customHeight="1" x14ac:dyDescent="0.25">
      <c r="B17" s="159"/>
      <c r="C17" s="159"/>
      <c r="D17" s="159"/>
      <c r="E17" s="159"/>
    </row>
    <row r="18" spans="2:5" ht="12" customHeight="1" x14ac:dyDescent="0.25">
      <c r="B18" s="83"/>
      <c r="C18" s="159"/>
      <c r="D18" s="159"/>
      <c r="E18" s="159"/>
    </row>
    <row r="19" spans="2:5" ht="12" customHeight="1" x14ac:dyDescent="0.25">
      <c r="B19" s="83"/>
      <c r="C19" s="159"/>
      <c r="D19" s="159"/>
      <c r="E19" s="159"/>
    </row>
    <row r="20" spans="2:5" ht="12" customHeight="1" x14ac:dyDescent="0.25">
      <c r="B20" s="83"/>
      <c r="C20" s="159"/>
      <c r="D20" s="159"/>
      <c r="E20" s="159"/>
    </row>
    <row r="21" spans="2:5" ht="12" customHeight="1" x14ac:dyDescent="0.25">
      <c r="B21" s="83"/>
      <c r="C21" s="159"/>
      <c r="D21" s="159"/>
      <c r="E21" s="159"/>
    </row>
    <row r="22" spans="2:5" ht="12" customHeight="1" thickBot="1" x14ac:dyDescent="0.3">
      <c r="B22" s="83"/>
      <c r="C22" s="159"/>
      <c r="D22" s="159"/>
      <c r="E22" s="159"/>
    </row>
    <row r="23" spans="2:5" ht="12" customHeight="1" x14ac:dyDescent="0.25">
      <c r="B23" s="223" t="s">
        <v>390</v>
      </c>
      <c r="C23" s="224"/>
      <c r="D23" s="224"/>
      <c r="E23" s="225"/>
    </row>
    <row r="24" spans="2:5" ht="12" customHeight="1" x14ac:dyDescent="0.25">
      <c r="B24" s="1318"/>
      <c r="C24" s="1319"/>
      <c r="D24" s="1319"/>
      <c r="E24" s="1320"/>
    </row>
    <row r="25" spans="2:5" ht="12" customHeight="1" x14ac:dyDescent="0.25">
      <c r="B25" s="1318"/>
      <c r="C25" s="1319"/>
      <c r="D25" s="1319"/>
      <c r="E25" s="1320"/>
    </row>
    <row r="26" spans="2:5" ht="12" customHeight="1" thickBot="1" x14ac:dyDescent="0.3">
      <c r="B26" s="1460"/>
      <c r="C26" s="1461"/>
      <c r="D26" s="1461"/>
      <c r="E26" s="1462"/>
    </row>
    <row r="27" spans="2:5" ht="12" customHeight="1" thickBot="1" x14ac:dyDescent="0.3">
      <c r="B27" s="1463"/>
      <c r="C27" s="1464"/>
      <c r="D27" s="1464"/>
      <c r="E27" s="1465"/>
    </row>
    <row r="29" spans="2:5" ht="15.6" x14ac:dyDescent="0.25">
      <c r="B29" s="468"/>
      <c r="C29" s="159"/>
      <c r="D29" s="159"/>
    </row>
    <row r="30" spans="2:5" x14ac:dyDescent="0.25">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3.2" x14ac:dyDescent="0.25"/>
  <cols>
    <col min="1" max="1" width="1.88671875" style="83" customWidth="1"/>
    <col min="2" max="2" width="60" style="83" customWidth="1"/>
    <col min="3" max="3" width="21" style="83" customWidth="1"/>
    <col min="4" max="4" width="14" style="83" customWidth="1"/>
    <col min="5" max="5" width="13.109375" style="83" customWidth="1"/>
    <col min="6" max="6" width="11.88671875" style="83" customWidth="1"/>
    <col min="7" max="8" width="11.44140625" style="83" customWidth="1"/>
    <col min="9" max="9" width="21" style="83" customWidth="1"/>
    <col min="10" max="16384" width="8" style="83"/>
  </cols>
  <sheetData>
    <row r="1" spans="2:9" ht="15.75" customHeight="1" x14ac:dyDescent="0.3">
      <c r="B1" s="13" t="s">
        <v>976</v>
      </c>
      <c r="I1" s="14" t="s">
        <v>2521</v>
      </c>
    </row>
    <row r="2" spans="2:9" ht="15.75" customHeight="1" x14ac:dyDescent="0.3">
      <c r="B2" s="13" t="s">
        <v>62</v>
      </c>
      <c r="I2" s="14" t="s">
        <v>2522</v>
      </c>
    </row>
    <row r="3" spans="2:9" ht="12" customHeight="1" x14ac:dyDescent="0.25">
      <c r="I3" s="14" t="s">
        <v>2144</v>
      </c>
    </row>
    <row r="4" spans="2:9" ht="12" hidden="1" customHeight="1" x14ac:dyDescent="0.25">
      <c r="I4" s="2"/>
    </row>
    <row r="5" spans="2:9" ht="12" hidden="1" customHeight="1" x14ac:dyDescent="0.25">
      <c r="I5" s="2"/>
    </row>
    <row r="6" spans="2:9" ht="12" hidden="1" customHeight="1" x14ac:dyDescent="0.25">
      <c r="I6" s="2"/>
    </row>
    <row r="7" spans="2:9" ht="13.8" thickBot="1" x14ac:dyDescent="0.3">
      <c r="B7" s="2446" t="s">
        <v>64</v>
      </c>
    </row>
    <row r="8" spans="2:9" ht="48" customHeight="1" x14ac:dyDescent="0.25">
      <c r="B8" s="1330" t="s">
        <v>65</v>
      </c>
      <c r="C8" s="470" t="s">
        <v>1956</v>
      </c>
      <c r="D8" s="471" t="s">
        <v>977</v>
      </c>
      <c r="E8" s="471" t="s">
        <v>978</v>
      </c>
      <c r="F8" s="471" t="s">
        <v>442</v>
      </c>
      <c r="G8" s="471" t="s">
        <v>70</v>
      </c>
      <c r="H8" s="470" t="s">
        <v>71</v>
      </c>
      <c r="I8" s="2473" t="s">
        <v>2031</v>
      </c>
    </row>
    <row r="9" spans="2:9" ht="15" thickBot="1" x14ac:dyDescent="0.3">
      <c r="B9" s="1331"/>
      <c r="C9" s="1102" t="s">
        <v>73</v>
      </c>
      <c r="D9" s="1103"/>
      <c r="E9" s="1103"/>
      <c r="F9" s="1103"/>
      <c r="G9" s="1103"/>
      <c r="H9" s="1103"/>
      <c r="I9" s="1800" t="s">
        <v>2032</v>
      </c>
    </row>
    <row r="10" spans="2:9" ht="18" customHeight="1" thickTop="1" thickBot="1" x14ac:dyDescent="0.3">
      <c r="B10" s="472" t="s">
        <v>980</v>
      </c>
      <c r="C10" s="2989">
        <f>IF(SUM(C11,C14,C17,C20,C23,C26,C29:C30)=0,"NO",SUM(C11,C14,C17,C20,C23,C26,C29:C30))</f>
        <v>173581.36026367306</v>
      </c>
      <c r="D10" s="2989">
        <f t="shared" ref="D10:H10" si="0">IF(SUM(D11,D14,D17,D20,D23,D26,D29:D30)=0,"NO",SUM(D11,D14,D17,D20,D23,D26,D29:D30))</f>
        <v>726.72987860600801</v>
      </c>
      <c r="E10" s="2989">
        <f t="shared" si="0"/>
        <v>16.158841561002379</v>
      </c>
      <c r="F10" s="2989">
        <f t="shared" si="0"/>
        <v>805.327215091016</v>
      </c>
      <c r="G10" s="2989">
        <f t="shared" si="0"/>
        <v>22878.202555428175</v>
      </c>
      <c r="H10" s="2990">
        <f t="shared" si="0"/>
        <v>1120.360602102716</v>
      </c>
      <c r="I10" s="2991">
        <f>IF(SUM(C10:E10)=0,"NO",SUM(C10)+28*SUM(D10)+265*SUM(E10))</f>
        <v>198211.88987830692</v>
      </c>
    </row>
    <row r="11" spans="2:9" ht="18" customHeight="1" x14ac:dyDescent="0.25">
      <c r="B11" s="473" t="s">
        <v>981</v>
      </c>
      <c r="C11" s="2992">
        <f>IF(SUM(C12:C13)=0,"NO",SUM(C12:C13))</f>
        <v>-15706.288508129443</v>
      </c>
      <c r="D11" s="2992">
        <f t="shared" ref="D11:H11" si="1">IF(SUM(D12:D13)=0,"NO",SUM(D12:D13))</f>
        <v>232.28726783832354</v>
      </c>
      <c r="E11" s="2992">
        <f t="shared" si="1"/>
        <v>4.5564987128722096</v>
      </c>
      <c r="F11" s="2992">
        <f t="shared" si="1"/>
        <v>250.68526459747403</v>
      </c>
      <c r="G11" s="2992">
        <f t="shared" si="1"/>
        <v>6795.9477145028586</v>
      </c>
      <c r="H11" s="2993">
        <f t="shared" si="1"/>
        <v>247.7119062261927</v>
      </c>
      <c r="I11" s="2994">
        <f t="shared" ref="I11:I32" si="2">IF(SUM(C11:E11)=0,"NO",SUM(C11)+28*SUM(D11)+265*SUM(E11))</f>
        <v>-7994.7728497452481</v>
      </c>
    </row>
    <row r="12" spans="2:9" ht="18" customHeight="1" x14ac:dyDescent="0.25">
      <c r="B12" s="474" t="s">
        <v>982</v>
      </c>
      <c r="C12" s="2995">
        <f>IF(SUM(Table4.A!U11,'Table4(IV)'!J12)=0,"NO",SUM(Table4.A!U11,'Table4(IV)'!J12))</f>
        <v>-8558.3743586932178</v>
      </c>
      <c r="D12" s="2995">
        <f>'Table4(IV)'!K12</f>
        <v>231.35921712770448</v>
      </c>
      <c r="E12" s="2995">
        <f>IF(SUM('Table4(III)'!I12,'Table4(IV)'!L12)=0,"NO",SUM('Table4(III)'!I12,'Table4(IV)'!L12))</f>
        <v>4.1806039169247287</v>
      </c>
      <c r="F12" s="2905">
        <v>250.02567375047173</v>
      </c>
      <c r="G12" s="2905">
        <v>6772.7985595756581</v>
      </c>
      <c r="H12" s="2906">
        <v>245.423228577185</v>
      </c>
      <c r="I12" s="2996">
        <f t="shared" si="2"/>
        <v>-972.45624113243957</v>
      </c>
    </row>
    <row r="13" spans="2:9" ht="18" customHeight="1" thickBot="1" x14ac:dyDescent="0.3">
      <c r="B13" s="475" t="s">
        <v>983</v>
      </c>
      <c r="C13" s="2997">
        <f>IF(SUM(Table4.A!U16,'Table4(IV)'!J19)=0,"NO",SUM(Table4.A!U16,'Table4(IV)'!J19))</f>
        <v>-7147.9141494362248</v>
      </c>
      <c r="D13" s="2997">
        <f>'Table4(IV)'!K19</f>
        <v>0.92805071061907063</v>
      </c>
      <c r="E13" s="2997">
        <f>IF(SUM('Table4(III)'!I13,'Table4(IV)'!L19)=0,"NO",SUM('Table4(III)'!I13,'Table4(IV)'!L19))</f>
        <v>0.3758947959474806</v>
      </c>
      <c r="F13" s="2908">
        <v>0.65959084700229564</v>
      </c>
      <c r="G13" s="2908">
        <v>23.149154927200907</v>
      </c>
      <c r="H13" s="2907">
        <v>2.288677649007687</v>
      </c>
      <c r="I13" s="2998">
        <f t="shared" si="2"/>
        <v>-7022.3166086128076</v>
      </c>
    </row>
    <row r="14" spans="2:9" ht="18" customHeight="1" x14ac:dyDescent="0.25">
      <c r="B14" s="473" t="s">
        <v>984</v>
      </c>
      <c r="C14" s="2992">
        <f>IF(SUM(C15:C16)=0,"NO",SUM(C15:C16))</f>
        <v>45095.37484836088</v>
      </c>
      <c r="D14" s="2992">
        <f t="shared" ref="D14" si="3">IF(SUM(D15:D16)=0,"NO",SUM(D15:D16))</f>
        <v>23.279248799999998</v>
      </c>
      <c r="E14" s="2992">
        <f t="shared" ref="E14" si="4">IF(SUM(E15:E16)=0,"NO",SUM(E15:E16))</f>
        <v>0.56256655724854365</v>
      </c>
      <c r="F14" s="2992">
        <f t="shared" ref="F14" si="5">IF(SUM(F15:F16)=0,"NO",SUM(F15:F16))</f>
        <v>17.528720078571428</v>
      </c>
      <c r="G14" s="2992">
        <f t="shared" ref="G14" si="6">IF(SUM(G15:G16)=0,"NO",SUM(G15:G16))</f>
        <v>686.52229100000011</v>
      </c>
      <c r="H14" s="2993">
        <f t="shared" ref="H14" si="7">IF(SUM(H15:H16)=0,"NO",SUM(H15:H16))</f>
        <v>82.986211000000011</v>
      </c>
      <c r="I14" s="2999">
        <f t="shared" si="2"/>
        <v>45896.273952431744</v>
      </c>
    </row>
    <row r="15" spans="2:9" ht="18" customHeight="1" x14ac:dyDescent="0.25">
      <c r="B15" s="474" t="s">
        <v>985</v>
      </c>
      <c r="C15" s="2995">
        <f>IF(SUM(Table4.B!S11,'Table4(IV)'!J26)=0,"NO",SUM(Table4.B!S11,'Table4(IV)'!J26))</f>
        <v>27085.798008219164</v>
      </c>
      <c r="D15" s="2995" t="str">
        <f>'Table4(IV)'!K26</f>
        <v>IE</v>
      </c>
      <c r="E15" s="2995" t="str">
        <f>'Table4(IV)'!L26</f>
        <v>IE</v>
      </c>
      <c r="F15" s="2905" t="s">
        <v>2153</v>
      </c>
      <c r="G15" s="2905" t="s">
        <v>2153</v>
      </c>
      <c r="H15" s="2906" t="s">
        <v>2153</v>
      </c>
      <c r="I15" s="2996">
        <f t="shared" si="2"/>
        <v>27085.798008219164</v>
      </c>
    </row>
    <row r="16" spans="2:9" ht="18" customHeight="1" thickBot="1" x14ac:dyDescent="0.3">
      <c r="B16" s="475" t="s">
        <v>986</v>
      </c>
      <c r="C16" s="2997">
        <f>IF(SUM(Table4.B!S13,'Table4(IV)'!J31)=0,"IE",SUM(Table4.B!S13,'Table4(IV)'!J31))</f>
        <v>18009.576840141712</v>
      </c>
      <c r="D16" s="2997">
        <f>'Table4(IV)'!K31</f>
        <v>23.279248799999998</v>
      </c>
      <c r="E16" s="2997">
        <f>IF(SUM('Table4(III)'!I21,'Table4(IV)'!L31)=0,"IE",SUM('Table4(III)'!I21,'Table4(IV)'!L31))</f>
        <v>0.56256655724854365</v>
      </c>
      <c r="F16" s="2908">
        <v>17.528720078571428</v>
      </c>
      <c r="G16" s="2908">
        <v>686.52229100000011</v>
      </c>
      <c r="H16" s="2907">
        <v>82.986211000000011</v>
      </c>
      <c r="I16" s="2998">
        <f t="shared" si="2"/>
        <v>18810.475944212572</v>
      </c>
    </row>
    <row r="17" spans="2:9" ht="18" customHeight="1" x14ac:dyDescent="0.25">
      <c r="B17" s="473" t="s">
        <v>987</v>
      </c>
      <c r="C17" s="2992">
        <f>IF(SUM(C18:C19)=0,"NO",SUM(C18:C19))</f>
        <v>142919.7014527928</v>
      </c>
      <c r="D17" s="2992">
        <f t="shared" ref="D17" si="8">IF(SUM(D18:D19)=0,"NO",SUM(D18:D19))</f>
        <v>375.31344528811064</v>
      </c>
      <c r="E17" s="2992">
        <f t="shared" ref="E17" si="9">IF(SUM(E18:E19)=0,"NO",SUM(E18:E19))</f>
        <v>10.622257691750296</v>
      </c>
      <c r="F17" s="2992">
        <f t="shared" ref="F17" si="10">IF(SUM(F18:F19)=0,"NO",SUM(F18:F19))</f>
        <v>513.57839919310254</v>
      </c>
      <c r="G17" s="2992">
        <f t="shared" ref="G17" si="11">IF(SUM(G18:G19)=0,"NO",SUM(G18:G19))</f>
        <v>14755.023040524793</v>
      </c>
      <c r="H17" s="2993">
        <f t="shared" ref="H17" si="12">IF(SUM(H18:H19)=0,"NO",SUM(H18:H19))</f>
        <v>765.57018836849954</v>
      </c>
      <c r="I17" s="2999">
        <f t="shared" si="2"/>
        <v>156243.37620917373</v>
      </c>
    </row>
    <row r="18" spans="2:9" ht="18" customHeight="1" x14ac:dyDescent="0.25">
      <c r="B18" s="474" t="s">
        <v>988</v>
      </c>
      <c r="C18" s="2995">
        <f>IF(SUM(Table4.C!S11,'Table4(IV)'!J37)=0,"IE",SUM(Table4.C!S11,'Table4(IV)'!J37))</f>
        <v>-556.98581496208067</v>
      </c>
      <c r="D18" s="2995">
        <f>'Table4(IV)'!K37</f>
        <v>166.80585711532351</v>
      </c>
      <c r="E18" s="2995">
        <f>IF(SUM('Table4(III)'!I29,'Table4(IV)'!L37)=0,"NO",SUM('Table4(III)'!I29,'Table4(IV)'!L37))</f>
        <v>6.2044866790398148</v>
      </c>
      <c r="F18" s="2905">
        <v>355.63823080520478</v>
      </c>
      <c r="G18" s="2905">
        <v>8593.8570278966781</v>
      </c>
      <c r="H18" s="2906">
        <v>25.493721845327073</v>
      </c>
      <c r="I18" s="2996">
        <f t="shared" si="2"/>
        <v>5757.7671542125281</v>
      </c>
    </row>
    <row r="19" spans="2:9" ht="18" customHeight="1" thickBot="1" x14ac:dyDescent="0.3">
      <c r="B19" s="475" t="s">
        <v>989</v>
      </c>
      <c r="C19" s="2997">
        <f>IF(SUM(Table4.C!S15,'Table4(IV)'!J42)=0,"IE",SUM(Table4.C!S15,'Table4(IV)'!J42))</f>
        <v>143476.68726775487</v>
      </c>
      <c r="D19" s="2997">
        <f>'Table4(IV)'!K42</f>
        <v>208.50758817278711</v>
      </c>
      <c r="E19" s="2997">
        <f>IF(SUM('Table4(III)'!I30,'Table4(IV)'!L42)=0,"NO",SUM('Table4(III)'!I30,'Table4(IV)'!L42))</f>
        <v>4.4177710127104817</v>
      </c>
      <c r="F19" s="2908">
        <v>157.94016838789778</v>
      </c>
      <c r="G19" s="2908">
        <v>6161.1660126281149</v>
      </c>
      <c r="H19" s="2907">
        <v>740.07646652317248</v>
      </c>
      <c r="I19" s="2998">
        <f t="shared" si="2"/>
        <v>150485.60905496118</v>
      </c>
    </row>
    <row r="20" spans="2:9" ht="18" customHeight="1" x14ac:dyDescent="0.25">
      <c r="B20" s="473" t="s">
        <v>2027</v>
      </c>
      <c r="C20" s="2992">
        <f>IF(SUM(C21:C22)=0,"NO",SUM(C21:C22))</f>
        <v>1393.2728901558985</v>
      </c>
      <c r="D20" s="2992">
        <f t="shared" ref="D20" si="13">IF(SUM(D21:D22)=0,"NO",SUM(D21:D22))</f>
        <v>89.171434279573845</v>
      </c>
      <c r="E20" s="2992">
        <f t="shared" ref="E20" si="14">IF(SUM(E21:E22)=0,"NO",SUM(E21:E22))</f>
        <v>0.25716816698448591</v>
      </c>
      <c r="F20" s="2992">
        <f t="shared" ref="F20" si="15">IF(SUM(F21:F22)=0,"NO",SUM(F21:F22))</f>
        <v>18.506092986153668</v>
      </c>
      <c r="G20" s="2992">
        <f t="shared" ref="G20" si="16">IF(SUM(G21:G22)=0,"NO",SUM(G21:G22))</f>
        <v>443.75611640052279</v>
      </c>
      <c r="H20" s="2993">
        <f t="shared" ref="H20" si="17">IF(SUM(H21:H22)=0,"NO",SUM(H21:H22))</f>
        <v>0.28474350802366877</v>
      </c>
      <c r="I20" s="2999">
        <f t="shared" si="2"/>
        <v>3958.222614234855</v>
      </c>
    </row>
    <row r="21" spans="2:9" ht="18" customHeight="1" x14ac:dyDescent="0.25">
      <c r="B21" s="474" t="s">
        <v>990</v>
      </c>
      <c r="C21" s="2995">
        <f>IF(SUM(Table4.D!S11,'Table4(IV)'!J49)=0,"IE",SUM(Table4.D!S11,'Table4(IV)'!J49))</f>
        <v>674.88122348923207</v>
      </c>
      <c r="D21" s="2995">
        <f>IF(SUM('Table4(IV)'!K49,'Table4(II)'!J270)=0,"NO",SUM('Table4(IV)'!K49,'Table4(II)'!J270))</f>
        <v>49.144474204640602</v>
      </c>
      <c r="E21" s="2995">
        <f>IF(SUM('Table4(II)'!I270,'Table4(III)'!I38,'Table4(IV)'!L49)=0,"NO",SUM('Table4(II)'!I270,'Table4(III)'!I38,'Table4(IV)'!L49))</f>
        <v>0.25716816698448591</v>
      </c>
      <c r="F21" s="2905">
        <v>18.506092986153668</v>
      </c>
      <c r="G21" s="2905">
        <v>443.75611640052279</v>
      </c>
      <c r="H21" s="2906">
        <v>0.28474350802366877</v>
      </c>
      <c r="I21" s="2996">
        <f t="shared" si="2"/>
        <v>2119.076065470058</v>
      </c>
    </row>
    <row r="22" spans="2:9" ht="18" customHeight="1" thickBot="1" x14ac:dyDescent="0.3">
      <c r="B22" s="475" t="s">
        <v>991</v>
      </c>
      <c r="C22" s="2997">
        <f>IF(SUM(Table4.D!S23,'Table4(II)'!H320,'Table4(IV)'!J54)=0,"NO",SUM(Table4.D!S23,'Table4(II)'!H320,'Table4(IV)'!J54))</f>
        <v>718.39166666666654</v>
      </c>
      <c r="D22" s="2997">
        <f>IF(SUM('Table4(IV)'!K54,'Table4(II)'!J320)=0,"NO",SUM('Table4(IV)'!K54,'Table4(II)'!J320))</f>
        <v>40.026960074933235</v>
      </c>
      <c r="E22" s="2997" t="str">
        <f>IF(SUM('Table4(II)'!I320,'Table4(III)'!I39,'Table4(IV)'!L54)=0,"NO",SUM('Table4(II)'!I320,'Table4(III)'!I39,'Table4(IV)'!L54))</f>
        <v>NO</v>
      </c>
      <c r="F22" s="2908" t="s">
        <v>2153</v>
      </c>
      <c r="G22" s="2908" t="s">
        <v>2153</v>
      </c>
      <c r="H22" s="2907" t="s">
        <v>2153</v>
      </c>
      <c r="I22" s="2998">
        <f t="shared" si="2"/>
        <v>1839.146548764797</v>
      </c>
    </row>
    <row r="23" spans="2:9" ht="18" customHeight="1" x14ac:dyDescent="0.25">
      <c r="B23" s="473" t="s">
        <v>992</v>
      </c>
      <c r="C23" s="2992">
        <f>IF(SUM(C24:C25)=0,"NO",SUM(C24:C25))</f>
        <v>7263.3273582147913</v>
      </c>
      <c r="D23" s="2992">
        <f t="shared" ref="D23" si="18">IF(SUM(D24:D25)=0,"NO",SUM(D24:D25))</f>
        <v>6.6784824</v>
      </c>
      <c r="E23" s="2992">
        <f t="shared" ref="E23" si="19">IF(SUM(E24:E25)=0,"NO",SUM(E24:E25))</f>
        <v>0.1475923807182756</v>
      </c>
      <c r="F23" s="2992">
        <f>IF(SUM(F24:F25)=0,"NO",SUM(F24:F25))</f>
        <v>5.0287382357142851</v>
      </c>
      <c r="G23" s="2992">
        <f t="shared" ref="G23" si="20">IF(SUM(G24:G25)=0,"NO",SUM(G24:G25))</f>
        <v>196.95339300000003</v>
      </c>
      <c r="H23" s="2993">
        <f t="shared" ref="H23" si="21">IF(SUM(H24:H25)=0,"NO",SUM(H24:H25))</f>
        <v>23.807552999999999</v>
      </c>
      <c r="I23" s="2999">
        <f t="shared" si="2"/>
        <v>7489.4368463051342</v>
      </c>
    </row>
    <row r="24" spans="2:9" ht="18" customHeight="1" x14ac:dyDescent="0.25">
      <c r="B24" s="474" t="s">
        <v>993</v>
      </c>
      <c r="C24" s="2995">
        <f>IF(SUM(Table4.E!S11,'Table4(IV)'!J60)=0,"IE",SUM(Table4.E!S11,'Table4(IV)'!J60))</f>
        <v>-38.216242885715467</v>
      </c>
      <c r="D24" s="2995" t="str">
        <f>'Table4(IV)'!K60</f>
        <v>IE</v>
      </c>
      <c r="E24" s="2995">
        <f>IF(SUM('Table4(III)'!I47,'Table4(IV)'!L60)=0,"IE",SUM('Table4(III)'!I47,'Table4(IV)'!L60))</f>
        <v>3.2583141021440477E-4</v>
      </c>
      <c r="F24" s="2905" t="s">
        <v>2154</v>
      </c>
      <c r="G24" s="2905" t="s">
        <v>2154</v>
      </c>
      <c r="H24" s="2906" t="s">
        <v>2154</v>
      </c>
      <c r="I24" s="2996">
        <f t="shared" si="2"/>
        <v>-38.129897562008651</v>
      </c>
    </row>
    <row r="25" spans="2:9" ht="18" customHeight="1" thickBot="1" x14ac:dyDescent="0.3">
      <c r="B25" s="475" t="s">
        <v>994</v>
      </c>
      <c r="C25" s="2997">
        <f>IF(SUM(Table4.E!S13,'Table4(IV)'!J65)=0,"IE",SUM(Table4.E!S13,'Table4(IV)'!J65))</f>
        <v>7301.5436011005067</v>
      </c>
      <c r="D25" s="2997">
        <f>'Table4(IV)'!K65</f>
        <v>6.6784824</v>
      </c>
      <c r="E25" s="2997">
        <f>IF(SUM('Table4(III)'!I48,'Table4(IV)'!L65)=0,"NO",SUM('Table4(III)'!I48,'Table4(IV)'!L65))</f>
        <v>0.14726654930806118</v>
      </c>
      <c r="F25" s="2908">
        <v>5.0287382357142851</v>
      </c>
      <c r="G25" s="2908">
        <v>196.95339300000003</v>
      </c>
      <c r="H25" s="2907">
        <v>23.807552999999999</v>
      </c>
      <c r="I25" s="2998">
        <f t="shared" si="2"/>
        <v>7527.5667438671426</v>
      </c>
    </row>
    <row r="26" spans="2:9" ht="18" customHeight="1" x14ac:dyDescent="0.25">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5">
      <c r="B27" s="474" t="s">
        <v>995</v>
      </c>
      <c r="C27" s="3000"/>
      <c r="D27" s="3000"/>
      <c r="E27" s="3000"/>
      <c r="F27" s="3000"/>
      <c r="G27" s="3000"/>
      <c r="H27" s="3001"/>
      <c r="I27" s="3002"/>
    </row>
    <row r="28" spans="2:9" ht="18" customHeight="1" thickBot="1" x14ac:dyDescent="0.3">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3">
      <c r="B29" s="1167" t="s">
        <v>2029</v>
      </c>
      <c r="C29" s="3003">
        <f>'Table4.Gs1 '!G10</f>
        <v>-7384.0277777218835</v>
      </c>
      <c r="D29" s="3004"/>
      <c r="E29" s="3004"/>
      <c r="F29" s="3004"/>
      <c r="G29" s="3004"/>
      <c r="H29" s="3005"/>
      <c r="I29" s="3006">
        <f t="shared" si="2"/>
        <v>-7384.0277777218835</v>
      </c>
    </row>
    <row r="30" spans="2:9" ht="18" customHeight="1" x14ac:dyDescent="0.25">
      <c r="B30" s="1168" t="s">
        <v>2063</v>
      </c>
      <c r="C30" s="3007" t="str">
        <f>IF(SUM(C31:C32)=0,"NO",SUM(C31:C32))</f>
        <v>NO</v>
      </c>
      <c r="D30" s="3007" t="str">
        <f t="shared" ref="D30" si="27">IF(SUM(D31:D32)=0,"NO",SUM(D31:D32))</f>
        <v>NO</v>
      </c>
      <c r="E30" s="3007">
        <f t="shared" ref="E30" si="28">IF(SUM(E31:E32)=0,"NO",SUM(E31:E32))</f>
        <v>1.2758051428571431E-2</v>
      </c>
      <c r="F30" s="3007" t="str">
        <f t="shared" ref="F30" si="29">IF(SUM(F31:F32)=0,"NO",SUM(F31:F32))</f>
        <v>NO</v>
      </c>
      <c r="G30" s="3007" t="str">
        <f t="shared" ref="G30" si="30">IF(SUM(G31:G32)=0,"NO",SUM(G31:G32))</f>
        <v>NO</v>
      </c>
      <c r="H30" s="3008" t="str">
        <f t="shared" ref="H30" si="31">IF(SUM(H31:H32)=0,"NO",SUM(H31:H32))</f>
        <v>NO</v>
      </c>
      <c r="I30" s="3009">
        <f t="shared" si="2"/>
        <v>3.3808836285714294</v>
      </c>
    </row>
    <row r="31" spans="2:9" ht="18" customHeight="1" x14ac:dyDescent="0.25">
      <c r="B31" s="2677" t="s">
        <v>2218</v>
      </c>
      <c r="C31" s="3010" t="s">
        <v>2146</v>
      </c>
      <c r="D31" s="3010" t="s">
        <v>2146</v>
      </c>
      <c r="E31" s="3010">
        <v>1.2758051428571431E-2</v>
      </c>
      <c r="F31" s="3010" t="s">
        <v>2146</v>
      </c>
      <c r="G31" s="3010" t="s">
        <v>2146</v>
      </c>
      <c r="H31" s="3011" t="s">
        <v>2146</v>
      </c>
      <c r="I31" s="3012">
        <f t="shared" si="2"/>
        <v>3.3808836285714294</v>
      </c>
    </row>
    <row r="32" spans="2:9" ht="18" customHeight="1" thickBot="1" x14ac:dyDescent="0.3">
      <c r="B32" s="2676" t="s">
        <v>2219</v>
      </c>
      <c r="C32" s="3013" t="s">
        <v>2146</v>
      </c>
      <c r="D32" s="3013" t="s">
        <v>2146</v>
      </c>
      <c r="E32" s="3013" t="s">
        <v>2146</v>
      </c>
      <c r="F32" s="3014" t="s">
        <v>2146</v>
      </c>
      <c r="G32" s="3014" t="s">
        <v>2146</v>
      </c>
      <c r="H32" s="3014" t="s">
        <v>2146</v>
      </c>
      <c r="I32" s="2998" t="str">
        <f t="shared" si="2"/>
        <v>NO</v>
      </c>
    </row>
    <row r="33" spans="2:9" ht="18" customHeight="1" thickBot="1" x14ac:dyDescent="0.3">
      <c r="B33" s="1554"/>
      <c r="C33" s="3015"/>
      <c r="D33" s="3015"/>
      <c r="E33" s="3015"/>
      <c r="F33" s="3015"/>
      <c r="G33" s="3015"/>
      <c r="H33" s="3015"/>
      <c r="I33" s="3015"/>
    </row>
    <row r="34" spans="2:9" ht="18" customHeight="1" x14ac:dyDescent="0.25">
      <c r="B34" s="1555" t="s">
        <v>997</v>
      </c>
      <c r="C34" s="3016"/>
      <c r="D34" s="3016"/>
      <c r="E34" s="3016"/>
      <c r="F34" s="3016"/>
      <c r="G34" s="3016"/>
      <c r="H34" s="3016"/>
      <c r="I34" s="3017"/>
    </row>
    <row r="35" spans="2:9" ht="18" customHeight="1" thickBot="1" x14ac:dyDescent="0.3">
      <c r="B35" s="1801" t="s">
        <v>2030</v>
      </c>
      <c r="C35" s="3013" t="s">
        <v>2146</v>
      </c>
      <c r="D35" s="3013" t="s">
        <v>2146</v>
      </c>
      <c r="E35" s="3013" t="s">
        <v>2146</v>
      </c>
      <c r="F35" s="3013" t="s">
        <v>2146</v>
      </c>
      <c r="G35" s="3013" t="s">
        <v>2146</v>
      </c>
      <c r="H35" s="3013" t="s">
        <v>2146</v>
      </c>
      <c r="I35" s="3018" t="str">
        <f t="shared" ref="I35" si="32">IF(SUM(C35:E35)=0,"NO",SUM(C35)+28*SUM(D35)+265*SUM(E35))</f>
        <v>NO</v>
      </c>
    </row>
    <row r="36" spans="2:9" ht="12" customHeight="1" x14ac:dyDescent="0.25">
      <c r="B36" s="247"/>
      <c r="C36" s="247"/>
      <c r="D36" s="247"/>
      <c r="E36" s="247"/>
      <c r="F36" s="247"/>
      <c r="G36" s="247"/>
      <c r="H36" s="247"/>
    </row>
    <row r="37" spans="2:9" ht="12" customHeight="1" x14ac:dyDescent="0.25">
      <c r="B37" s="1013"/>
      <c r="C37" s="1104"/>
      <c r="D37" s="1104"/>
      <c r="E37" s="1104"/>
      <c r="F37" s="1104"/>
      <c r="G37" s="1104"/>
      <c r="H37" s="1104"/>
    </row>
    <row r="38" spans="2:9" ht="12" customHeight="1" x14ac:dyDescent="0.25">
      <c r="B38" s="1105"/>
      <c r="C38" s="1106"/>
      <c r="D38" s="1106"/>
      <c r="E38" s="1106"/>
      <c r="F38" s="1106"/>
      <c r="G38" s="1106"/>
      <c r="H38" s="1106"/>
    </row>
    <row r="39" spans="2:9" ht="12" customHeight="1" x14ac:dyDescent="0.25">
      <c r="B39" s="1013"/>
      <c r="C39" s="1072"/>
      <c r="D39" s="1072"/>
      <c r="E39" s="1072"/>
      <c r="F39" s="1072"/>
      <c r="G39" s="1072"/>
      <c r="H39" s="1072"/>
    </row>
    <row r="40" spans="2:9" ht="12" customHeight="1" x14ac:dyDescent="0.25">
      <c r="B40" s="1013"/>
      <c r="C40" s="1072"/>
      <c r="D40" s="1072"/>
      <c r="E40" s="1072"/>
      <c r="F40" s="1072"/>
      <c r="G40" s="1072"/>
      <c r="H40" s="1072"/>
    </row>
    <row r="41" spans="2:9" ht="12" customHeight="1" x14ac:dyDescent="0.25">
      <c r="B41" s="1013"/>
      <c r="C41" s="1072"/>
      <c r="D41" s="1072"/>
      <c r="E41" s="1072"/>
      <c r="F41" s="1072"/>
      <c r="G41" s="1072"/>
      <c r="H41" s="1072"/>
    </row>
    <row r="42" spans="2:9" ht="12" customHeight="1" x14ac:dyDescent="0.25">
      <c r="B42" s="1013"/>
      <c r="C42" s="1072"/>
      <c r="D42" s="1072"/>
      <c r="E42" s="1072"/>
      <c r="F42" s="1072"/>
      <c r="G42" s="1072"/>
      <c r="H42" s="1072"/>
    </row>
    <row r="43" spans="2:9" ht="12" customHeight="1" x14ac:dyDescent="0.25">
      <c r="B43" s="1013"/>
      <c r="C43" s="1072"/>
      <c r="D43" s="1072"/>
      <c r="E43" s="1072"/>
      <c r="F43" s="1072"/>
      <c r="G43" s="1072"/>
      <c r="H43" s="1072"/>
    </row>
    <row r="44" spans="2:9" ht="12" customHeight="1" x14ac:dyDescent="0.25">
      <c r="B44" s="1013"/>
      <c r="C44" s="1072"/>
      <c r="D44" s="1072"/>
      <c r="E44" s="1072"/>
      <c r="F44" s="1072"/>
      <c r="G44" s="1072"/>
      <c r="H44" s="1072"/>
    </row>
    <row r="45" spans="2:9" ht="12" customHeight="1" x14ac:dyDescent="0.25">
      <c r="B45" s="1013"/>
      <c r="C45" s="1072"/>
      <c r="D45" s="1072"/>
      <c r="E45" s="1072"/>
      <c r="F45" s="1072"/>
      <c r="G45" s="1072"/>
      <c r="H45" s="1072"/>
    </row>
    <row r="46" spans="2:9" ht="12" customHeight="1" x14ac:dyDescent="0.25">
      <c r="B46" s="1013"/>
      <c r="C46" s="1072"/>
      <c r="D46" s="1072"/>
      <c r="E46" s="1072"/>
      <c r="F46" s="1072"/>
      <c r="G46" s="1072"/>
      <c r="H46" s="1072"/>
    </row>
    <row r="47" spans="2:9" ht="12" customHeight="1" x14ac:dyDescent="0.25">
      <c r="B47" s="1013"/>
      <c r="C47" s="1072"/>
      <c r="D47" s="1072"/>
      <c r="E47" s="1072"/>
      <c r="F47" s="1072"/>
      <c r="G47" s="1072"/>
      <c r="H47" s="1072"/>
    </row>
    <row r="48" spans="2:9" ht="12" customHeight="1" x14ac:dyDescent="0.25">
      <c r="B48" s="1013"/>
      <c r="C48" s="1072"/>
      <c r="D48" s="1072"/>
      <c r="E48" s="1072"/>
      <c r="F48" s="1072"/>
      <c r="G48" s="1072"/>
      <c r="H48" s="1072"/>
    </row>
    <row r="49" spans="2:9" ht="12" customHeight="1" x14ac:dyDescent="0.25">
      <c r="B49" s="1013"/>
      <c r="C49" s="1072"/>
      <c r="D49" s="1072"/>
      <c r="E49" s="1072"/>
      <c r="F49" s="1072"/>
      <c r="G49" s="1072"/>
      <c r="H49" s="1072"/>
    </row>
    <row r="50" spans="2:9" ht="12" customHeight="1" x14ac:dyDescent="0.25">
      <c r="B50" s="1013"/>
      <c r="C50" s="1072"/>
      <c r="D50" s="1072"/>
      <c r="E50" s="1072"/>
      <c r="F50" s="1072"/>
      <c r="G50" s="1072"/>
      <c r="H50" s="1072"/>
      <c r="I50" s="83" t="s">
        <v>389</v>
      </c>
    </row>
    <row r="51" spans="2:9" ht="12" customHeight="1" thickBot="1" x14ac:dyDescent="0.3">
      <c r="B51" s="1013"/>
      <c r="C51" s="1072"/>
      <c r="D51" s="1072"/>
      <c r="E51" s="1072"/>
      <c r="F51" s="1072"/>
      <c r="G51" s="1072"/>
      <c r="H51" s="1072"/>
    </row>
    <row r="52" spans="2:9" ht="12" customHeight="1" x14ac:dyDescent="0.25">
      <c r="B52" s="1332" t="s">
        <v>390</v>
      </c>
      <c r="C52" s="1107"/>
      <c r="D52" s="1107"/>
      <c r="E52" s="1107"/>
      <c r="F52" s="1107"/>
      <c r="G52" s="1107"/>
      <c r="H52" s="1107"/>
      <c r="I52" s="1108"/>
    </row>
    <row r="53" spans="2:9" ht="12" customHeight="1" x14ac:dyDescent="0.25">
      <c r="B53" s="1109"/>
      <c r="C53" s="1113"/>
      <c r="D53" s="1113"/>
      <c r="E53" s="1113"/>
      <c r="F53" s="1113"/>
      <c r="G53" s="1113"/>
      <c r="H53" s="1113"/>
      <c r="I53" s="1114"/>
    </row>
    <row r="54" spans="2:9" ht="12" customHeight="1" x14ac:dyDescent="0.25">
      <c r="B54" s="1109"/>
      <c r="C54" s="1113"/>
      <c r="D54" s="1113"/>
      <c r="E54" s="1113"/>
      <c r="F54" s="1113"/>
      <c r="G54" s="1113"/>
      <c r="H54" s="1113"/>
      <c r="I54" s="1114"/>
    </row>
    <row r="55" spans="2:9" ht="12" customHeight="1" x14ac:dyDescent="0.25">
      <c r="B55" s="1109"/>
      <c r="C55" s="1113"/>
      <c r="D55" s="1113"/>
      <c r="E55" s="1113"/>
      <c r="F55" s="1113"/>
      <c r="G55" s="1113"/>
      <c r="H55" s="1113"/>
      <c r="I55" s="1114"/>
    </row>
    <row r="56" spans="2:9" ht="12" customHeight="1" x14ac:dyDescent="0.25">
      <c r="B56" s="1109"/>
      <c r="C56" s="1113"/>
      <c r="D56" s="1113"/>
      <c r="E56" s="1113"/>
      <c r="F56" s="1113"/>
      <c r="G56" s="1113"/>
      <c r="H56" s="1113"/>
      <c r="I56" s="1114"/>
    </row>
    <row r="57" spans="2:9" ht="12" customHeight="1" x14ac:dyDescent="0.25">
      <c r="B57" s="1109"/>
      <c r="C57" s="1113"/>
      <c r="D57" s="1113"/>
      <c r="E57" s="1113"/>
      <c r="F57" s="1113"/>
      <c r="G57" s="1113"/>
      <c r="H57" s="1113"/>
      <c r="I57" s="1114"/>
    </row>
    <row r="58" spans="2:9" ht="12" customHeight="1" x14ac:dyDescent="0.25">
      <c r="B58" s="1109"/>
      <c r="C58" s="1113"/>
      <c r="D58" s="1113"/>
      <c r="E58" s="1113"/>
      <c r="F58" s="1113"/>
      <c r="G58" s="1113"/>
      <c r="H58" s="1113"/>
      <c r="I58" s="1114"/>
    </row>
    <row r="59" spans="2:9" ht="12" customHeight="1" x14ac:dyDescent="0.25">
      <c r="B59" s="1110"/>
      <c r="C59" s="1111"/>
      <c r="D59" s="1111"/>
      <c r="E59" s="1111"/>
      <c r="F59" s="1111"/>
      <c r="G59" s="1111"/>
      <c r="H59" s="1111"/>
      <c r="I59" s="1112"/>
    </row>
    <row r="60" spans="2:9" ht="41.25" customHeight="1" thickBot="1" x14ac:dyDescent="0.3">
      <c r="B60" s="4437" t="s">
        <v>2294</v>
      </c>
      <c r="C60" s="4438"/>
      <c r="D60" s="4438"/>
      <c r="E60" s="4438"/>
      <c r="F60" s="4438"/>
      <c r="G60" s="4438"/>
      <c r="H60" s="4438"/>
      <c r="I60" s="4439"/>
    </row>
    <row r="61" spans="2:9" ht="15.75" customHeight="1" x14ac:dyDescent="0.25">
      <c r="B61" s="85"/>
      <c r="C61" s="85"/>
      <c r="D61" s="85"/>
      <c r="E61" s="85"/>
      <c r="F61" s="85"/>
      <c r="G61" s="85"/>
      <c r="H61" s="85"/>
    </row>
    <row r="62" spans="2:9" ht="15.75" customHeight="1" x14ac:dyDescent="0.25"/>
    <row r="63" spans="2:9" ht="15.75" customHeight="1" x14ac:dyDescent="0.25"/>
    <row r="64" spans="2:9"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5" ht="13.5" customHeight="1" x14ac:dyDescent="0.25"/>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5"/>
  <cols>
    <col min="1" max="1" width="1.88671875" customWidth="1"/>
    <col min="2" max="2" width="56.88671875" customWidth="1"/>
    <col min="3" max="3" width="18.88671875" customWidth="1"/>
    <col min="4" max="4" width="19.109375" customWidth="1"/>
    <col min="5" max="5" width="16" customWidth="1"/>
    <col min="6" max="6" width="17" customWidth="1"/>
    <col min="7" max="7" width="18.88671875" customWidth="1"/>
    <col min="8" max="8" width="19.88671875" customWidth="1"/>
    <col min="9" max="9" width="20.109375" customWidth="1"/>
    <col min="10" max="10" width="26.33203125" customWidth="1"/>
  </cols>
  <sheetData>
    <row r="1" spans="2:10" ht="16.350000000000001" customHeight="1" x14ac:dyDescent="0.3">
      <c r="B1" s="13" t="s">
        <v>60</v>
      </c>
      <c r="I1" s="14"/>
      <c r="J1" s="14" t="s">
        <v>2521</v>
      </c>
    </row>
    <row r="2" spans="2:10" ht="16.350000000000001" customHeight="1" x14ac:dyDescent="0.25">
      <c r="B2" s="3" t="s">
        <v>62</v>
      </c>
      <c r="I2" s="14"/>
      <c r="J2" s="14" t="s">
        <v>2522</v>
      </c>
    </row>
    <row r="3" spans="2:10" ht="16.350000000000001" customHeight="1" x14ac:dyDescent="0.25">
      <c r="H3" s="14"/>
      <c r="I3" s="14"/>
      <c r="J3" s="14" t="s">
        <v>2144</v>
      </c>
    </row>
    <row r="4" spans="2:10" ht="12" hidden="1" customHeight="1" x14ac:dyDescent="0.25">
      <c r="H4" s="14"/>
      <c r="I4" s="14"/>
      <c r="J4" s="14"/>
    </row>
    <row r="5" spans="2:10" ht="12" hidden="1" customHeight="1" x14ac:dyDescent="0.25">
      <c r="H5" s="14"/>
      <c r="I5" s="14"/>
      <c r="J5" s="14"/>
    </row>
    <row r="6" spans="2:10" ht="12" hidden="1" customHeight="1" x14ac:dyDescent="0.25">
      <c r="H6" s="14"/>
      <c r="I6" s="14"/>
      <c r="J6" s="14"/>
    </row>
    <row r="7" spans="2:10" ht="12" customHeight="1" thickBot="1" x14ac:dyDescent="0.3">
      <c r="B7" s="2447" t="s">
        <v>64</v>
      </c>
      <c r="C7" s="4"/>
      <c r="D7" s="4"/>
      <c r="E7" s="4"/>
      <c r="F7" s="4"/>
      <c r="G7" s="4"/>
      <c r="H7" s="4"/>
      <c r="I7" s="24"/>
    </row>
    <row r="8" spans="2:10" ht="12" customHeight="1" x14ac:dyDescent="0.25">
      <c r="B8" s="1121" t="s">
        <v>65</v>
      </c>
      <c r="C8" s="15" t="s">
        <v>66</v>
      </c>
      <c r="D8" s="15" t="s">
        <v>67</v>
      </c>
      <c r="E8" s="15" t="s">
        <v>68</v>
      </c>
      <c r="F8" s="15" t="s">
        <v>69</v>
      </c>
      <c r="G8" s="15" t="s">
        <v>70</v>
      </c>
      <c r="H8" s="15" t="s">
        <v>71</v>
      </c>
      <c r="I8" s="16" t="s">
        <v>72</v>
      </c>
      <c r="J8" s="2464" t="s">
        <v>2005</v>
      </c>
    </row>
    <row r="9" spans="2:10" ht="12" customHeight="1" thickBot="1" x14ac:dyDescent="0.3">
      <c r="B9" s="1122"/>
      <c r="C9" s="174" t="s">
        <v>73</v>
      </c>
      <c r="D9" s="175"/>
      <c r="E9" s="175"/>
      <c r="F9" s="175"/>
      <c r="G9" s="175"/>
      <c r="H9" s="175"/>
      <c r="I9" s="176"/>
      <c r="J9" s="1800" t="s">
        <v>2006</v>
      </c>
    </row>
    <row r="10" spans="2:10" s="83" customFormat="1" ht="18" customHeight="1" thickTop="1" thickBot="1" x14ac:dyDescent="0.3">
      <c r="B10" s="17" t="s">
        <v>74</v>
      </c>
      <c r="C10" s="3765">
        <f>IF(SUM(C11,C37,C47)=0,"NO",SUM(C11,C37,C47))</f>
        <v>258951.78460704247</v>
      </c>
      <c r="D10" s="3765">
        <f t="shared" ref="D10:I10" si="0">IF(SUM(D11,D37,D47)=0,"NO",SUM(D11,D37,D47))</f>
        <v>1310.3339481307389</v>
      </c>
      <c r="E10" s="3765">
        <f t="shared" si="0"/>
        <v>6.5822252886058914</v>
      </c>
      <c r="F10" s="3765">
        <f t="shared" si="0"/>
        <v>1555.2536257430033</v>
      </c>
      <c r="G10" s="3765">
        <f t="shared" si="0"/>
        <v>5262.8719420722582</v>
      </c>
      <c r="H10" s="3765">
        <f t="shared" si="0"/>
        <v>798.56234600212474</v>
      </c>
      <c r="I10" s="3766">
        <f t="shared" si="0"/>
        <v>560.29188011979056</v>
      </c>
      <c r="J10" s="3028">
        <f t="shared" ref="J10:J40" si="1">IF(SUM(C10:E10)=0,"NO",SUM(C10,IFERROR(28*D10,0),IFERROR(265*E10,0)))</f>
        <v>297385.4248561837</v>
      </c>
    </row>
    <row r="11" spans="2:10" s="83" customFormat="1" ht="18" customHeight="1" thickBot="1" x14ac:dyDescent="0.3">
      <c r="B11" s="18" t="s">
        <v>75</v>
      </c>
      <c r="C11" s="3029">
        <f>IF(SUM(C12,C16,C24,C30,C34)=0,"NO",SUM(C12,C16,C24,C30,C34))</f>
        <v>251679.28872254473</v>
      </c>
      <c r="D11" s="3029">
        <f t="shared" ref="D11:I11" si="2">IF(SUM(D12,D16,D24,D30,D34)=0,"NO",SUM(D12,D16,D24,D30,D34))</f>
        <v>131.64849530369335</v>
      </c>
      <c r="E11" s="3029">
        <f t="shared" si="2"/>
        <v>6.4471737052587219</v>
      </c>
      <c r="F11" s="3029">
        <f t="shared" si="2"/>
        <v>1551.0907917052798</v>
      </c>
      <c r="G11" s="3029">
        <f t="shared" si="2"/>
        <v>5238.7261046534622</v>
      </c>
      <c r="H11" s="3029">
        <f t="shared" si="2"/>
        <v>619.22966598668847</v>
      </c>
      <c r="I11" s="3030">
        <f t="shared" si="2"/>
        <v>560.29188011979056</v>
      </c>
      <c r="J11" s="3031">
        <f t="shared" si="1"/>
        <v>257073.94762294172</v>
      </c>
    </row>
    <row r="12" spans="2:10" s="83" customFormat="1" ht="18" customHeight="1" x14ac:dyDescent="0.25">
      <c r="B12" s="26" t="s">
        <v>76</v>
      </c>
      <c r="C12" s="3029">
        <f>IF(SUM(C13:C15)=0,"NO",SUM(C13:C15))</f>
        <v>142550.68803032237</v>
      </c>
      <c r="D12" s="3029">
        <f t="shared" ref="D12:I12" si="3">IF(SUM(D13:D15)=0,"NO",SUM(D13:D15))</f>
        <v>6.1186320590812242</v>
      </c>
      <c r="E12" s="3029">
        <f t="shared" si="3"/>
        <v>1.7009294785985118</v>
      </c>
      <c r="F12" s="3029">
        <f t="shared" si="3"/>
        <v>497.22413598484798</v>
      </c>
      <c r="G12" s="3029">
        <f t="shared" si="3"/>
        <v>69.848222145047913</v>
      </c>
      <c r="H12" s="3029">
        <f>IF(SUM(H13:H15)=0,"NO",SUM(H13:H15))</f>
        <v>9.9195002545177626</v>
      </c>
      <c r="I12" s="3030">
        <f t="shared" si="3"/>
        <v>408.55299865570981</v>
      </c>
      <c r="J12" s="3031">
        <f t="shared" si="1"/>
        <v>143172.75603980524</v>
      </c>
    </row>
    <row r="13" spans="2:10" s="83" customFormat="1" ht="18" customHeight="1" x14ac:dyDescent="0.25">
      <c r="B13" s="20" t="s">
        <v>77</v>
      </c>
      <c r="C13" s="3032">
        <f>'Table1.A(a)s1'!H24</f>
        <v>129096.60814965154</v>
      </c>
      <c r="D13" s="3032">
        <f>'Table1.A(a)s1'!I24</f>
        <v>1.3567494030445448</v>
      </c>
      <c r="E13" s="3032">
        <f>'Table1.A(a)s1'!J24</f>
        <v>1.508934034451336</v>
      </c>
      <c r="F13" s="3033">
        <v>398.37966041071019</v>
      </c>
      <c r="G13" s="3033">
        <v>46.596979901158321</v>
      </c>
      <c r="H13" s="3033">
        <v>3.472337303929141</v>
      </c>
      <c r="I13" s="3034">
        <v>391.61187371610953</v>
      </c>
      <c r="J13" s="3035">
        <f t="shared" si="1"/>
        <v>129534.4646520664</v>
      </c>
    </row>
    <row r="14" spans="2:10" s="83" customFormat="1" ht="18" customHeight="1" x14ac:dyDescent="0.25">
      <c r="B14" s="20" t="s">
        <v>78</v>
      </c>
      <c r="C14" s="3032">
        <f>'Table1.A(a)s1'!H53</f>
        <v>5512.0702874936887</v>
      </c>
      <c r="D14" s="3032">
        <f>'Table1.A(a)s1'!I53</f>
        <v>6.1983798545454466E-2</v>
      </c>
      <c r="E14" s="3032">
        <f>'Table1.A(a)s1'!J53</f>
        <v>4.540906770909086E-2</v>
      </c>
      <c r="F14" s="3033">
        <v>31.411227669090877</v>
      </c>
      <c r="G14" s="3033">
        <v>4.3133939927272689</v>
      </c>
      <c r="H14" s="3033">
        <v>7.2726363127272639E-2</v>
      </c>
      <c r="I14" s="3034">
        <v>4.3583084210526266</v>
      </c>
      <c r="J14" s="3035">
        <f t="shared" si="1"/>
        <v>5525.8392367958704</v>
      </c>
    </row>
    <row r="15" spans="2:10" s="83" customFormat="1" ht="18" customHeight="1" thickBot="1" x14ac:dyDescent="0.3">
      <c r="B15" s="21" t="s">
        <v>79</v>
      </c>
      <c r="C15" s="3036">
        <f>'Table1.A(a)s1'!H60</f>
        <v>7942.0095931771411</v>
      </c>
      <c r="D15" s="3036">
        <f>'Table1.A(a)s1'!I60</f>
        <v>4.6998988574912248</v>
      </c>
      <c r="E15" s="3036">
        <f>'Table1.A(a)s1'!J60</f>
        <v>0.14658637643808514</v>
      </c>
      <c r="F15" s="3037">
        <v>67.433247905046926</v>
      </c>
      <c r="G15" s="3037">
        <v>18.937848251162325</v>
      </c>
      <c r="H15" s="3037">
        <v>6.3744365874613491</v>
      </c>
      <c r="I15" s="3038">
        <v>12.582816518547672</v>
      </c>
      <c r="J15" s="3039">
        <f t="shared" si="1"/>
        <v>8112.4521509429878</v>
      </c>
    </row>
    <row r="16" spans="2:10" s="83" customFormat="1" ht="18" customHeight="1" x14ac:dyDescent="0.25">
      <c r="B16" s="25" t="s">
        <v>80</v>
      </c>
      <c r="C16" s="3029">
        <f>IF(SUM(C17:C23)=0,"NO",SUM(C17:C23))</f>
        <v>35866.538631108204</v>
      </c>
      <c r="D16" s="3029">
        <f t="shared" ref="D16:I16" si="4">IF(SUM(D17:D23)=0,"NO",SUM(D17:D23))</f>
        <v>2.0601759875475625</v>
      </c>
      <c r="E16" s="3029">
        <f t="shared" si="4"/>
        <v>1.134710846917538</v>
      </c>
      <c r="F16" s="3029">
        <f t="shared" si="4"/>
        <v>489.65028701797826</v>
      </c>
      <c r="G16" s="3029">
        <f t="shared" si="4"/>
        <v>163.67831876735977</v>
      </c>
      <c r="H16" s="3029">
        <f t="shared" si="4"/>
        <v>71.036113398548565</v>
      </c>
      <c r="I16" s="3030">
        <f t="shared" si="4"/>
        <v>108.1075225959341</v>
      </c>
      <c r="J16" s="3031">
        <f t="shared" si="1"/>
        <v>36224.92193319268</v>
      </c>
    </row>
    <row r="17" spans="2:10" s="83" customFormat="1" ht="18" customHeight="1" x14ac:dyDescent="0.25">
      <c r="B17" s="20" t="s">
        <v>81</v>
      </c>
      <c r="C17" s="3032">
        <f>'Table1.A(a)s2'!H17</f>
        <v>2722.8480269940819</v>
      </c>
      <c r="D17" s="3032">
        <f>'Table1.A(a)s2'!I17</f>
        <v>8.4992418258270017E-2</v>
      </c>
      <c r="E17" s="3032">
        <f>'Table1.A(a)s2'!J17</f>
        <v>3.4340092874442535E-2</v>
      </c>
      <c r="F17" s="3033">
        <v>29.850400667264392</v>
      </c>
      <c r="G17" s="3033">
        <v>6.6671043670768597</v>
      </c>
      <c r="H17" s="3033">
        <v>2.2681716689632929</v>
      </c>
      <c r="I17" s="3034">
        <v>11.913782790823211</v>
      </c>
      <c r="J17" s="3035">
        <f t="shared" si="1"/>
        <v>2734.3279393170405</v>
      </c>
    </row>
    <row r="18" spans="2:10" s="83" customFormat="1" ht="18" customHeight="1" x14ac:dyDescent="0.25">
      <c r="B18" s="20" t="s">
        <v>82</v>
      </c>
      <c r="C18" s="3032">
        <f>'Table1.A(a)s2'!H24</f>
        <v>11150.13483878081</v>
      </c>
      <c r="D18" s="3032">
        <f>'Table1.A(a)s2'!I24</f>
        <v>0.21833058967967803</v>
      </c>
      <c r="E18" s="3032">
        <f>'Table1.A(a)s2'!J24</f>
        <v>0.12405644379789114</v>
      </c>
      <c r="F18" s="3033">
        <v>67.143986485669615</v>
      </c>
      <c r="G18" s="3033">
        <v>12.110316736195255</v>
      </c>
      <c r="H18" s="3033">
        <v>1.3594323161991124</v>
      </c>
      <c r="I18" s="3034">
        <v>61.766981661562625</v>
      </c>
      <c r="J18" s="3035">
        <f t="shared" si="1"/>
        <v>11189.123052898283</v>
      </c>
    </row>
    <row r="19" spans="2:10" s="83" customFormat="1" ht="18" customHeight="1" x14ac:dyDescent="0.25">
      <c r="B19" s="20" t="s">
        <v>83</v>
      </c>
      <c r="C19" s="3032">
        <f>'Table1.A(a)s2'!H31</f>
        <v>5624.6781507447249</v>
      </c>
      <c r="D19" s="3032">
        <f>'Table1.A(a)s2'!I31</f>
        <v>0.39245906633834488</v>
      </c>
      <c r="E19" s="3032">
        <f>'Table1.A(a)s2'!J31</f>
        <v>8.9902990939559668E-2</v>
      </c>
      <c r="F19" s="3033">
        <v>45.425042104602873</v>
      </c>
      <c r="G19" s="3033">
        <v>30.773919578472036</v>
      </c>
      <c r="H19" s="3033">
        <v>24.1377194953483</v>
      </c>
      <c r="I19" s="3034">
        <v>4.574716621839702</v>
      </c>
      <c r="J19" s="3035">
        <f t="shared" si="1"/>
        <v>5659.4912972011816</v>
      </c>
    </row>
    <row r="20" spans="2:10" s="83" customFormat="1" ht="18" customHeight="1" x14ac:dyDescent="0.25">
      <c r="B20" s="20" t="s">
        <v>84</v>
      </c>
      <c r="C20" s="3032">
        <f>'Table1.A(a)s2'!H38</f>
        <v>1289.6062581323665</v>
      </c>
      <c r="D20" s="3032">
        <f>'Table1.A(a)s2'!I38</f>
        <v>0.16742446753246756</v>
      </c>
      <c r="E20" s="3032">
        <f>'Table1.A(a)s2'!J38</f>
        <v>0.11263538181818183</v>
      </c>
      <c r="F20" s="3033">
        <v>4.9319342424242425</v>
      </c>
      <c r="G20" s="3033">
        <v>4.0039765800865803</v>
      </c>
      <c r="H20" s="3033">
        <v>0.13653003722943724</v>
      </c>
      <c r="I20" s="3034">
        <v>1.5133411740890688</v>
      </c>
      <c r="J20" s="3035">
        <f t="shared" si="1"/>
        <v>1324.1425194050937</v>
      </c>
    </row>
    <row r="21" spans="2:10" s="83" customFormat="1" ht="18" customHeight="1" x14ac:dyDescent="0.25">
      <c r="B21" s="20" t="s">
        <v>85</v>
      </c>
      <c r="C21" s="3032">
        <f>'Table1.A(a)s2'!H45</f>
        <v>2895.9460068201715</v>
      </c>
      <c r="D21" s="3032">
        <f>'Table1.A(a)s2'!I45</f>
        <v>0.71484646283529629</v>
      </c>
      <c r="E21" s="3032">
        <f>'Table1.A(a)s2'!J45</f>
        <v>0.46947940664350429</v>
      </c>
      <c r="F21" s="3033">
        <v>20.028587735628353</v>
      </c>
      <c r="G21" s="3033">
        <v>18.329961152267188</v>
      </c>
      <c r="H21" s="3033">
        <v>1.0038271274844484</v>
      </c>
      <c r="I21" s="3034">
        <v>7.2474572469635632</v>
      </c>
      <c r="J21" s="3035">
        <f t="shared" si="1"/>
        <v>3040.3737505400882</v>
      </c>
    </row>
    <row r="22" spans="2:10" s="83" customFormat="1" ht="18" customHeight="1" x14ac:dyDescent="0.25">
      <c r="B22" s="20" t="s">
        <v>86</v>
      </c>
      <c r="C22" s="3032">
        <f>'Table1.A(a)s2'!H52</f>
        <v>5500.9888800095177</v>
      </c>
      <c r="D22" s="3032">
        <f>'Table1.A(a)s2'!I52</f>
        <v>0.14572418925082048</v>
      </c>
      <c r="E22" s="3032">
        <f>'Table1.A(a)s2'!J52</f>
        <v>4.033965665887608E-2</v>
      </c>
      <c r="F22" s="3033">
        <v>75.795498273096811</v>
      </c>
      <c r="G22" s="3033">
        <v>11.857243856282595</v>
      </c>
      <c r="H22" s="3033">
        <v>4.3565047113152628</v>
      </c>
      <c r="I22" s="3034">
        <v>10.540414871794878</v>
      </c>
      <c r="J22" s="3035">
        <f t="shared" si="1"/>
        <v>5515.7591663231424</v>
      </c>
    </row>
    <row r="23" spans="2:10" s="83" customFormat="1" ht="18" customHeight="1" thickBot="1" x14ac:dyDescent="0.3">
      <c r="B23" s="3060" t="s">
        <v>2115</v>
      </c>
      <c r="C23" s="3032">
        <f>'Table1.A(a)s2'!H59</f>
        <v>6682.3364696265335</v>
      </c>
      <c r="D23" s="3032">
        <f>'Table1.A(a)s2'!I59</f>
        <v>0.33639879365268521</v>
      </c>
      <c r="E23" s="3032">
        <f>'Table1.A(a)s2'!J59</f>
        <v>0.26395687418508246</v>
      </c>
      <c r="F23" s="3033">
        <v>246.47483750929197</v>
      </c>
      <c r="G23" s="3033">
        <v>79.935796496979265</v>
      </c>
      <c r="H23" s="3033">
        <v>37.773928042008713</v>
      </c>
      <c r="I23" s="3034">
        <v>10.55082822886107</v>
      </c>
      <c r="J23" s="3035">
        <f t="shared" si="1"/>
        <v>6761.7042075078562</v>
      </c>
    </row>
    <row r="24" spans="2:10" s="83" customFormat="1" ht="18" customHeight="1" x14ac:dyDescent="0.25">
      <c r="B24" s="25" t="s">
        <v>87</v>
      </c>
      <c r="C24" s="3029">
        <f>IF(SUM(C25:C29)=0,"NO",SUM(C25:C29))</f>
        <v>59818.85626807365</v>
      </c>
      <c r="D24" s="3029">
        <f t="shared" ref="D24:I24" si="5">IF(SUM(D25:D29)=0,"NO",SUM(D25:D29))</f>
        <v>26.345084452755309</v>
      </c>
      <c r="E24" s="3029">
        <f t="shared" si="5"/>
        <v>3.0681889642603744</v>
      </c>
      <c r="F24" s="3029">
        <f t="shared" si="5"/>
        <v>361.44922480394467</v>
      </c>
      <c r="G24" s="3029">
        <f t="shared" si="5"/>
        <v>3915.0502143912031</v>
      </c>
      <c r="H24" s="3029">
        <f t="shared" si="5"/>
        <v>377.6735277242451</v>
      </c>
      <c r="I24" s="3030">
        <f t="shared" si="5"/>
        <v>36.262719229362709</v>
      </c>
      <c r="J24" s="3031">
        <f t="shared" si="1"/>
        <v>61369.5887082798</v>
      </c>
    </row>
    <row r="25" spans="2:10" s="83" customFormat="1" ht="18" customHeight="1" x14ac:dyDescent="0.25">
      <c r="B25" s="20" t="s">
        <v>88</v>
      </c>
      <c r="C25" s="1878">
        <f>'Table1.A(a)s3'!H16</f>
        <v>2614.8881951356798</v>
      </c>
      <c r="D25" s="1878">
        <f>'Table1.A(a)s3'!I16</f>
        <v>2.0374282795583468E-2</v>
      </c>
      <c r="E25" s="1878">
        <f>'Table1.A(a)s3'!J16</f>
        <v>2.9889379936353551E-2</v>
      </c>
      <c r="F25" s="3033">
        <v>8.9873575687836116</v>
      </c>
      <c r="G25" s="3033">
        <v>5.7158510048697933</v>
      </c>
      <c r="H25" s="3033">
        <v>0.55868134409391146</v>
      </c>
      <c r="I25" s="3034">
        <v>0.30933500275680009</v>
      </c>
      <c r="J25" s="3035">
        <f t="shared" si="1"/>
        <v>2623.3793607370899</v>
      </c>
    </row>
    <row r="26" spans="2:10" s="83" customFormat="1" ht="18" customHeight="1" x14ac:dyDescent="0.25">
      <c r="B26" s="20" t="s">
        <v>89</v>
      </c>
      <c r="C26" s="1878">
        <f>'Table1.A(a)s3'!H20</f>
        <v>52645.374669061799</v>
      </c>
      <c r="D26" s="1878">
        <f>'Table1.A(a)s3'!I20</f>
        <v>22.41800579982031</v>
      </c>
      <c r="E26" s="1878">
        <f>'Table1.A(a)s3'!J20</f>
        <v>2.2388821724708223</v>
      </c>
      <c r="F26" s="3033">
        <v>269.88362569497338</v>
      </c>
      <c r="G26" s="3033">
        <v>3702.2724561251953</v>
      </c>
      <c r="H26" s="3033">
        <v>341.22721089529716</v>
      </c>
      <c r="I26" s="3034">
        <v>9.0255696681579369</v>
      </c>
      <c r="J26" s="3035">
        <f t="shared" si="1"/>
        <v>53866.38260716154</v>
      </c>
    </row>
    <row r="27" spans="2:10" s="83" customFormat="1" ht="18" customHeight="1" x14ac:dyDescent="0.25">
      <c r="B27" s="20" t="s">
        <v>90</v>
      </c>
      <c r="C27" s="1878">
        <f>'Table1.A(a)s3'!H81</f>
        <v>1733.5200000000002</v>
      </c>
      <c r="D27" s="1878">
        <f>'Table1.A(a)s3'!I81</f>
        <v>9.9199999999999997E-2</v>
      </c>
      <c r="E27" s="1878">
        <f>'Table1.A(a)s3'!J81</f>
        <v>0.74399999999999999</v>
      </c>
      <c r="F27" s="3033">
        <v>37.944000000000003</v>
      </c>
      <c r="G27" s="3033">
        <v>5.0095999999999998</v>
      </c>
      <c r="H27" s="3033">
        <v>1.7608000000000001</v>
      </c>
      <c r="I27" s="3034">
        <v>1.414035087719298</v>
      </c>
      <c r="J27" s="3035">
        <f t="shared" si="1"/>
        <v>1933.4576000000002</v>
      </c>
    </row>
    <row r="28" spans="2:10" s="83" customFormat="1" ht="18" customHeight="1" x14ac:dyDescent="0.25">
      <c r="B28" s="20" t="s">
        <v>91</v>
      </c>
      <c r="C28" s="1878">
        <f>'Table1.A(a)s3'!H88</f>
        <v>2523.2033761040143</v>
      </c>
      <c r="D28" s="1878">
        <f>'Table1.A(a)s3'!I88</f>
        <v>3.7388814420977221</v>
      </c>
      <c r="E28" s="1878">
        <f>'Table1.A(a)s3'!J88</f>
        <v>5.4792953017744311E-2</v>
      </c>
      <c r="F28" s="3033">
        <v>43.464088585007843</v>
      </c>
      <c r="G28" s="3033">
        <v>197.81164802023267</v>
      </c>
      <c r="H28" s="3033">
        <v>33.496412978879505</v>
      </c>
      <c r="I28" s="3034">
        <v>25.509074928475037</v>
      </c>
      <c r="J28" s="3035">
        <f t="shared" si="1"/>
        <v>2642.4121890324527</v>
      </c>
    </row>
    <row r="29" spans="2:10" s="83" customFormat="1" ht="18" customHeight="1" thickBot="1" x14ac:dyDescent="0.3">
      <c r="B29" s="22" t="s">
        <v>92</v>
      </c>
      <c r="C29" s="1881">
        <f>'Table1.A(a)s3'!H99</f>
        <v>301.87002777215997</v>
      </c>
      <c r="D29" s="1881">
        <f>'Table1.A(a)s3'!I99</f>
        <v>6.8622928041692968E-2</v>
      </c>
      <c r="E29" s="1881">
        <f>'Table1.A(a)s3'!J99</f>
        <v>6.2445883545444308E-4</v>
      </c>
      <c r="F29" s="3040">
        <v>1.170152955179762</v>
      </c>
      <c r="G29" s="3040">
        <v>4.2406592409055071</v>
      </c>
      <c r="H29" s="3040">
        <v>0.63042250597454053</v>
      </c>
      <c r="I29" s="3041">
        <v>4.7045422536321655E-3</v>
      </c>
      <c r="J29" s="3042">
        <f t="shared" si="1"/>
        <v>303.95695134872278</v>
      </c>
    </row>
    <row r="30" spans="2:10" ht="18" customHeight="1" x14ac:dyDescent="0.25">
      <c r="B30" s="26" t="s">
        <v>93</v>
      </c>
      <c r="C30" s="3029">
        <f>IF(SUM(C31:C33)=0,"NO",SUM(C31:C33))</f>
        <v>13024.210275118596</v>
      </c>
      <c r="D30" s="3029">
        <f t="shared" ref="D30" si="6">IF(SUM(D31:D33)=0,"NO",SUM(D31:D33))</f>
        <v>97.09841881283171</v>
      </c>
      <c r="E30" s="3029">
        <f t="shared" ref="E30" si="7">IF(SUM(E31:E33)=0,"NO",SUM(E31:E33))</f>
        <v>0.53214797381676537</v>
      </c>
      <c r="F30" s="3029">
        <f t="shared" ref="F30" si="8">IF(SUM(F31:F33)=0,"NO",SUM(F31:F33))</f>
        <v>198.36036237624759</v>
      </c>
      <c r="G30" s="3029">
        <f t="shared" ref="G30" si="9">IF(SUM(G31:G33)=0,"NO",SUM(G31:G33))</f>
        <v>1084.2346034130699</v>
      </c>
      <c r="H30" s="3029">
        <f t="shared" ref="H30" si="10">IF(SUM(H31:H33)=0,"NO",SUM(H31:H33))</f>
        <v>160.09076931222788</v>
      </c>
      <c r="I30" s="3030">
        <f t="shared" ref="I30" si="11">IF(SUM(I31:I33)=0,"NO",SUM(I31:I33))</f>
        <v>7.1768312165339516</v>
      </c>
      <c r="J30" s="3043">
        <f t="shared" si="1"/>
        <v>15883.985214939326</v>
      </c>
    </row>
    <row r="31" spans="2:10" ht="18" customHeight="1" x14ac:dyDescent="0.25">
      <c r="B31" s="20" t="s">
        <v>94</v>
      </c>
      <c r="C31" s="3032">
        <f>'Table1.A(a)s4'!H17</f>
        <v>3591.6438090367897</v>
      </c>
      <c r="D31" s="3032">
        <f>'Table1.A(a)s4'!I17</f>
        <v>5.7170469805194808E-2</v>
      </c>
      <c r="E31" s="3032">
        <f>'Table1.A(a)s4'!J17</f>
        <v>7.0611845995670997E-2</v>
      </c>
      <c r="F31" s="3033">
        <v>6.7962427053030288</v>
      </c>
      <c r="G31" s="3033">
        <v>2.136443684632034</v>
      </c>
      <c r="H31" s="3033">
        <v>0.48786395531385274</v>
      </c>
      <c r="I31" s="3034">
        <v>3.4475004116059371</v>
      </c>
      <c r="J31" s="3035">
        <f t="shared" si="1"/>
        <v>3611.9567213801879</v>
      </c>
    </row>
    <row r="32" spans="2:10" ht="18" customHeight="1" x14ac:dyDescent="0.25">
      <c r="B32" s="20" t="s">
        <v>95</v>
      </c>
      <c r="C32" s="3032">
        <f>'Table1.A(a)s4'!H38</f>
        <v>6026.6364660818053</v>
      </c>
      <c r="D32" s="3032">
        <f>'Table1.A(a)s4'!I38</f>
        <v>96.861315009693172</v>
      </c>
      <c r="E32" s="3032">
        <f>'Table1.A(a)s4'!J38</f>
        <v>0.2805170802020468</v>
      </c>
      <c r="F32" s="3033">
        <v>8.2703101471350351</v>
      </c>
      <c r="G32" s="3033">
        <v>1025.3844454427235</v>
      </c>
      <c r="H32" s="3033">
        <v>134.25652440453308</v>
      </c>
      <c r="I32" s="3034">
        <v>0.97962319089292604</v>
      </c>
      <c r="J32" s="3035">
        <f t="shared" si="1"/>
        <v>8813.0903126067569</v>
      </c>
    </row>
    <row r="33" spans="2:10" ht="18" customHeight="1" thickBot="1" x14ac:dyDescent="0.3">
      <c r="B33" s="20" t="s">
        <v>96</v>
      </c>
      <c r="C33" s="3032">
        <f>'Table1.A(a)s4'!H59</f>
        <v>3405.9300000000007</v>
      </c>
      <c r="D33" s="3032">
        <f>'Table1.A(a)s4'!I59</f>
        <v>0.17993333333333331</v>
      </c>
      <c r="E33" s="3032">
        <f>'Table1.A(a)s4'!J59</f>
        <v>0.18101904761904761</v>
      </c>
      <c r="F33" s="3033">
        <v>183.29380952380953</v>
      </c>
      <c r="G33" s="3033">
        <v>56.713714285714296</v>
      </c>
      <c r="H33" s="3033">
        <v>25.346380952380951</v>
      </c>
      <c r="I33" s="3034">
        <v>2.749707614035088</v>
      </c>
      <c r="J33" s="3035">
        <f t="shared" si="1"/>
        <v>3458.938180952382</v>
      </c>
    </row>
    <row r="34" spans="2:10" ht="18" customHeight="1" x14ac:dyDescent="0.25">
      <c r="B34" s="25" t="s">
        <v>2116</v>
      </c>
      <c r="C34" s="3029">
        <f>IF(SUM(C35:C36)=0,"NO",SUM(C35:C36))</f>
        <v>418.99551792193483</v>
      </c>
      <c r="D34" s="3029">
        <f t="shared" ref="D34:E34" si="12">IF(SUM(D35:D36)=0,"NO",SUM(D35:D36))</f>
        <v>2.6183991477554312E-2</v>
      </c>
      <c r="E34" s="3029">
        <f t="shared" si="12"/>
        <v>1.1196441665532852E-2</v>
      </c>
      <c r="F34" s="3029">
        <f t="shared" ref="F34:I34" si="13">IF(SUM(F35:F36)=0,"NO",SUM(F35:F36))</f>
        <v>4.4067815222614115</v>
      </c>
      <c r="G34" s="3029">
        <f t="shared" si="13"/>
        <v>5.9147459367815376</v>
      </c>
      <c r="H34" s="3029">
        <f t="shared" si="13"/>
        <v>0.50975529714912982</v>
      </c>
      <c r="I34" s="3030">
        <f t="shared" si="13"/>
        <v>0.19180842224998343</v>
      </c>
      <c r="J34" s="3031">
        <f t="shared" si="1"/>
        <v>422.69572672467257</v>
      </c>
    </row>
    <row r="35" spans="2:10" ht="18" customHeight="1" x14ac:dyDescent="0.25">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3">
      <c r="B36" s="22" t="s">
        <v>98</v>
      </c>
      <c r="C36" s="3044">
        <f>'Table1.A(a)s4'!H108</f>
        <v>418.99551792193483</v>
      </c>
      <c r="D36" s="3044">
        <f>'Table1.A(a)s4'!I108</f>
        <v>2.6183991477554312E-2</v>
      </c>
      <c r="E36" s="3044">
        <f>'Table1.A(a)s4'!J108</f>
        <v>1.1196441665532852E-2</v>
      </c>
      <c r="F36" s="3040">
        <v>4.4067815222614115</v>
      </c>
      <c r="G36" s="3040">
        <v>5.9147459367815376</v>
      </c>
      <c r="H36" s="3040">
        <v>0.50975529714912982</v>
      </c>
      <c r="I36" s="3041">
        <v>0.19180842224998343</v>
      </c>
      <c r="J36" s="3042">
        <f t="shared" si="1"/>
        <v>422.69572672467257</v>
      </c>
    </row>
    <row r="37" spans="2:10" ht="18" customHeight="1" thickBot="1" x14ac:dyDescent="0.3">
      <c r="B37" s="18" t="s">
        <v>99</v>
      </c>
      <c r="C37" s="3029">
        <f>IF(SUM(C38,C42)=0,"NO",SUM(C38,C42))</f>
        <v>7272.4958844977455</v>
      </c>
      <c r="D37" s="3029">
        <f t="shared" ref="D37:I37" si="14">IF(SUM(D38,D42)=0,"NO",SUM(D38,D42))</f>
        <v>1178.6854528270455</v>
      </c>
      <c r="E37" s="3029">
        <f t="shared" si="14"/>
        <v>0.13505158334716988</v>
      </c>
      <c r="F37" s="3029">
        <f t="shared" si="14"/>
        <v>4.1628340377234334</v>
      </c>
      <c r="G37" s="3029">
        <f t="shared" si="14"/>
        <v>24.14583741879591</v>
      </c>
      <c r="H37" s="3029">
        <f t="shared" si="14"/>
        <v>179.33268001543632</v>
      </c>
      <c r="I37" s="3030" t="str">
        <f t="shared" si="14"/>
        <v>NO</v>
      </c>
      <c r="J37" s="3031">
        <f t="shared" si="1"/>
        <v>40311.477233242018</v>
      </c>
    </row>
    <row r="38" spans="2:10" ht="18" customHeight="1" x14ac:dyDescent="0.25">
      <c r="B38" s="26" t="s">
        <v>100</v>
      </c>
      <c r="C38" s="3029">
        <f>IF(SUM(C39:C41)=0,"NO",SUM(C39:C41))</f>
        <v>1183.8805823664281</v>
      </c>
      <c r="D38" s="3029">
        <f t="shared" ref="D38" si="15">IF(SUM(D39:D41)=0,"NO",SUM(D39:D41))</f>
        <v>871.21359774724669</v>
      </c>
      <c r="E38" s="3029">
        <f t="shared" ref="E38" si="16">IF(SUM(E39:E41)=0,"NO",SUM(E39:E41))</f>
        <v>5.329956551366039E-7</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25577.861460533186</v>
      </c>
    </row>
    <row r="39" spans="2:10" ht="18" customHeight="1" x14ac:dyDescent="0.25">
      <c r="B39" s="20" t="s">
        <v>101</v>
      </c>
      <c r="C39" s="3032">
        <f>'Table1.B.1'!G10</f>
        <v>1183.8805823664281</v>
      </c>
      <c r="D39" s="3032">
        <f>SUM('Table1.B.1'!F10,'Table1.B.1'!H10)</f>
        <v>871.21359774724669</v>
      </c>
      <c r="E39" s="3033">
        <v>5.329956551366039E-7</v>
      </c>
      <c r="F39" s="3033" t="s">
        <v>2146</v>
      </c>
      <c r="G39" s="3033" t="s">
        <v>2146</v>
      </c>
      <c r="H39" s="3033" t="s">
        <v>2146</v>
      </c>
      <c r="I39" s="2931"/>
      <c r="J39" s="3035">
        <f t="shared" si="1"/>
        <v>25577.861460533186</v>
      </c>
    </row>
    <row r="40" spans="2:10" ht="18" customHeight="1" x14ac:dyDescent="0.25">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3">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5">
      <c r="B42" s="25" t="s">
        <v>102</v>
      </c>
      <c r="C42" s="3029">
        <f>IF(SUM(C43:C46)=0,"NO",SUM(C43:C46))</f>
        <v>6088.6153021313175</v>
      </c>
      <c r="D42" s="3029">
        <f t="shared" ref="D42:I42" si="21">IF(SUM(D43:D46)=0,"NO",SUM(D43:D46))</f>
        <v>307.47185507979884</v>
      </c>
      <c r="E42" s="3029">
        <f t="shared" si="21"/>
        <v>0.13505105035151474</v>
      </c>
      <c r="F42" s="3029">
        <f t="shared" si="21"/>
        <v>4.1628340377234334</v>
      </c>
      <c r="G42" s="3029">
        <f t="shared" si="21"/>
        <v>24.14583741879591</v>
      </c>
      <c r="H42" s="3029">
        <f t="shared" si="21"/>
        <v>179.33268001543632</v>
      </c>
      <c r="I42" s="3030" t="str">
        <f t="shared" si="21"/>
        <v>NO</v>
      </c>
      <c r="J42" s="3031">
        <f t="shared" ref="J42:J59" si="22">IF(SUM(C42:E42)=0,"NO",SUM(C42,IFERROR(28*D42,0),IFERROR(265*E42,0)))</f>
        <v>14733.615772708838</v>
      </c>
    </row>
    <row r="43" spans="2:10" ht="18" customHeight="1" x14ac:dyDescent="0.25">
      <c r="B43" s="20" t="s">
        <v>103</v>
      </c>
      <c r="C43" s="3032">
        <f>'Table1.B.2'!I10</f>
        <v>393.89749285694324</v>
      </c>
      <c r="D43" s="3032">
        <f>'Table1.B.2'!J10</f>
        <v>3.1183950275781536</v>
      </c>
      <c r="E43" s="3032">
        <f>'Table1.B.2'!K10</f>
        <v>1.1920853502942905E-2</v>
      </c>
      <c r="F43" s="3033">
        <v>0.21811119999999998</v>
      </c>
      <c r="G43" s="3033">
        <v>1.26504496</v>
      </c>
      <c r="H43" s="3033">
        <v>89.495945599999999</v>
      </c>
      <c r="I43" s="3034" t="s">
        <v>2146</v>
      </c>
      <c r="J43" s="3035">
        <f t="shared" si="22"/>
        <v>484.37157980741142</v>
      </c>
    </row>
    <row r="44" spans="2:10" ht="18" customHeight="1" x14ac:dyDescent="0.25">
      <c r="B44" s="20" t="s">
        <v>104</v>
      </c>
      <c r="C44" s="3032">
        <f>SUM('Table1.B.2'!I21,'Table1.B.2'!L21)</f>
        <v>84.319073465853805</v>
      </c>
      <c r="D44" s="3032">
        <f>'Table1.B.2'!J21</f>
        <v>200.81281804136012</v>
      </c>
      <c r="E44" s="3032">
        <f>'Table1.B.2'!K21</f>
        <v>2.1751000090130695E-3</v>
      </c>
      <c r="F44" s="3033">
        <v>4.0279629796538326E-2</v>
      </c>
      <c r="G44" s="3033">
        <v>0.23362185281992226</v>
      </c>
      <c r="H44" s="3033">
        <v>50.789302336167374</v>
      </c>
      <c r="I44" s="3034" t="s">
        <v>2146</v>
      </c>
      <c r="J44" s="3035">
        <f t="shared" si="22"/>
        <v>5707.654380126326</v>
      </c>
    </row>
    <row r="45" spans="2:10" ht="18" customHeight="1" x14ac:dyDescent="0.25">
      <c r="B45" s="20" t="s">
        <v>105</v>
      </c>
      <c r="C45" s="3032">
        <f>'Table1.B.2'!I35</f>
        <v>5610.3987358085205</v>
      </c>
      <c r="D45" s="3032">
        <f>'Table1.B.2'!J35</f>
        <v>103.54064201086059</v>
      </c>
      <c r="E45" s="3032">
        <f>'Table1.B.2'!K35</f>
        <v>0.12095509683955875</v>
      </c>
      <c r="F45" s="3033">
        <v>3.9044432079268949</v>
      </c>
      <c r="G45" s="3033">
        <v>22.647170605975987</v>
      </c>
      <c r="H45" s="3033">
        <v>39.047432079268944</v>
      </c>
      <c r="I45" s="3034" t="s">
        <v>2146</v>
      </c>
      <c r="J45" s="3035">
        <f t="shared" si="22"/>
        <v>8541.5898127751007</v>
      </c>
    </row>
    <row r="46" spans="2:10" ht="18" customHeight="1" thickBot="1" x14ac:dyDescent="0.3">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5">
      <c r="B47" s="2465" t="s">
        <v>106</v>
      </c>
      <c r="C47" s="3029" t="str">
        <f>IF(SUM(C48:C50)=0,"NO",SUM(C48:C50))</f>
        <v>NO</v>
      </c>
      <c r="D47" s="3047"/>
      <c r="E47" s="3047"/>
      <c r="F47" s="3047"/>
      <c r="G47" s="3047"/>
      <c r="H47" s="3047"/>
      <c r="I47" s="3048"/>
      <c r="J47" s="3031" t="str">
        <f t="shared" si="22"/>
        <v>NO</v>
      </c>
    </row>
    <row r="48" spans="2:10" ht="18" customHeight="1" x14ac:dyDescent="0.25">
      <c r="B48" s="163" t="s">
        <v>107</v>
      </c>
      <c r="C48" s="3049" t="str">
        <f>Table1.C!E10</f>
        <v>NO</v>
      </c>
      <c r="D48" s="3050"/>
      <c r="E48" s="3050"/>
      <c r="F48" s="3050"/>
      <c r="G48" s="3050"/>
      <c r="H48" s="3050"/>
      <c r="I48" s="3051"/>
      <c r="J48" s="3043" t="str">
        <f t="shared" si="22"/>
        <v>NO</v>
      </c>
    </row>
    <row r="49" spans="2:10" ht="18" customHeight="1" x14ac:dyDescent="0.25">
      <c r="B49" s="163" t="s">
        <v>108</v>
      </c>
      <c r="C49" s="3049" t="str">
        <f>Table1.C!E15</f>
        <v>NO</v>
      </c>
      <c r="D49" s="3050"/>
      <c r="E49" s="3050"/>
      <c r="F49" s="3050"/>
      <c r="G49" s="3050"/>
      <c r="H49" s="3050"/>
      <c r="I49" s="3051"/>
      <c r="J49" s="3043" t="str">
        <f t="shared" si="22"/>
        <v>NO</v>
      </c>
    </row>
    <row r="50" spans="2:10" ht="18" customHeight="1" thickBot="1" x14ac:dyDescent="0.3">
      <c r="B50" s="163" t="s">
        <v>109</v>
      </c>
      <c r="C50" s="3049" t="str">
        <f>Table1.C!E18</f>
        <v>NA</v>
      </c>
      <c r="D50" s="3050"/>
      <c r="E50" s="3050"/>
      <c r="F50" s="3050"/>
      <c r="G50" s="3050"/>
      <c r="H50" s="3050"/>
      <c r="I50" s="3051"/>
      <c r="J50" s="3043" t="str">
        <f t="shared" si="22"/>
        <v>NO</v>
      </c>
    </row>
    <row r="51" spans="2:10" ht="18" customHeight="1" x14ac:dyDescent="0.25">
      <c r="B51" s="2465" t="s">
        <v>2008</v>
      </c>
      <c r="C51" s="3052"/>
      <c r="D51" s="3052"/>
      <c r="E51" s="3052"/>
      <c r="F51" s="3052"/>
      <c r="G51" s="3052"/>
      <c r="H51" s="3052"/>
      <c r="I51" s="3053"/>
      <c r="J51" s="3054"/>
    </row>
    <row r="52" spans="2:10" ht="18" customHeight="1" x14ac:dyDescent="0.25">
      <c r="B52" s="2466" t="s">
        <v>110</v>
      </c>
      <c r="C52" s="3032">
        <f>IF(SUM(C53:C54)=0,"NO",SUM(C53:C54))</f>
        <v>6460.402</v>
      </c>
      <c r="D52" s="3032">
        <f t="shared" ref="D52:I52" si="23">IF(SUM(D53:D54)=0,"NO",SUM(D53:D54))</f>
        <v>0.20738744833333336</v>
      </c>
      <c r="E52" s="3032">
        <f t="shared" si="23"/>
        <v>7.9993873321929823E-2</v>
      </c>
      <c r="F52" s="3032">
        <f t="shared" si="23"/>
        <v>76.895369280614034</v>
      </c>
      <c r="G52" s="3032">
        <f t="shared" si="23"/>
        <v>8.8486802076315776</v>
      </c>
      <c r="H52" s="3032">
        <f t="shared" si="23"/>
        <v>5.0486217502543864</v>
      </c>
      <c r="I52" s="3055">
        <f t="shared" si="23"/>
        <v>30.231947792172743</v>
      </c>
      <c r="J52" s="3035">
        <f t="shared" si="22"/>
        <v>6487.4072249836445</v>
      </c>
    </row>
    <row r="53" spans="2:10" ht="18" customHeight="1" x14ac:dyDescent="0.25">
      <c r="B53" s="164" t="s">
        <v>111</v>
      </c>
      <c r="C53" s="3032">
        <f>Table1.D!G10</f>
        <v>4382.7120000000004</v>
      </c>
      <c r="D53" s="3032">
        <f>Table1.D!H10</f>
        <v>7.8174483333333343E-3</v>
      </c>
      <c r="E53" s="3032">
        <f>Table1.D!I10</f>
        <v>2.2973873321929825E-2</v>
      </c>
      <c r="F53" s="3033">
        <v>22.218969280614033</v>
      </c>
      <c r="G53" s="3033">
        <v>6.9302202076315771</v>
      </c>
      <c r="H53" s="3033">
        <v>3.3473517502543864</v>
      </c>
      <c r="I53" s="3034">
        <v>0.51635400000000009</v>
      </c>
      <c r="J53" s="3035">
        <f t="shared" si="22"/>
        <v>4389.0189649836448</v>
      </c>
    </row>
    <row r="54" spans="2:10" ht="18" customHeight="1" x14ac:dyDescent="0.25">
      <c r="B54" s="164" t="s">
        <v>112</v>
      </c>
      <c r="C54" s="3032">
        <f>Table1.D!G14</f>
        <v>2077.69</v>
      </c>
      <c r="D54" s="3032">
        <f>Table1.D!H14</f>
        <v>0.19957000000000003</v>
      </c>
      <c r="E54" s="3032">
        <f>Table1.D!I14</f>
        <v>5.7020000000000001E-2</v>
      </c>
      <c r="F54" s="3033">
        <v>54.676400000000001</v>
      </c>
      <c r="G54" s="3033">
        <v>1.9184600000000001</v>
      </c>
      <c r="H54" s="3033">
        <v>1.7012700000000001</v>
      </c>
      <c r="I54" s="3034">
        <v>29.715593792172744</v>
      </c>
      <c r="J54" s="3035">
        <f t="shared" si="22"/>
        <v>2098.3882599999997</v>
      </c>
    </row>
    <row r="55" spans="2:10" ht="18" customHeight="1" x14ac:dyDescent="0.25">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5">
      <c r="B56" s="2467" t="s">
        <v>114</v>
      </c>
      <c r="C56" s="3036">
        <f>'Table1.A(a)s1'!H16</f>
        <v>15142.26513</v>
      </c>
      <c r="D56" s="3056"/>
      <c r="E56" s="3056"/>
      <c r="F56" s="3056"/>
      <c r="G56" s="3056"/>
      <c r="H56" s="3056"/>
      <c r="I56" s="2971"/>
      <c r="J56" s="3039">
        <f t="shared" si="22"/>
        <v>15142.26513</v>
      </c>
    </row>
    <row r="57" spans="2:10" ht="18" customHeight="1" x14ac:dyDescent="0.25">
      <c r="B57" s="97" t="s">
        <v>115</v>
      </c>
      <c r="C57" s="3032" t="str">
        <f>IF(SUM(C58:C59)=0,"NO",SUM(C58:C59))</f>
        <v>NO</v>
      </c>
      <c r="D57" s="3057"/>
      <c r="E57" s="3057"/>
      <c r="F57" s="3057"/>
      <c r="G57" s="3057"/>
      <c r="H57" s="3057"/>
      <c r="I57" s="2931"/>
      <c r="J57" s="3035" t="str">
        <f t="shared" si="22"/>
        <v>NO</v>
      </c>
    </row>
    <row r="58" spans="2:10" ht="18" customHeight="1" x14ac:dyDescent="0.25">
      <c r="B58" s="2468" t="s">
        <v>116</v>
      </c>
      <c r="C58" s="3045" t="str">
        <f>Table1.C!E21</f>
        <v>NO</v>
      </c>
      <c r="D58" s="3057"/>
      <c r="E58" s="3057"/>
      <c r="F58" s="3057"/>
      <c r="G58" s="3057"/>
      <c r="H58" s="3057"/>
      <c r="I58" s="2931"/>
      <c r="J58" s="3035" t="str">
        <f t="shared" si="22"/>
        <v>NO</v>
      </c>
    </row>
    <row r="59" spans="2:10" ht="18" customHeight="1" thickBot="1" x14ac:dyDescent="0.3">
      <c r="B59" s="2469" t="s">
        <v>117</v>
      </c>
      <c r="C59" s="3058" t="s">
        <v>2146</v>
      </c>
      <c r="D59" s="3059"/>
      <c r="E59" s="3059"/>
      <c r="F59" s="3059"/>
      <c r="G59" s="3059"/>
      <c r="H59" s="3059"/>
      <c r="I59" s="2939"/>
      <c r="J59" s="3042" t="str">
        <f t="shared" si="22"/>
        <v>NO</v>
      </c>
    </row>
    <row r="60" spans="2:10" ht="12" customHeight="1" x14ac:dyDescent="0.25">
      <c r="D60" s="8"/>
      <c r="E60" s="8"/>
      <c r="F60" s="8"/>
      <c r="G60" s="8"/>
      <c r="H60" s="8"/>
      <c r="I60" s="8"/>
    </row>
    <row r="61" spans="2:10" ht="12" customHeight="1" x14ac:dyDescent="0.25">
      <c r="B61" s="1020"/>
      <c r="C61" s="1020"/>
      <c r="D61" s="1020"/>
      <c r="E61" s="1020"/>
      <c r="F61" s="1020"/>
      <c r="G61" s="1020"/>
      <c r="H61" s="1020"/>
      <c r="I61" s="1020"/>
    </row>
    <row r="62" spans="2:10" ht="12" customHeight="1" x14ac:dyDescent="0.25">
      <c r="B62" s="4"/>
      <c r="C62" s="4"/>
      <c r="D62" s="4"/>
      <c r="E62" s="4"/>
      <c r="F62" s="4"/>
      <c r="G62" s="4"/>
      <c r="H62" s="4"/>
      <c r="I62" s="4"/>
    </row>
    <row r="63" spans="2:10" ht="12" customHeight="1" x14ac:dyDescent="0.25">
      <c r="B63" s="4"/>
      <c r="C63" s="4"/>
      <c r="D63" s="4"/>
      <c r="E63" s="4"/>
      <c r="F63" s="4"/>
      <c r="G63" s="4"/>
      <c r="H63" s="4"/>
      <c r="I63" s="4"/>
    </row>
    <row r="64" spans="2:10" ht="12" customHeight="1" x14ac:dyDescent="0.25">
      <c r="B64" s="4"/>
      <c r="C64" s="4"/>
      <c r="D64" s="4"/>
      <c r="E64" s="4"/>
      <c r="F64" s="4"/>
      <c r="G64" s="4"/>
      <c r="H64" s="4"/>
      <c r="I64" s="4"/>
    </row>
    <row r="65" spans="2:10" ht="12" customHeight="1" x14ac:dyDescent="0.25">
      <c r="B65" s="4"/>
      <c r="C65" s="4"/>
      <c r="D65" s="4"/>
      <c r="E65" s="4"/>
      <c r="F65" s="4"/>
      <c r="G65" s="4"/>
      <c r="H65" s="4"/>
      <c r="I65" s="4"/>
    </row>
    <row r="66" spans="2:10" ht="12" customHeight="1" x14ac:dyDescent="0.25">
      <c r="B66" s="4"/>
      <c r="C66" s="4"/>
      <c r="D66" s="4"/>
      <c r="E66" s="4"/>
      <c r="F66" s="4"/>
      <c r="G66" s="4"/>
      <c r="H66" s="4"/>
      <c r="I66" s="4"/>
    </row>
    <row r="67" spans="2:10" ht="12" customHeight="1" x14ac:dyDescent="0.25">
      <c r="B67" s="4"/>
      <c r="C67" s="4"/>
      <c r="D67" s="4"/>
      <c r="E67" s="4"/>
      <c r="F67" s="4"/>
      <c r="G67" s="4"/>
      <c r="H67" s="4"/>
      <c r="I67" s="4"/>
    </row>
    <row r="68" spans="2:10" ht="12" customHeight="1" x14ac:dyDescent="0.25">
      <c r="B68" s="4"/>
      <c r="C68" s="4"/>
      <c r="D68" s="4"/>
      <c r="E68" s="4"/>
      <c r="F68" s="4"/>
      <c r="G68" s="4"/>
      <c r="H68" s="4"/>
      <c r="I68" s="4"/>
    </row>
    <row r="69" spans="2:10" ht="12" customHeight="1" x14ac:dyDescent="0.25">
      <c r="B69" s="4"/>
      <c r="C69" s="4"/>
      <c r="D69" s="4"/>
      <c r="E69" s="4"/>
      <c r="F69" s="4"/>
      <c r="G69" s="4"/>
      <c r="H69" s="4"/>
      <c r="I69" s="4"/>
    </row>
    <row r="70" spans="2:10" ht="12" customHeight="1" thickBot="1" x14ac:dyDescent="0.3">
      <c r="B70" s="4"/>
      <c r="C70" s="4"/>
      <c r="D70" s="4"/>
      <c r="E70" s="4"/>
      <c r="F70" s="4"/>
      <c r="G70" s="4"/>
      <c r="H70" s="4"/>
      <c r="I70" s="4"/>
    </row>
    <row r="71" spans="2:10" ht="12" customHeight="1" x14ac:dyDescent="0.25">
      <c r="B71" s="1014" t="s">
        <v>118</v>
      </c>
      <c r="C71" s="1015"/>
      <c r="D71" s="1015"/>
      <c r="E71" s="1015"/>
      <c r="F71" s="1015"/>
      <c r="G71" s="1015"/>
      <c r="H71" s="1015"/>
      <c r="I71" s="1015"/>
      <c r="J71" s="1016"/>
    </row>
    <row r="72" spans="2:10" ht="12" customHeight="1" x14ac:dyDescent="0.25">
      <c r="B72" s="1234"/>
      <c r="C72" s="1235"/>
      <c r="D72" s="1235"/>
      <c r="E72" s="1235"/>
      <c r="F72" s="1235"/>
      <c r="G72" s="1235"/>
      <c r="H72" s="1235"/>
      <c r="I72" s="1235"/>
      <c r="J72" s="1236"/>
    </row>
    <row r="73" spans="2:10" ht="12" customHeight="1" x14ac:dyDescent="0.25">
      <c r="B73" s="1234"/>
      <c r="C73" s="1235"/>
      <c r="D73" s="1235"/>
      <c r="E73" s="1235"/>
      <c r="F73" s="1235"/>
      <c r="G73" s="1235"/>
      <c r="H73" s="1235"/>
      <c r="I73" s="1235"/>
      <c r="J73" s="1236"/>
    </row>
    <row r="74" spans="2:10" ht="12" customHeight="1" x14ac:dyDescent="0.25">
      <c r="B74" s="1234"/>
      <c r="C74" s="1235"/>
      <c r="D74" s="1235"/>
      <c r="E74" s="1235"/>
      <c r="F74" s="1235"/>
      <c r="G74" s="1235"/>
      <c r="H74" s="1235"/>
      <c r="I74" s="1235"/>
      <c r="J74" s="1236"/>
    </row>
    <row r="75" spans="2:10" ht="12" customHeight="1" x14ac:dyDescent="0.25">
      <c r="B75" s="1234"/>
      <c r="C75" s="1235"/>
      <c r="D75" s="1235"/>
      <c r="E75" s="1235"/>
      <c r="F75" s="1235"/>
      <c r="G75" s="1235"/>
      <c r="H75" s="1235"/>
      <c r="I75" s="1235"/>
      <c r="J75" s="1236"/>
    </row>
    <row r="76" spans="2:10" ht="12" customHeight="1" x14ac:dyDescent="0.25">
      <c r="B76" s="1017"/>
      <c r="C76" s="1018"/>
      <c r="D76" s="1018"/>
      <c r="E76" s="1018"/>
      <c r="F76" s="1018"/>
      <c r="G76" s="1018"/>
      <c r="H76" s="1018"/>
      <c r="I76" s="1018"/>
      <c r="J76" s="1019"/>
    </row>
    <row r="77" spans="2:10" ht="12" customHeight="1" thickBot="1" x14ac:dyDescent="0.3">
      <c r="B77" s="4437" t="s">
        <v>2179</v>
      </c>
      <c r="C77" s="4438"/>
      <c r="D77" s="4438"/>
      <c r="E77" s="4438"/>
      <c r="F77" s="4438"/>
      <c r="G77" s="4438"/>
      <c r="H77" s="4438"/>
      <c r="I77" s="4438"/>
      <c r="J77" s="4439"/>
    </row>
    <row r="78" spans="2:10" ht="12" customHeight="1" x14ac:dyDescent="0.25">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09375" defaultRowHeight="13.2" x14ac:dyDescent="0.25"/>
  <cols>
    <col min="1" max="1" width="1.88671875" style="83" customWidth="1"/>
    <col min="2" max="2" width="31.5546875" style="83" customWidth="1"/>
    <col min="3" max="13" width="8.109375" style="83" customWidth="1"/>
    <col min="14" max="16384" width="9.109375" style="83"/>
  </cols>
  <sheetData>
    <row r="1" spans="2:13" ht="15.9" customHeight="1" x14ac:dyDescent="0.3">
      <c r="B1" s="2263" t="s">
        <v>998</v>
      </c>
      <c r="C1" s="2264"/>
      <c r="D1" s="2264"/>
      <c r="E1" s="2265"/>
      <c r="F1" s="2265"/>
      <c r="G1" s="2265"/>
      <c r="H1" s="2266"/>
      <c r="I1" s="2266"/>
      <c r="J1" s="2266"/>
      <c r="K1" s="2266"/>
      <c r="L1" s="2266"/>
      <c r="M1" s="14" t="s">
        <v>2521</v>
      </c>
    </row>
    <row r="2" spans="2:13" ht="15.9" customHeight="1" x14ac:dyDescent="0.3">
      <c r="B2" s="2268" t="s">
        <v>1957</v>
      </c>
      <c r="C2" s="2268"/>
      <c r="D2" s="2268"/>
      <c r="E2" s="2268"/>
      <c r="F2" s="2268"/>
      <c r="G2" s="2268"/>
      <c r="H2" s="2268"/>
      <c r="I2" s="2266"/>
      <c r="J2" s="2266"/>
      <c r="K2" s="2266"/>
      <c r="L2" s="2266"/>
      <c r="M2" s="14" t="s">
        <v>2522</v>
      </c>
    </row>
    <row r="3" spans="2:13" ht="12" customHeight="1" x14ac:dyDescent="0.3">
      <c r="B3" s="2266"/>
      <c r="C3" s="2266"/>
      <c r="D3" s="2266"/>
      <c r="E3" s="2266"/>
      <c r="F3" s="2266"/>
      <c r="G3" s="2266"/>
      <c r="H3" s="2266"/>
      <c r="I3" s="2266"/>
      <c r="J3" s="2266"/>
      <c r="K3" s="2266"/>
      <c r="L3" s="2266"/>
      <c r="M3" s="14" t="s">
        <v>2144</v>
      </c>
    </row>
    <row r="4" spans="2:13" ht="12" hidden="1" customHeight="1" x14ac:dyDescent="0.3">
      <c r="B4" s="2266"/>
      <c r="C4" s="2266"/>
      <c r="D4" s="2266"/>
      <c r="E4" s="2266"/>
      <c r="F4" s="2266"/>
      <c r="G4" s="2266"/>
      <c r="H4" s="2266"/>
      <c r="I4" s="2266"/>
      <c r="J4" s="2266"/>
      <c r="K4" s="2266"/>
      <c r="L4" s="2266"/>
      <c r="M4" s="2267"/>
    </row>
    <row r="5" spans="2:13" ht="12" hidden="1" customHeight="1" x14ac:dyDescent="0.3">
      <c r="B5" s="2266"/>
      <c r="C5" s="2266"/>
      <c r="D5" s="2266"/>
      <c r="E5" s="2266"/>
      <c r="F5" s="2266"/>
      <c r="G5" s="2266"/>
      <c r="H5" s="2266"/>
      <c r="I5" s="2266"/>
      <c r="J5" s="2266"/>
      <c r="K5" s="2266"/>
      <c r="L5" s="2266"/>
      <c r="M5" s="2267"/>
    </row>
    <row r="6" spans="2:13" ht="12" hidden="1" customHeight="1" x14ac:dyDescent="0.3">
      <c r="B6" s="2266"/>
      <c r="C6" s="2266"/>
      <c r="D6" s="2266"/>
      <c r="E6" s="2266"/>
      <c r="F6" s="2266"/>
      <c r="G6" s="2266"/>
      <c r="H6" s="2266"/>
      <c r="I6" s="2266"/>
      <c r="J6" s="2266"/>
      <c r="K6" s="2266"/>
      <c r="L6" s="2266"/>
      <c r="M6" s="2267"/>
    </row>
    <row r="7" spans="2:13" ht="12" customHeight="1" thickBot="1" x14ac:dyDescent="0.3">
      <c r="B7" s="2453" t="s">
        <v>64</v>
      </c>
      <c r="C7" s="2269"/>
      <c r="D7" s="2269"/>
      <c r="E7" s="2269"/>
      <c r="F7" s="2269"/>
      <c r="G7" s="2269"/>
      <c r="H7" s="2269"/>
      <c r="I7" s="2269"/>
      <c r="J7" s="2269"/>
      <c r="K7" s="2269"/>
      <c r="L7" s="2269"/>
      <c r="M7" s="2269"/>
    </row>
    <row r="8" spans="2:13" ht="69" customHeight="1" x14ac:dyDescent="0.25">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5">
      <c r="B9" s="2273" t="s">
        <v>1011</v>
      </c>
      <c r="C9" s="2274" t="s">
        <v>1012</v>
      </c>
      <c r="D9" s="2274"/>
      <c r="E9" s="2274"/>
      <c r="F9" s="2274"/>
      <c r="G9" s="2274"/>
      <c r="H9" s="2274"/>
      <c r="I9" s="2274"/>
      <c r="J9" s="2274"/>
      <c r="K9" s="2274"/>
      <c r="L9" s="2275"/>
      <c r="M9" s="2276"/>
    </row>
    <row r="10" spans="2:13" ht="18" customHeight="1" x14ac:dyDescent="0.25">
      <c r="B10" s="2277" t="s">
        <v>1958</v>
      </c>
      <c r="C10" s="3549">
        <v>134268.10671359199</v>
      </c>
      <c r="D10" s="3549" t="s">
        <v>2146</v>
      </c>
      <c r="E10" s="3549">
        <v>85.291292014000007</v>
      </c>
      <c r="F10" s="3549">
        <v>819.71262080700001</v>
      </c>
      <c r="G10" s="3549" t="s">
        <v>2146</v>
      </c>
      <c r="H10" s="3549">
        <v>2.436438248</v>
      </c>
      <c r="I10" s="3549" t="s">
        <v>2146</v>
      </c>
      <c r="J10" s="3549">
        <v>27.072351232999999</v>
      </c>
      <c r="K10" s="3549" t="s">
        <v>2146</v>
      </c>
      <c r="L10" s="3549" t="s">
        <v>2146</v>
      </c>
      <c r="M10" s="3550">
        <f>IF(SUM(C10:L10)=0,"NO",SUM(C10:L10))</f>
        <v>135202.61941589398</v>
      </c>
    </row>
    <row r="11" spans="2:13" ht="18" customHeight="1" x14ac:dyDescent="0.25">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5">
      <c r="B12" s="2277" t="s">
        <v>1960</v>
      </c>
      <c r="C12" s="3549">
        <v>13.164508094</v>
      </c>
      <c r="D12" s="3549" t="s">
        <v>2146</v>
      </c>
      <c r="E12" s="3549">
        <v>39511.465651432001</v>
      </c>
      <c r="F12" s="3549" t="s">
        <v>2153</v>
      </c>
      <c r="G12" s="3549" t="s">
        <v>2146</v>
      </c>
      <c r="H12" s="3549" t="s">
        <v>2153</v>
      </c>
      <c r="I12" s="3549" t="s">
        <v>2146</v>
      </c>
      <c r="J12" s="3549" t="s">
        <v>2153</v>
      </c>
      <c r="K12" s="3549" t="s">
        <v>2146</v>
      </c>
      <c r="L12" s="3549" t="s">
        <v>2146</v>
      </c>
      <c r="M12" s="3550">
        <f t="shared" si="0"/>
        <v>39524.630159526001</v>
      </c>
    </row>
    <row r="13" spans="2:13" ht="18" customHeight="1" x14ac:dyDescent="0.25">
      <c r="B13" s="2277" t="s">
        <v>1961</v>
      </c>
      <c r="C13" s="3549">
        <v>550.926153892</v>
      </c>
      <c r="D13" s="3549" t="s">
        <v>2146</v>
      </c>
      <c r="E13" s="3549" t="s">
        <v>2153</v>
      </c>
      <c r="F13" s="3549">
        <v>518352.05726164498</v>
      </c>
      <c r="G13" s="3549" t="s">
        <v>2146</v>
      </c>
      <c r="H13" s="3549" t="s">
        <v>2153</v>
      </c>
      <c r="I13" s="3549" t="s">
        <v>2146</v>
      </c>
      <c r="J13" s="3549" t="s">
        <v>2153</v>
      </c>
      <c r="K13" s="3549" t="s">
        <v>2146</v>
      </c>
      <c r="L13" s="3549" t="s">
        <v>2146</v>
      </c>
      <c r="M13" s="3550">
        <f t="shared" si="0"/>
        <v>518902.98341553699</v>
      </c>
    </row>
    <row r="14" spans="2:13" ht="18" customHeight="1" x14ac:dyDescent="0.25">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5">
      <c r="B15" s="2277" t="s">
        <v>1963</v>
      </c>
      <c r="C15" s="3549">
        <v>8.5901056130000004</v>
      </c>
      <c r="D15" s="3549" t="s">
        <v>2146</v>
      </c>
      <c r="E15" s="3549">
        <v>0.63304705100000003</v>
      </c>
      <c r="F15" s="3549">
        <v>2.443871627</v>
      </c>
      <c r="G15" s="3549" t="s">
        <v>2146</v>
      </c>
      <c r="H15" s="3549">
        <v>13395.005123974001</v>
      </c>
      <c r="I15" s="3549" t="s">
        <v>2146</v>
      </c>
      <c r="J15" s="3549" t="s">
        <v>2146</v>
      </c>
      <c r="K15" s="3549" t="s">
        <v>2146</v>
      </c>
      <c r="L15" s="3549" t="s">
        <v>2146</v>
      </c>
      <c r="M15" s="3550">
        <f t="shared" si="0"/>
        <v>13406.672148265001</v>
      </c>
    </row>
    <row r="16" spans="2:13" ht="18" customHeight="1" x14ac:dyDescent="0.25">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5">
      <c r="B17" s="2277" t="s">
        <v>1965</v>
      </c>
      <c r="C17" s="3549">
        <v>4.6425912450000002</v>
      </c>
      <c r="D17" s="3549" t="s">
        <v>2146</v>
      </c>
      <c r="E17" s="3549" t="s">
        <v>2146</v>
      </c>
      <c r="F17" s="3549" t="s">
        <v>2146</v>
      </c>
      <c r="G17" s="3549" t="s">
        <v>2146</v>
      </c>
      <c r="H17" s="3549" t="s">
        <v>2146</v>
      </c>
      <c r="I17" s="3549" t="s">
        <v>2146</v>
      </c>
      <c r="J17" s="3549">
        <v>1094.823423713</v>
      </c>
      <c r="K17" s="3549" t="s">
        <v>2146</v>
      </c>
      <c r="L17" s="3549" t="s">
        <v>2146</v>
      </c>
      <c r="M17" s="3550">
        <f t="shared" si="0"/>
        <v>1099.466014958</v>
      </c>
    </row>
    <row r="18" spans="2:13" ht="18" customHeight="1" x14ac:dyDescent="0.25">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5">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5">
      <c r="B20" s="2278" t="s">
        <v>1013</v>
      </c>
      <c r="C20" s="3551">
        <f>IF(SUM(C10:C19)=0,"NO",SUM(C10:C19))</f>
        <v>134845.43007243599</v>
      </c>
      <c r="D20" s="3551" t="str">
        <f t="shared" ref="D20:L20" si="1">IF(SUM(D10:D19)=0,"NO",SUM(D10:D19))</f>
        <v>NO</v>
      </c>
      <c r="E20" s="3551">
        <f t="shared" si="1"/>
        <v>39597.389990497002</v>
      </c>
      <c r="F20" s="3551">
        <f t="shared" si="1"/>
        <v>519174.21375407896</v>
      </c>
      <c r="G20" s="3551" t="str">
        <f t="shared" si="1"/>
        <v>NO</v>
      </c>
      <c r="H20" s="3551">
        <f t="shared" si="1"/>
        <v>13397.441562222</v>
      </c>
      <c r="I20" s="3551" t="str">
        <f t="shared" si="1"/>
        <v>NO</v>
      </c>
      <c r="J20" s="3551">
        <f t="shared" si="1"/>
        <v>1121.8957749460001</v>
      </c>
      <c r="K20" s="3551">
        <f t="shared" si="1"/>
        <v>60692.328845821001</v>
      </c>
      <c r="L20" s="3551" t="str">
        <f t="shared" si="1"/>
        <v>NO</v>
      </c>
      <c r="M20" s="3550">
        <f t="shared" si="0"/>
        <v>768828.70000000088</v>
      </c>
    </row>
    <row r="21" spans="2:13" ht="18" customHeight="1" thickBot="1" x14ac:dyDescent="0.3">
      <c r="B21" s="2279" t="s">
        <v>1968</v>
      </c>
      <c r="C21" s="3552">
        <f>IF(SUM(C20)=0,"NO",C20-M10)</f>
        <v>-357.18934345798334</v>
      </c>
      <c r="D21" s="3552" t="str">
        <f>IF(SUM(D20)=0,"NO",D20-M11)</f>
        <v>NO</v>
      </c>
      <c r="E21" s="3552">
        <f>IF(SUM(E20)=0,"NO",E20-M12)</f>
        <v>72.759830971001065</v>
      </c>
      <c r="F21" s="3552">
        <f>IF(SUM(F20)=0,"NO",F20-M13)</f>
        <v>271.23033854196547</v>
      </c>
      <c r="G21" s="3552" t="str">
        <f>IF(SUM(G20)=0,"NO",G20-M14)</f>
        <v>NO</v>
      </c>
      <c r="H21" s="3552">
        <f>IF(SUM(H20)=0,"NO",H20-M15)</f>
        <v>-9.2305860430005851</v>
      </c>
      <c r="I21" s="3552" t="str">
        <f>IF(SUM(I20)=0,"NO",I20-M16)</f>
        <v>NO</v>
      </c>
      <c r="J21" s="3552">
        <f>IF(SUM(J20)=0,"NO",J20-M17)</f>
        <v>22.429759988000114</v>
      </c>
      <c r="K21" s="3552">
        <f>IF(SUM(K20)=0,"NO",K20-M18)</f>
        <v>0</v>
      </c>
      <c r="L21" s="3552" t="str">
        <f>IF(SUM(L20)=0,"NO",L20-M19)</f>
        <v>NO</v>
      </c>
      <c r="M21" s="3553">
        <f>SUM(C20:L20)-SUM(M10:M19)</f>
        <v>0</v>
      </c>
    </row>
    <row r="22" spans="2:13" ht="15.6" x14ac:dyDescent="0.25">
      <c r="B22" s="2280"/>
      <c r="C22" s="2281"/>
      <c r="D22" s="2281"/>
      <c r="E22" s="2281"/>
      <c r="F22" s="2281"/>
      <c r="G22" s="2281"/>
      <c r="H22" s="2281"/>
      <c r="I22" s="2281"/>
      <c r="J22" s="2281"/>
      <c r="K22" s="2281"/>
      <c r="L22" s="2281"/>
      <c r="M22" s="2281"/>
    </row>
    <row r="23" spans="2:13" ht="15.6" x14ac:dyDescent="0.25">
      <c r="B23" s="2280"/>
      <c r="C23" s="2281"/>
      <c r="D23" s="2281"/>
      <c r="E23" s="2281"/>
      <c r="F23" s="2281"/>
      <c r="G23" s="2281"/>
      <c r="H23" s="2281"/>
      <c r="I23" s="2281"/>
      <c r="J23" s="2281"/>
      <c r="K23" s="2281"/>
      <c r="L23" s="2281"/>
      <c r="M23" s="2281"/>
    </row>
    <row r="24" spans="2:13" ht="15.6" x14ac:dyDescent="0.25">
      <c r="B24" s="2282"/>
      <c r="C24" s="2283"/>
      <c r="D24" s="2283"/>
      <c r="E24" s="2283"/>
      <c r="F24" s="2283"/>
      <c r="G24" s="2283"/>
      <c r="H24" s="2283"/>
      <c r="I24" s="2283"/>
      <c r="J24" s="2283"/>
      <c r="K24" s="2283"/>
      <c r="L24" s="2283"/>
      <c r="M24" s="2283"/>
    </row>
    <row r="25" spans="2:13" ht="15.6" x14ac:dyDescent="0.25">
      <c r="B25" s="2280"/>
      <c r="C25" s="2281"/>
      <c r="D25" s="2281"/>
      <c r="E25" s="2281"/>
      <c r="F25" s="2281"/>
      <c r="G25" s="2281"/>
      <c r="H25" s="2281"/>
      <c r="I25" s="2281"/>
      <c r="J25" s="2281"/>
      <c r="K25" s="2281"/>
      <c r="L25" s="2281"/>
      <c r="M25" s="2281"/>
    </row>
    <row r="26" spans="2:13" x14ac:dyDescent="0.25">
      <c r="B26" s="2284"/>
      <c r="C26" s="2284"/>
      <c r="D26" s="2284"/>
      <c r="E26" s="2284"/>
      <c r="F26" s="2284"/>
      <c r="G26" s="2284"/>
      <c r="H26" s="2284"/>
      <c r="I26" s="2284"/>
      <c r="J26" s="2284"/>
      <c r="K26" s="2284"/>
      <c r="L26" s="2284"/>
      <c r="M26" s="2284"/>
    </row>
    <row r="27" spans="2:13" x14ac:dyDescent="0.25">
      <c r="B27" s="2284"/>
      <c r="C27" s="2284"/>
      <c r="D27" s="2284"/>
      <c r="E27" s="2284"/>
      <c r="F27" s="2284"/>
      <c r="G27" s="2284"/>
      <c r="H27" s="2284"/>
      <c r="I27" s="2284"/>
      <c r="J27" s="2284"/>
      <c r="K27" s="2284"/>
      <c r="L27" s="2284"/>
      <c r="M27" s="2284"/>
    </row>
    <row r="28" spans="2:13" x14ac:dyDescent="0.25">
      <c r="B28" s="2284"/>
      <c r="C28" s="2284"/>
      <c r="D28" s="2284"/>
      <c r="E28" s="2284"/>
      <c r="F28" s="2284"/>
      <c r="G28" s="2284"/>
      <c r="H28" s="2284"/>
      <c r="I28" s="2284"/>
      <c r="J28" s="2284"/>
      <c r="K28" s="2284"/>
      <c r="L28" s="2284"/>
      <c r="M28" s="2284"/>
    </row>
    <row r="29" spans="2:13" x14ac:dyDescent="0.25">
      <c r="B29" s="2284"/>
      <c r="C29" s="2284"/>
      <c r="D29" s="2284"/>
      <c r="E29" s="2284"/>
      <c r="F29" s="2284"/>
      <c r="G29" s="2284"/>
      <c r="H29" s="2284"/>
      <c r="I29" s="2284"/>
      <c r="J29" s="2284"/>
      <c r="K29" s="2284"/>
      <c r="L29" s="2284"/>
      <c r="M29" s="2284"/>
    </row>
    <row r="30" spans="2:13" x14ac:dyDescent="0.25">
      <c r="B30" s="2284"/>
      <c r="C30" s="2284"/>
      <c r="D30" s="2284"/>
      <c r="E30" s="2284"/>
      <c r="F30" s="2284"/>
      <c r="G30" s="2284"/>
      <c r="H30" s="2284"/>
      <c r="I30" s="2284"/>
      <c r="J30" s="2284"/>
      <c r="K30" s="2284"/>
      <c r="L30" s="2284"/>
      <c r="M30" s="2284"/>
    </row>
    <row r="31" spans="2:13" x14ac:dyDescent="0.25">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5"/>
  <cols>
    <col min="1" max="1" width="1.88671875" style="83" customWidth="1"/>
    <col min="2" max="2" width="37.88671875" style="83" customWidth="1"/>
    <col min="3" max="3" width="32" style="83" bestFit="1" customWidth="1"/>
    <col min="4" max="6" width="10.109375" style="83" customWidth="1"/>
    <col min="7" max="7" width="6.5546875" style="83" customWidth="1"/>
    <col min="8" max="8" width="7" style="83" customWidth="1"/>
    <col min="9" max="9" width="7.5546875" style="83" customWidth="1"/>
    <col min="10" max="11" width="13.5546875" style="83" customWidth="1"/>
    <col min="12" max="13" width="8.5546875" style="83" customWidth="1"/>
    <col min="14" max="16" width="10.109375" style="83" customWidth="1"/>
    <col min="17" max="18" width="10.5546875" style="83" customWidth="1"/>
    <col min="19" max="20" width="10.109375" style="83" customWidth="1"/>
    <col min="21" max="21" width="14.5546875" style="83" customWidth="1"/>
    <col min="22" max="22" width="2.109375" style="83" customWidth="1"/>
    <col min="23" max="23" width="14.5546875" style="83" customWidth="1"/>
    <col min="24" max="16384" width="8" style="83"/>
  </cols>
  <sheetData>
    <row r="1" spans="2:23" ht="15.6" x14ac:dyDescent="0.3">
      <c r="B1" s="13" t="s">
        <v>1014</v>
      </c>
      <c r="U1" s="14" t="s">
        <v>2521</v>
      </c>
    </row>
    <row r="2" spans="2:23" ht="15.6" x14ac:dyDescent="0.3">
      <c r="B2" s="13" t="s">
        <v>1015</v>
      </c>
      <c r="S2" s="83" t="s">
        <v>389</v>
      </c>
      <c r="U2" s="14" t="s">
        <v>2522</v>
      </c>
    </row>
    <row r="3" spans="2:23" ht="15.6" x14ac:dyDescent="0.3">
      <c r="B3" s="13" t="s">
        <v>62</v>
      </c>
      <c r="U3" s="14" t="s">
        <v>2144</v>
      </c>
    </row>
    <row r="4" spans="2:23" ht="12" customHeight="1" x14ac:dyDescent="0.3">
      <c r="B4" s="13"/>
      <c r="U4" s="226"/>
    </row>
    <row r="5" spans="2:23" ht="23.4" thickBot="1" x14ac:dyDescent="0.3">
      <c r="B5" s="2446" t="s">
        <v>64</v>
      </c>
      <c r="U5" s="477"/>
      <c r="W5" s="2569" t="s">
        <v>1049</v>
      </c>
    </row>
    <row r="6" spans="2:23" ht="14.4" x14ac:dyDescent="0.25">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5.6" x14ac:dyDescent="0.25">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2.8" x14ac:dyDescent="0.25">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4" thickBot="1" x14ac:dyDescent="0.3">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5">
      <c r="B10" s="2255" t="s">
        <v>1040</v>
      </c>
      <c r="C10" s="2257"/>
      <c r="D10" s="3555">
        <f>IF(SUM(D11,D16)=0,"IE",SUM(D11,D16))</f>
        <v>134940.66940506775</v>
      </c>
      <c r="E10" s="3556">
        <f t="shared" ref="E10:U10" si="0">IF(SUM(E11,E16)=0,"IE",SUM(E11,E16))</f>
        <v>134845.43007243628</v>
      </c>
      <c r="F10" s="3557">
        <f t="shared" si="0"/>
        <v>95.239332631456762</v>
      </c>
      <c r="G10" s="3558">
        <f t="shared" ref="G10:K11" si="1">IFERROR(IF(SUM($D10)=0,"NA",N10/$D10),"NA")</f>
        <v>3.8312552995113193E-2</v>
      </c>
      <c r="H10" s="3078">
        <f t="shared" si="1"/>
        <v>-1.4202156444182504E-2</v>
      </c>
      <c r="I10" s="3078">
        <f t="shared" si="1"/>
        <v>2.4110396550930689E-2</v>
      </c>
      <c r="J10" s="3078">
        <f t="shared" si="1"/>
        <v>1.4620276997298235E-2</v>
      </c>
      <c r="K10" s="3078">
        <f t="shared" si="1"/>
        <v>3.835094163343085E-3</v>
      </c>
      <c r="L10" s="3078">
        <f>IFERROR(IF(SUM(E10)=0,"NA",S10/E10),"NA")</f>
        <v>-1.052855103478131E-2</v>
      </c>
      <c r="M10" s="3128">
        <f>IFERROR(IF(SUM(F10)=0,"NA",T10/F10),"NA")</f>
        <v>-0.42622061499212038</v>
      </c>
      <c r="N10" s="3559">
        <f t="shared" si="0"/>
        <v>5169.9215477777079</v>
      </c>
      <c r="O10" s="3560">
        <f t="shared" si="0"/>
        <v>-1916.4484975734838</v>
      </c>
      <c r="P10" s="3560">
        <f t="shared" si="0"/>
        <v>3253.4730502042239</v>
      </c>
      <c r="Q10" s="3560">
        <f t="shared" si="0"/>
        <v>1972.8699649029377</v>
      </c>
      <c r="R10" s="3560">
        <f t="shared" si="0"/>
        <v>517.51017363298411</v>
      </c>
      <c r="S10" s="3560">
        <f t="shared" si="0"/>
        <v>-1419.7269923246799</v>
      </c>
      <c r="T10" s="3561">
        <f t="shared" si="0"/>
        <v>-40.592966925618619</v>
      </c>
      <c r="U10" s="3562">
        <f t="shared" si="0"/>
        <v>-15706.288508129443</v>
      </c>
      <c r="W10" s="2396"/>
    </row>
    <row r="11" spans="2:23" ht="18" customHeight="1" x14ac:dyDescent="0.25">
      <c r="B11" s="502" t="s">
        <v>982</v>
      </c>
      <c r="C11" s="2256"/>
      <c r="D11" s="3563">
        <f>IF(SUM(D12:D15)=0,"IE",SUM(D12:D15))</f>
        <v>131689.13107058901</v>
      </c>
      <c r="E11" s="3564">
        <f t="shared" ref="E11:U11" si="2">IF(SUM(E12:E15)=0,"IE",SUM(E12:E15))</f>
        <v>131689.13107058901</v>
      </c>
      <c r="F11" s="3565" t="str">
        <f t="shared" si="2"/>
        <v>IE</v>
      </c>
      <c r="G11" s="3558">
        <f t="shared" si="1"/>
        <v>1.8552686106268486E-2</v>
      </c>
      <c r="H11" s="3078">
        <f t="shared" si="1"/>
        <v>-1.4548050044040819E-2</v>
      </c>
      <c r="I11" s="3078">
        <f t="shared" si="1"/>
        <v>4.0046360622276664E-3</v>
      </c>
      <c r="J11" s="3078">
        <f t="shared" si="1"/>
        <v>1.1273367586588952E-2</v>
      </c>
      <c r="K11" s="3078">
        <f t="shared" si="1"/>
        <v>2.6481477710026623E-3</v>
      </c>
      <c r="L11" s="3078">
        <f t="shared" ref="L11:L28" si="3">IFERROR(IF(SUM(E11)=0,"NA",S11/E11),"NA")</f>
        <v>-2.0181776487034222E-4</v>
      </c>
      <c r="M11" s="3128" t="str">
        <f t="shared" ref="M11:M28" si="4">IFERROR(IF(SUM(F11)=0,"NA",T11/F11),"NA")</f>
        <v>NA</v>
      </c>
      <c r="N11" s="3109">
        <f t="shared" si="2"/>
        <v>2443.1871123598862</v>
      </c>
      <c r="O11" s="3109">
        <f t="shared" si="2"/>
        <v>-1915.8200690711797</v>
      </c>
      <c r="P11" s="3109">
        <f t="shared" si="2"/>
        <v>527.36704328870655</v>
      </c>
      <c r="Q11" s="3109">
        <f t="shared" si="2"/>
        <v>1484.5799817172422</v>
      </c>
      <c r="R11" s="3566">
        <f t="shared" si="2"/>
        <v>348.73227890985771</v>
      </c>
      <c r="S11" s="3566">
        <f t="shared" si="2"/>
        <v>-26.577206090383811</v>
      </c>
      <c r="T11" s="3566" t="str">
        <f t="shared" si="2"/>
        <v>IE</v>
      </c>
      <c r="U11" s="3567">
        <f t="shared" si="2"/>
        <v>-8558.3743586932178</v>
      </c>
      <c r="W11" s="2397"/>
    </row>
    <row r="12" spans="2:23" ht="18" customHeight="1" x14ac:dyDescent="0.25">
      <c r="B12" s="500"/>
      <c r="C12" s="508" t="s">
        <v>2220</v>
      </c>
      <c r="D12" s="3568">
        <f>IF(SUM(E12:F12)=0,E12,SUM(E12:F12))</f>
        <v>12312.667067954417</v>
      </c>
      <c r="E12" s="3569">
        <v>12312.667067954417</v>
      </c>
      <c r="F12" s="3554" t="s">
        <v>2153</v>
      </c>
      <c r="G12" s="3558">
        <f>IFERROR(IF(SUM($D12)=0,"NA",N12/$D12),"NA")</f>
        <v>2.8554940724132716E-2</v>
      </c>
      <c r="H12" s="3078" t="str">
        <f>IFERROR(IF(SUM($D12)=0,"NA",O12/$D12),"NA")</f>
        <v>NA</v>
      </c>
      <c r="I12" s="3078">
        <f>IFERROR(IF(SUM($D12)=0,"NA",P12/$D12),"NA")</f>
        <v>2.8554940724132716E-2</v>
      </c>
      <c r="J12" s="3078">
        <f>IFERROR(IF(SUM($D12)=0,"NA",Q12/$D12),"NA")</f>
        <v>0.11421523811781416</v>
      </c>
      <c r="K12" s="3078">
        <f>IFERROR(IF(SUM($D12)=0,"NA",R12/$D12),"NA")</f>
        <v>2.9576992370883397E-2</v>
      </c>
      <c r="L12" s="3078">
        <f t="shared" si="3"/>
        <v>-2.8978473933811501E-2</v>
      </c>
      <c r="M12" s="3128" t="str">
        <f t="shared" si="4"/>
        <v>NA</v>
      </c>
      <c r="N12" s="2905">
        <v>351.58747828141935</v>
      </c>
      <c r="O12" s="2905" t="s">
        <v>2153</v>
      </c>
      <c r="P12" s="3109">
        <f>IF(SUM(N12:O12)=0,N12,SUM(N12:O12))</f>
        <v>351.58747828141935</v>
      </c>
      <c r="Q12" s="2905">
        <v>1406.2942010317824</v>
      </c>
      <c r="R12" s="2906">
        <v>364.17165993411504</v>
      </c>
      <c r="S12" s="2906">
        <v>-356.80230168441636</v>
      </c>
      <c r="T12" s="2906" t="s">
        <v>2153</v>
      </c>
      <c r="U12" s="3570">
        <f>IF(SUM(P12:T12)=0,P12,SUM(P12:T12)*-44/12)</f>
        <v>-6472.5871377306366</v>
      </c>
      <c r="W12" s="2398"/>
    </row>
    <row r="13" spans="2:23" ht="18" customHeight="1" x14ac:dyDescent="0.25">
      <c r="B13" s="500"/>
      <c r="C13" s="508" t="s">
        <v>2221</v>
      </c>
      <c r="D13" s="3568">
        <f t="shared" ref="D13:D15" si="5">IF(SUM(E13:F13)=0,E13,SUM(E13:F13))</f>
        <v>682.24894237664262</v>
      </c>
      <c r="E13" s="3569">
        <v>682.24894237664262</v>
      </c>
      <c r="F13" s="3554" t="s">
        <v>2153</v>
      </c>
      <c r="G13" s="3558">
        <f t="shared" ref="G13:K28" si="6">IFERROR(IF(SUM($D13)=0,"NA",N13/$D13),"NA")</f>
        <v>3.0657425818679798</v>
      </c>
      <c r="H13" s="3078" t="str">
        <f t="shared" si="6"/>
        <v>NA</v>
      </c>
      <c r="I13" s="3078">
        <f t="shared" si="6"/>
        <v>3.0657425818679798</v>
      </c>
      <c r="J13" s="3078">
        <f t="shared" si="6"/>
        <v>-0.20228875798128423</v>
      </c>
      <c r="K13" s="3078">
        <f t="shared" si="6"/>
        <v>-9.5448720276355096E-3</v>
      </c>
      <c r="L13" s="3078">
        <f t="shared" si="3"/>
        <v>0.48402434226380719</v>
      </c>
      <c r="M13" s="3128" t="str">
        <f t="shared" si="4"/>
        <v>NA</v>
      </c>
      <c r="N13" s="2905">
        <v>2091.5996340784668</v>
      </c>
      <c r="O13" s="2905" t="s">
        <v>2153</v>
      </c>
      <c r="P13" s="3109">
        <f t="shared" ref="P13:P15" si="7">IF(SUM(N13:O13)=0,N13,SUM(N13:O13))</f>
        <v>2091.5996340784668</v>
      </c>
      <c r="Q13" s="2905">
        <v>-138.01129118741579</v>
      </c>
      <c r="R13" s="2906">
        <v>-6.5119788459747268</v>
      </c>
      <c r="S13" s="2906">
        <v>330.22509559403255</v>
      </c>
      <c r="T13" s="2906" t="s">
        <v>2153</v>
      </c>
      <c r="U13" s="3570">
        <f t="shared" ref="U13:U15" si="8">IF(SUM(P13:T13)=0,P13,SUM(P13:T13)*-44/12)</f>
        <v>-8350.1053520100668</v>
      </c>
      <c r="W13" s="2398"/>
    </row>
    <row r="14" spans="2:23" ht="18" customHeight="1" x14ac:dyDescent="0.25">
      <c r="B14" s="500"/>
      <c r="C14" s="508" t="s">
        <v>2222</v>
      </c>
      <c r="D14" s="3568">
        <f t="shared" si="5"/>
        <v>118694.21506025795</v>
      </c>
      <c r="E14" s="3569">
        <v>118694.21506025795</v>
      </c>
      <c r="F14" s="3554" t="s">
        <v>2153</v>
      </c>
      <c r="G14" s="3558" t="str">
        <f t="shared" si="6"/>
        <v>NA</v>
      </c>
      <c r="H14" s="3078">
        <f t="shared" si="6"/>
        <v>-1.604968020887824E-3</v>
      </c>
      <c r="I14" s="3078">
        <f t="shared" si="6"/>
        <v>-1.604968020887824E-3</v>
      </c>
      <c r="J14" s="3078">
        <f t="shared" si="6"/>
        <v>-1.2539065273470369E-3</v>
      </c>
      <c r="K14" s="3078">
        <f t="shared" si="6"/>
        <v>-7.5213456475114502E-5</v>
      </c>
      <c r="L14" s="3078" t="str">
        <f t="shared" si="3"/>
        <v>NA</v>
      </c>
      <c r="M14" s="3128" t="str">
        <f t="shared" si="4"/>
        <v>NA</v>
      </c>
      <c r="N14" s="2905" t="s">
        <v>2153</v>
      </c>
      <c r="O14" s="2905">
        <v>-190.50041943609597</v>
      </c>
      <c r="P14" s="3109">
        <f t="shared" si="7"/>
        <v>-190.50041943609597</v>
      </c>
      <c r="Q14" s="2905">
        <v>-148.83145102239041</v>
      </c>
      <c r="R14" s="2906">
        <v>-8.9274021782825912</v>
      </c>
      <c r="S14" s="2906" t="s">
        <v>2147</v>
      </c>
      <c r="T14" s="2906" t="s">
        <v>2147</v>
      </c>
      <c r="U14" s="3570">
        <f t="shared" si="8"/>
        <v>1276.9506663348195</v>
      </c>
      <c r="W14" s="2398"/>
    </row>
    <row r="15" spans="2:23" ht="18" customHeight="1" x14ac:dyDescent="0.25">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t="s">
        <v>2153</v>
      </c>
      <c r="O15" s="2905">
        <v>-1725.3196496350838</v>
      </c>
      <c r="P15" s="3109">
        <f t="shared" si="7"/>
        <v>-1725.3196496350838</v>
      </c>
      <c r="Q15" s="2905">
        <v>365.1285228952658</v>
      </c>
      <c r="R15" s="2906" t="s">
        <v>2147</v>
      </c>
      <c r="S15" s="2906" t="s">
        <v>2147</v>
      </c>
      <c r="T15" s="2906" t="s">
        <v>2147</v>
      </c>
      <c r="U15" s="3570">
        <f t="shared" si="8"/>
        <v>4987.3674647126654</v>
      </c>
      <c r="W15" s="2398"/>
    </row>
    <row r="16" spans="2:23" ht="18" customHeight="1" x14ac:dyDescent="0.25">
      <c r="B16" s="485" t="s">
        <v>1041</v>
      </c>
      <c r="C16" s="504"/>
      <c r="D16" s="3568">
        <f>IF(SUM(D17,D19,D23,D25,D27)=0,"IE",SUM(D17,D19,D23,D25,D27))</f>
        <v>3251.538334478726</v>
      </c>
      <c r="E16" s="3571">
        <f t="shared" ref="E16:T16" si="9">IF(SUM(E17,E19,E23,E25,E27)=0,"IE",SUM(E17,E19,E23,E25,E27))</f>
        <v>3156.2990018472692</v>
      </c>
      <c r="F16" s="3572">
        <f t="shared" si="9"/>
        <v>95.239332631456762</v>
      </c>
      <c r="G16" s="3558">
        <f t="shared" si="6"/>
        <v>0.83859827408584475</v>
      </c>
      <c r="H16" s="3078">
        <f t="shared" si="6"/>
        <v>-1.9327113435523485E-4</v>
      </c>
      <c r="I16" s="3078">
        <f t="shared" si="6"/>
        <v>0.83840500295148945</v>
      </c>
      <c r="J16" s="3078">
        <f t="shared" si="6"/>
        <v>0.15017199028778369</v>
      </c>
      <c r="K16" s="3078">
        <f t="shared" si="6"/>
        <v>5.190709054032551E-2</v>
      </c>
      <c r="L16" s="3078">
        <f t="shared" si="3"/>
        <v>-0.44138713899378201</v>
      </c>
      <c r="M16" s="3128">
        <f t="shared" si="4"/>
        <v>-0.42622061499212038</v>
      </c>
      <c r="N16" s="3078">
        <f t="shared" si="9"/>
        <v>2726.7344354178217</v>
      </c>
      <c r="O16" s="3078">
        <f t="shared" si="9"/>
        <v>-0.62842850230423442</v>
      </c>
      <c r="P16" s="3078">
        <f t="shared" si="9"/>
        <v>2726.1060069155174</v>
      </c>
      <c r="Q16" s="3078">
        <f t="shared" si="9"/>
        <v>488.28998318569558</v>
      </c>
      <c r="R16" s="3573">
        <f t="shared" si="9"/>
        <v>168.77789472312645</v>
      </c>
      <c r="S16" s="3573">
        <f t="shared" si="9"/>
        <v>-1393.149786234296</v>
      </c>
      <c r="T16" s="3573">
        <f t="shared" si="9"/>
        <v>-40.592966925618619</v>
      </c>
      <c r="U16" s="3570">
        <f>IF(SUM(U17,U19,U23,U25,U27)=0,"IE",SUM(U17,U19,U23,U25,U27))</f>
        <v>-7147.9141494362248</v>
      </c>
      <c r="W16" s="2019"/>
    </row>
    <row r="17" spans="2:23" ht="18" customHeight="1" x14ac:dyDescent="0.25">
      <c r="B17" s="487" t="s">
        <v>1042</v>
      </c>
      <c r="C17" s="504"/>
      <c r="D17" s="3568">
        <f>D18</f>
        <v>34.668999999999997</v>
      </c>
      <c r="E17" s="3571">
        <f t="shared" ref="E17:U17" si="10">E18</f>
        <v>34.668999999999997</v>
      </c>
      <c r="F17" s="3572" t="str">
        <f t="shared" si="10"/>
        <v>NO</v>
      </c>
      <c r="G17" s="3558">
        <f t="shared" si="6"/>
        <v>1.3238916611381928</v>
      </c>
      <c r="H17" s="3078" t="str">
        <f t="shared" si="6"/>
        <v>NA</v>
      </c>
      <c r="I17" s="3078">
        <f t="shared" si="6"/>
        <v>1.3238916611381928</v>
      </c>
      <c r="J17" s="3078">
        <f t="shared" si="6"/>
        <v>-7.5600680723412847E-2</v>
      </c>
      <c r="K17" s="3078">
        <f t="shared" si="6"/>
        <v>-2.4661801609507053E-2</v>
      </c>
      <c r="L17" s="3078">
        <f t="shared" si="3"/>
        <v>-0.540482852115723</v>
      </c>
      <c r="M17" s="3128" t="str">
        <f t="shared" si="4"/>
        <v>NA</v>
      </c>
      <c r="N17" s="3078">
        <f t="shared" si="10"/>
        <v>45.898000000000003</v>
      </c>
      <c r="O17" s="3078" t="str">
        <f t="shared" si="10"/>
        <v>IE</v>
      </c>
      <c r="P17" s="3078">
        <f t="shared" si="10"/>
        <v>45.898000000000003</v>
      </c>
      <c r="Q17" s="3078">
        <f t="shared" si="10"/>
        <v>-2.621</v>
      </c>
      <c r="R17" s="3573">
        <f t="shared" si="10"/>
        <v>-0.85499999999999998</v>
      </c>
      <c r="S17" s="3573">
        <f t="shared" si="10"/>
        <v>-18.738</v>
      </c>
      <c r="T17" s="3573" t="str">
        <f t="shared" si="10"/>
        <v>NO</v>
      </c>
      <c r="U17" s="3570">
        <f t="shared" si="10"/>
        <v>-86.841333333333353</v>
      </c>
      <c r="W17" s="2019"/>
    </row>
    <row r="18" spans="2:23" ht="18" customHeight="1" x14ac:dyDescent="0.25">
      <c r="B18" s="488"/>
      <c r="C18" s="508" t="s">
        <v>278</v>
      </c>
      <c r="D18" s="3568">
        <f>IF(SUM(E18:F18)=0,E18,SUM(E18:F18))</f>
        <v>34.668999999999997</v>
      </c>
      <c r="E18" s="3569">
        <v>34.668999999999997</v>
      </c>
      <c r="F18" s="3554" t="s">
        <v>2146</v>
      </c>
      <c r="G18" s="3558">
        <f t="shared" si="6"/>
        <v>1.3238916611381928</v>
      </c>
      <c r="H18" s="3078" t="str">
        <f t="shared" si="6"/>
        <v>NA</v>
      </c>
      <c r="I18" s="3078">
        <f t="shared" si="6"/>
        <v>1.3238916611381928</v>
      </c>
      <c r="J18" s="3078">
        <f t="shared" si="6"/>
        <v>-7.5600680723412847E-2</v>
      </c>
      <c r="K18" s="3078">
        <f t="shared" si="6"/>
        <v>-2.4661801609507053E-2</v>
      </c>
      <c r="L18" s="3078">
        <f t="shared" si="3"/>
        <v>-0.540482852115723</v>
      </c>
      <c r="M18" s="3128" t="str">
        <f t="shared" si="4"/>
        <v>NA</v>
      </c>
      <c r="N18" s="2905">
        <v>45.898000000000003</v>
      </c>
      <c r="O18" s="2905" t="s">
        <v>2153</v>
      </c>
      <c r="P18" s="3109">
        <f>IF(SUM(N18:O18)=0,N18,SUM(N18:O18))</f>
        <v>45.898000000000003</v>
      </c>
      <c r="Q18" s="2905">
        <v>-2.621</v>
      </c>
      <c r="R18" s="2906">
        <v>-0.85499999999999998</v>
      </c>
      <c r="S18" s="2906">
        <v>-18.738</v>
      </c>
      <c r="T18" s="2906" t="s">
        <v>2146</v>
      </c>
      <c r="U18" s="3570">
        <f t="shared" ref="U18" si="11">IF(SUM(P18:T18)=0,P18,SUM(P18:T18)*-44/12)</f>
        <v>-86.841333333333353</v>
      </c>
      <c r="W18" s="2398"/>
    </row>
    <row r="19" spans="2:23" ht="18" customHeight="1" x14ac:dyDescent="0.25">
      <c r="B19" s="487" t="s">
        <v>1043</v>
      </c>
      <c r="C19" s="504"/>
      <c r="D19" s="3563">
        <f>IF(SUM(D20:D22)=0,"IE",SUM(D20:D22))</f>
        <v>3107.8040018472693</v>
      </c>
      <c r="E19" s="3571">
        <f t="shared" ref="E19:U19" si="12">IF(SUM(E20:E22)=0,"IE",SUM(E20:E22))</f>
        <v>3107.8040018472693</v>
      </c>
      <c r="F19" s="3572" t="str">
        <f t="shared" si="12"/>
        <v>IE</v>
      </c>
      <c r="G19" s="3558">
        <f t="shared" si="6"/>
        <v>0.59286953759643057</v>
      </c>
      <c r="H19" s="3078">
        <f t="shared" si="6"/>
        <v>-2.0220982466419968E-4</v>
      </c>
      <c r="I19" s="3078">
        <f t="shared" si="6"/>
        <v>0.59266732777176634</v>
      </c>
      <c r="J19" s="3078">
        <f t="shared" si="6"/>
        <v>0.17993488445089093</v>
      </c>
      <c r="K19" s="3078">
        <f t="shared" si="6"/>
        <v>4.5702125515479183E-2</v>
      </c>
      <c r="L19" s="3078">
        <f t="shared" si="3"/>
        <v>-0.43761214845785273</v>
      </c>
      <c r="M19" s="3128" t="str">
        <f t="shared" si="4"/>
        <v>NA</v>
      </c>
      <c r="N19" s="3078">
        <f t="shared" si="12"/>
        <v>1842.522321515527</v>
      </c>
      <c r="O19" s="3078">
        <f t="shared" si="12"/>
        <v>-0.62842850230423442</v>
      </c>
      <c r="P19" s="3078">
        <f t="shared" si="12"/>
        <v>1841.8938930132229</v>
      </c>
      <c r="Q19" s="3078">
        <f t="shared" si="12"/>
        <v>559.20235396840485</v>
      </c>
      <c r="R19" s="3573">
        <f t="shared" si="12"/>
        <v>142.0332485699324</v>
      </c>
      <c r="S19" s="3573">
        <f t="shared" si="12"/>
        <v>-1360.0127862342961</v>
      </c>
      <c r="T19" s="3573" t="str">
        <f t="shared" si="12"/>
        <v>IE</v>
      </c>
      <c r="U19" s="3570">
        <f t="shared" si="12"/>
        <v>-4338.0946008299679</v>
      </c>
      <c r="W19" s="2019"/>
    </row>
    <row r="20" spans="2:23" ht="18" customHeight="1" x14ac:dyDescent="0.25">
      <c r="B20" s="496"/>
      <c r="C20" s="508" t="s">
        <v>2223</v>
      </c>
      <c r="D20" s="3568">
        <f>IF(SUM(E20:F20)=0,E20,SUM(E20:F20))</f>
        <v>814.60200000000032</v>
      </c>
      <c r="E20" s="3569">
        <v>814.60200000000032</v>
      </c>
      <c r="F20" s="3554" t="s">
        <v>2146</v>
      </c>
      <c r="G20" s="3558">
        <f t="shared" si="6"/>
        <v>1.2730670928870782</v>
      </c>
      <c r="H20" s="3078" t="str">
        <f t="shared" si="6"/>
        <v>NA</v>
      </c>
      <c r="I20" s="3078">
        <f t="shared" si="6"/>
        <v>1.2730670928870782</v>
      </c>
      <c r="J20" s="3078">
        <f t="shared" si="6"/>
        <v>-4.4019042428081433E-2</v>
      </c>
      <c r="K20" s="3078">
        <f t="shared" si="6"/>
        <v>-1.1139182079101181E-2</v>
      </c>
      <c r="L20" s="3078">
        <f t="shared" si="3"/>
        <v>-0.6874117667278008</v>
      </c>
      <c r="M20" s="3128" t="str">
        <f t="shared" si="4"/>
        <v>NA</v>
      </c>
      <c r="N20" s="2905">
        <v>1037.0430000000001</v>
      </c>
      <c r="O20" s="2905" t="s">
        <v>2153</v>
      </c>
      <c r="P20" s="3109">
        <f>IF(SUM(N20:O20)=0,N20,SUM(N20:O20))</f>
        <v>1037.0430000000001</v>
      </c>
      <c r="Q20" s="2905">
        <v>-35.858000000000004</v>
      </c>
      <c r="R20" s="2906">
        <v>-9.0739999999999839</v>
      </c>
      <c r="S20" s="2906">
        <v>-559.96700000000021</v>
      </c>
      <c r="T20" s="2906" t="s">
        <v>2146</v>
      </c>
      <c r="U20" s="3570">
        <f t="shared" ref="U20:U22" si="13">IF(SUM(P20:T20)=0,P20,SUM(P20:T20)*-44/12)</f>
        <v>-1584.528</v>
      </c>
      <c r="W20" s="2398"/>
    </row>
    <row r="21" spans="2:23" ht="18" customHeight="1" x14ac:dyDescent="0.25">
      <c r="B21" s="500"/>
      <c r="C21" s="508" t="s">
        <v>2291</v>
      </c>
      <c r="D21" s="3568">
        <f>IF(SUM(E21:F21)=0,E21,SUM(E21:F21))</f>
        <v>2293.202001847269</v>
      </c>
      <c r="E21" s="3569">
        <v>2293.202001847269</v>
      </c>
      <c r="F21" s="3554" t="s">
        <v>2146</v>
      </c>
      <c r="G21" s="3558">
        <f t="shared" si="6"/>
        <v>0.35124656304445917</v>
      </c>
      <c r="H21" s="3078" t="str">
        <f t="shared" si="6"/>
        <v>NA</v>
      </c>
      <c r="I21" s="3078">
        <f t="shared" si="6"/>
        <v>0.35124656304445917</v>
      </c>
      <c r="J21" s="3078">
        <f t="shared" si="6"/>
        <v>0.25939487612496975</v>
      </c>
      <c r="K21" s="3078">
        <f t="shared" si="6"/>
        <v>6.589356212327098E-2</v>
      </c>
      <c r="L21" s="3078">
        <f t="shared" si="3"/>
        <v>-0.34887715325114227</v>
      </c>
      <c r="M21" s="3128" t="str">
        <f t="shared" si="4"/>
        <v>NA</v>
      </c>
      <c r="N21" s="2905">
        <v>805.47932151552675</v>
      </c>
      <c r="O21" s="2905" t="s">
        <v>2153</v>
      </c>
      <c r="P21" s="3109">
        <f t="shared" ref="P21:P28" si="14">IF(SUM(N21:O21)=0,N21,SUM(N21:O21))</f>
        <v>805.47932151552675</v>
      </c>
      <c r="Q21" s="2905">
        <v>594.84484919870499</v>
      </c>
      <c r="R21" s="2906">
        <v>151.10724856993238</v>
      </c>
      <c r="S21" s="2906">
        <v>-800.04578623429586</v>
      </c>
      <c r="T21" s="2906" t="s">
        <v>2146</v>
      </c>
      <c r="U21" s="3570">
        <f t="shared" si="13"/>
        <v>-2755.0806545161836</v>
      </c>
      <c r="W21" s="2398"/>
    </row>
    <row r="22" spans="2:23" ht="18" customHeight="1" x14ac:dyDescent="0.25">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t="s">
        <v>2153</v>
      </c>
      <c r="O22" s="2905">
        <v>-0.62842850230423442</v>
      </c>
      <c r="P22" s="3109">
        <f t="shared" si="14"/>
        <v>-0.62842850230423442</v>
      </c>
      <c r="Q22" s="2905">
        <v>0.21550476969991603</v>
      </c>
      <c r="R22" s="2906" t="s">
        <v>2147</v>
      </c>
      <c r="S22" s="2906" t="s">
        <v>2147</v>
      </c>
      <c r="T22" s="2906" t="s">
        <v>2147</v>
      </c>
      <c r="U22" s="3570">
        <f t="shared" si="13"/>
        <v>1.514053686215834</v>
      </c>
      <c r="W22" s="2398"/>
    </row>
    <row r="23" spans="2:23" ht="18" customHeight="1" x14ac:dyDescent="0.25">
      <c r="B23" s="487" t="s">
        <v>1044</v>
      </c>
      <c r="C23" s="504"/>
      <c r="D23" s="3568">
        <f>D24</f>
        <v>95.239332631456762</v>
      </c>
      <c r="E23" s="3571" t="str">
        <f t="shared" ref="E23" si="15">E24</f>
        <v>NO</v>
      </c>
      <c r="F23" s="3572">
        <f t="shared" ref="F23" si="16">F24</f>
        <v>95.239332631456762</v>
      </c>
      <c r="G23" s="3558">
        <f t="shared" si="6"/>
        <v>8.5809832064317177</v>
      </c>
      <c r="H23" s="3078" t="str">
        <f t="shared" si="6"/>
        <v>NA</v>
      </c>
      <c r="I23" s="3078">
        <f t="shared" si="6"/>
        <v>8.5809832064317177</v>
      </c>
      <c r="J23" s="3078">
        <f t="shared" si="6"/>
        <v>-0.70194077316149195</v>
      </c>
      <c r="K23" s="3078">
        <f t="shared" si="6"/>
        <v>0.2931524757867992</v>
      </c>
      <c r="L23" s="3078" t="str">
        <f t="shared" si="3"/>
        <v>NA</v>
      </c>
      <c r="M23" s="3128">
        <f t="shared" si="4"/>
        <v>-0.42622061499212038</v>
      </c>
      <c r="N23" s="3078">
        <f t="shared" ref="N23" si="17">N24</f>
        <v>817.24711390229481</v>
      </c>
      <c r="O23" s="3078" t="str">
        <f t="shared" ref="O23" si="18">O24</f>
        <v>IE</v>
      </c>
      <c r="P23" s="3078">
        <f t="shared" ref="P23" si="19">P24</f>
        <v>817.24711390229481</v>
      </c>
      <c r="Q23" s="3078">
        <f t="shared" ref="Q23" si="20">Q24</f>
        <v>-66.852370782709272</v>
      </c>
      <c r="R23" s="3573">
        <f t="shared" ref="R23" si="21">R24</f>
        <v>27.919646153194044</v>
      </c>
      <c r="S23" s="3573" t="str">
        <f t="shared" ref="S23" si="22">S24</f>
        <v>NO</v>
      </c>
      <c r="T23" s="3573">
        <f t="shared" ref="T23" si="23">T24</f>
        <v>-40.592966925618619</v>
      </c>
      <c r="U23" s="3570">
        <f t="shared" ref="U23" si="24">U24</f>
        <v>-2704.9785486062569</v>
      </c>
      <c r="W23" s="2019"/>
    </row>
    <row r="24" spans="2:23" ht="18" customHeight="1" x14ac:dyDescent="0.25">
      <c r="B24" s="488"/>
      <c r="C24" s="508" t="s">
        <v>278</v>
      </c>
      <c r="D24" s="3568">
        <f>IF(SUM(E24:F24)=0,E24,SUM(E24:F24))</f>
        <v>95.239332631456762</v>
      </c>
      <c r="E24" s="3569" t="s">
        <v>2146</v>
      </c>
      <c r="F24" s="3554">
        <v>95.239332631456762</v>
      </c>
      <c r="G24" s="3558">
        <f t="shared" si="6"/>
        <v>8.5809832064317177</v>
      </c>
      <c r="H24" s="3078" t="str">
        <f t="shared" si="6"/>
        <v>NA</v>
      </c>
      <c r="I24" s="3078">
        <f t="shared" si="6"/>
        <v>8.5809832064317177</v>
      </c>
      <c r="J24" s="3078">
        <f t="shared" si="6"/>
        <v>-0.70194077316149195</v>
      </c>
      <c r="K24" s="3078">
        <f t="shared" si="6"/>
        <v>0.2931524757867992</v>
      </c>
      <c r="L24" s="3078" t="str">
        <f t="shared" si="3"/>
        <v>NA</v>
      </c>
      <c r="M24" s="3128">
        <f t="shared" si="4"/>
        <v>-0.42622061499212038</v>
      </c>
      <c r="N24" s="2905">
        <v>817.24711390229481</v>
      </c>
      <c r="O24" s="2905" t="s">
        <v>2153</v>
      </c>
      <c r="P24" s="3109">
        <f t="shared" si="14"/>
        <v>817.24711390229481</v>
      </c>
      <c r="Q24" s="2905">
        <v>-66.852370782709272</v>
      </c>
      <c r="R24" s="2906">
        <v>27.919646153194044</v>
      </c>
      <c r="S24" s="2906" t="s">
        <v>2146</v>
      </c>
      <c r="T24" s="2906">
        <v>-40.592966925618619</v>
      </c>
      <c r="U24" s="3570">
        <f t="shared" ref="U24" si="25">IF(SUM(P24:T24)=0,P24,SUM(P24:T24)*-44/12)</f>
        <v>-2704.9785486062569</v>
      </c>
      <c r="W24" s="2398"/>
    </row>
    <row r="25" spans="2:23" ht="18" customHeight="1" x14ac:dyDescent="0.25">
      <c r="B25" s="487" t="s">
        <v>1045</v>
      </c>
      <c r="C25" s="504"/>
      <c r="D25" s="3568">
        <f>D26</f>
        <v>13.826000000000001</v>
      </c>
      <c r="E25" s="3571">
        <f t="shared" ref="E25" si="26">E26</f>
        <v>13.826000000000001</v>
      </c>
      <c r="F25" s="3572" t="str">
        <f t="shared" ref="F25" si="27">F26</f>
        <v>NO</v>
      </c>
      <c r="G25" s="3558">
        <f t="shared" si="6"/>
        <v>1.5237234196441487</v>
      </c>
      <c r="H25" s="3078" t="str">
        <f t="shared" si="6"/>
        <v>NA</v>
      </c>
      <c r="I25" s="3078">
        <f t="shared" si="6"/>
        <v>1.5237234196441487</v>
      </c>
      <c r="J25" s="3078">
        <f t="shared" si="6"/>
        <v>-0.10407927093881093</v>
      </c>
      <c r="K25" s="3078">
        <f t="shared" si="6"/>
        <v>-2.3144799652828008E-2</v>
      </c>
      <c r="L25" s="3078">
        <f t="shared" si="3"/>
        <v>-1.0414436568783449</v>
      </c>
      <c r="M25" s="3128" t="str">
        <f t="shared" si="4"/>
        <v>NA</v>
      </c>
      <c r="N25" s="3078">
        <f t="shared" ref="N25" si="28">N26</f>
        <v>21.067</v>
      </c>
      <c r="O25" s="3078" t="str">
        <f t="shared" ref="O25" si="29">O26</f>
        <v>IE</v>
      </c>
      <c r="P25" s="3078">
        <f t="shared" ref="P25" si="30">P26</f>
        <v>21.067</v>
      </c>
      <c r="Q25" s="3078">
        <f t="shared" ref="Q25" si="31">Q26</f>
        <v>-1.4390000000000001</v>
      </c>
      <c r="R25" s="3573">
        <f t="shared" ref="R25" si="32">R26</f>
        <v>-0.32000000000000006</v>
      </c>
      <c r="S25" s="3573">
        <f t="shared" ref="S25" si="33">S26</f>
        <v>-14.398999999999999</v>
      </c>
      <c r="T25" s="3573" t="str">
        <f t="shared" ref="T25" si="34">T26</f>
        <v>NO</v>
      </c>
      <c r="U25" s="3570">
        <f t="shared" ref="U25" si="35">U26</f>
        <v>-17.99966666666667</v>
      </c>
      <c r="W25" s="2019"/>
    </row>
    <row r="26" spans="2:23" ht="18" customHeight="1" x14ac:dyDescent="0.25">
      <c r="B26" s="488"/>
      <c r="C26" s="508" t="s">
        <v>278</v>
      </c>
      <c r="D26" s="3568">
        <f>IF(SUM(E26:F26)=0,E26,SUM(E26:F26))</f>
        <v>13.826000000000001</v>
      </c>
      <c r="E26" s="3569">
        <v>13.826000000000001</v>
      </c>
      <c r="F26" s="3554" t="s">
        <v>2146</v>
      </c>
      <c r="G26" s="3558">
        <f t="shared" si="6"/>
        <v>1.5237234196441487</v>
      </c>
      <c r="H26" s="3078" t="str">
        <f t="shared" si="6"/>
        <v>NA</v>
      </c>
      <c r="I26" s="3078">
        <f t="shared" si="6"/>
        <v>1.5237234196441487</v>
      </c>
      <c r="J26" s="3078">
        <f t="shared" si="6"/>
        <v>-0.10407927093881093</v>
      </c>
      <c r="K26" s="3078">
        <f t="shared" si="6"/>
        <v>-2.3144799652828008E-2</v>
      </c>
      <c r="L26" s="3078">
        <f t="shared" si="3"/>
        <v>-1.0414436568783449</v>
      </c>
      <c r="M26" s="3128" t="str">
        <f t="shared" si="4"/>
        <v>NA</v>
      </c>
      <c r="N26" s="2905">
        <v>21.067</v>
      </c>
      <c r="O26" s="2905" t="s">
        <v>2153</v>
      </c>
      <c r="P26" s="3109">
        <f t="shared" si="14"/>
        <v>21.067</v>
      </c>
      <c r="Q26" s="2905">
        <v>-1.4390000000000001</v>
      </c>
      <c r="R26" s="2906">
        <v>-0.32000000000000006</v>
      </c>
      <c r="S26" s="2906">
        <v>-14.398999999999999</v>
      </c>
      <c r="T26" s="2906" t="s">
        <v>2146</v>
      </c>
      <c r="U26" s="3570">
        <f t="shared" ref="U26" si="36">IF(SUM(P26:T26)=0,P26,SUM(P26:T26)*-44/12)</f>
        <v>-17.99966666666667</v>
      </c>
      <c r="W26" s="2398"/>
    </row>
    <row r="27" spans="2:23" ht="18" customHeight="1" x14ac:dyDescent="0.25">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3">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4.4" x14ac:dyDescent="0.25">
      <c r="B29" s="787"/>
    </row>
    <row r="30" spans="2:23" customFormat="1" ht="13.2" x14ac:dyDescent="0.25">
      <c r="B30" s="861"/>
    </row>
    <row r="31" spans="2:23" customFormat="1" ht="13.2" x14ac:dyDescent="0.25">
      <c r="B31" s="861"/>
    </row>
    <row r="32" spans="2:23" s="489" customFormat="1" ht="14.4" x14ac:dyDescent="0.25">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4.4" x14ac:dyDescent="0.25">
      <c r="B33" s="860"/>
      <c r="C33" s="787"/>
      <c r="D33" s="787"/>
      <c r="E33" s="787"/>
      <c r="F33" s="787"/>
      <c r="G33" s="787"/>
      <c r="H33" s="787"/>
      <c r="I33" s="787"/>
      <c r="J33" s="787"/>
      <c r="K33" s="787"/>
      <c r="L33" s="787"/>
      <c r="M33" s="787"/>
      <c r="N33" s="787"/>
      <c r="O33" s="787"/>
      <c r="P33" s="787"/>
      <c r="Q33" s="787"/>
      <c r="R33" s="787"/>
      <c r="S33" s="787"/>
      <c r="T33" s="787"/>
      <c r="U33" s="787"/>
      <c r="V33" s="83"/>
    </row>
    <row r="34" spans="2:22" ht="14.4" x14ac:dyDescent="0.25">
      <c r="B34" s="787"/>
      <c r="C34" s="787"/>
      <c r="D34" s="787"/>
      <c r="E34" s="787"/>
      <c r="F34" s="787"/>
      <c r="G34" s="787"/>
      <c r="H34" s="787"/>
      <c r="I34" s="787"/>
      <c r="J34" s="787"/>
      <c r="K34" s="787"/>
      <c r="L34" s="787"/>
      <c r="M34" s="787"/>
      <c r="N34" s="787"/>
      <c r="O34" s="787"/>
      <c r="P34" s="787"/>
      <c r="Q34" s="787"/>
      <c r="R34" s="787"/>
      <c r="S34" s="787"/>
      <c r="T34" s="787"/>
      <c r="U34" s="787"/>
    </row>
    <row r="35" spans="2:22" ht="18.600000000000001" x14ac:dyDescent="0.25">
      <c r="B35" s="787"/>
      <c r="C35" s="787"/>
      <c r="D35" s="787"/>
      <c r="E35" s="787"/>
      <c r="F35" s="787"/>
      <c r="G35" s="787"/>
      <c r="H35" s="787"/>
      <c r="I35" s="787"/>
      <c r="J35" s="787"/>
      <c r="K35" s="787"/>
      <c r="L35" s="787"/>
      <c r="M35" s="787"/>
      <c r="N35" s="787"/>
      <c r="O35" s="787"/>
      <c r="P35" s="787"/>
      <c r="Q35" s="787"/>
      <c r="R35" s="787"/>
      <c r="S35" s="787"/>
      <c r="T35" s="787"/>
      <c r="U35" s="490"/>
    </row>
    <row r="36" spans="2:22" ht="14.4" x14ac:dyDescent="0.25">
      <c r="B36" s="788"/>
      <c r="C36" s="788"/>
      <c r="D36" s="788"/>
      <c r="E36" s="788"/>
      <c r="F36" s="788"/>
      <c r="G36" s="788"/>
      <c r="H36" s="788"/>
      <c r="I36" s="788"/>
      <c r="J36" s="788"/>
      <c r="K36" s="788"/>
      <c r="L36" s="788"/>
      <c r="M36" s="788"/>
      <c r="N36" s="788"/>
      <c r="O36" s="788"/>
      <c r="P36" s="788"/>
      <c r="Q36" s="788"/>
      <c r="R36" s="788"/>
      <c r="S36" s="788"/>
      <c r="T36" s="788"/>
      <c r="U36" s="788"/>
    </row>
    <row r="37" spans="2:22" ht="14.4" x14ac:dyDescent="0.25">
      <c r="B37" s="788"/>
      <c r="C37" s="788"/>
      <c r="D37" s="788"/>
      <c r="E37" s="788"/>
      <c r="F37" s="788"/>
      <c r="G37" s="788"/>
      <c r="H37" s="788"/>
      <c r="I37" s="788"/>
      <c r="J37" s="788"/>
      <c r="K37" s="788"/>
      <c r="L37" s="788"/>
      <c r="M37" s="788"/>
      <c r="N37" s="788"/>
      <c r="O37" s="788"/>
      <c r="P37" s="788"/>
      <c r="Q37" s="788"/>
      <c r="R37" s="788"/>
      <c r="S37" s="788"/>
      <c r="T37" s="788"/>
      <c r="U37" s="788"/>
    </row>
    <row r="38" spans="2:22" ht="14.4" x14ac:dyDescent="0.25">
      <c r="B38" s="788"/>
      <c r="C38" s="788"/>
      <c r="D38" s="788"/>
      <c r="E38" s="788"/>
      <c r="F38" s="788"/>
      <c r="G38" s="788"/>
      <c r="H38" s="788"/>
      <c r="I38" s="788"/>
      <c r="J38" s="788"/>
      <c r="K38" s="788"/>
      <c r="L38" s="788"/>
      <c r="M38" s="788"/>
      <c r="N38" s="788"/>
      <c r="O38" s="788"/>
      <c r="P38" s="788"/>
      <c r="Q38" s="788"/>
      <c r="R38" s="788"/>
      <c r="S38" s="788"/>
      <c r="T38" s="788"/>
      <c r="U38" s="788"/>
    </row>
    <row r="39" spans="2:22" ht="14.4" x14ac:dyDescent="0.25">
      <c r="B39" s="788"/>
      <c r="C39" s="788"/>
      <c r="D39" s="788"/>
      <c r="E39" s="788"/>
      <c r="F39" s="788"/>
      <c r="G39" s="788"/>
      <c r="H39" s="788"/>
      <c r="I39" s="788"/>
      <c r="J39" s="788"/>
      <c r="K39" s="788"/>
      <c r="L39" s="788"/>
      <c r="M39" s="788"/>
      <c r="N39" s="788"/>
      <c r="O39" s="788"/>
      <c r="P39" s="788"/>
      <c r="Q39" s="788"/>
      <c r="R39" s="788"/>
      <c r="S39" s="788"/>
      <c r="T39" s="788"/>
      <c r="U39" s="788"/>
    </row>
    <row r="40" spans="2:22" ht="14.4" x14ac:dyDescent="0.25">
      <c r="B40" s="788"/>
      <c r="C40" s="788"/>
      <c r="D40" s="788"/>
      <c r="E40" s="788"/>
      <c r="F40" s="788"/>
      <c r="G40" s="788"/>
      <c r="H40" s="788"/>
      <c r="I40" s="788"/>
      <c r="J40" s="788"/>
      <c r="K40" s="788"/>
      <c r="L40" s="788"/>
      <c r="M40" s="788"/>
      <c r="N40" s="788"/>
      <c r="O40" s="788"/>
      <c r="P40" s="788"/>
      <c r="Q40" s="788"/>
      <c r="R40" s="788"/>
      <c r="S40" s="788"/>
      <c r="T40" s="788"/>
      <c r="U40" s="788"/>
    </row>
    <row r="41" spans="2:22" ht="14.4" x14ac:dyDescent="0.25">
      <c r="B41" s="788"/>
      <c r="C41" s="788"/>
      <c r="D41" s="788"/>
      <c r="E41" s="788"/>
      <c r="F41" s="788"/>
      <c r="G41" s="788"/>
      <c r="H41" s="788"/>
      <c r="I41" s="788"/>
      <c r="J41" s="788"/>
      <c r="K41" s="788"/>
      <c r="L41" s="788"/>
      <c r="M41" s="788"/>
      <c r="N41" s="788"/>
      <c r="O41" s="788"/>
      <c r="P41" s="788"/>
      <c r="Q41" s="788"/>
      <c r="R41" s="788"/>
      <c r="S41" s="788"/>
      <c r="T41" s="788"/>
      <c r="U41" s="788"/>
    </row>
    <row r="42" spans="2:22" ht="14.4" x14ac:dyDescent="0.25">
      <c r="B42" s="788"/>
      <c r="C42" s="788"/>
      <c r="D42" s="788"/>
      <c r="E42" s="788"/>
      <c r="F42" s="788"/>
      <c r="G42" s="788"/>
      <c r="H42" s="788"/>
      <c r="I42" s="788"/>
      <c r="J42" s="788"/>
      <c r="K42" s="788"/>
      <c r="L42" s="788"/>
      <c r="M42" s="788"/>
      <c r="N42" s="788"/>
      <c r="O42" s="788"/>
      <c r="P42" s="788"/>
      <c r="Q42" s="788"/>
      <c r="R42" s="788"/>
      <c r="S42" s="788"/>
      <c r="T42" s="788"/>
      <c r="U42" s="788"/>
    </row>
    <row r="43" spans="2:22" ht="14.4" x14ac:dyDescent="0.25">
      <c r="B43" s="788"/>
      <c r="C43" s="788"/>
      <c r="D43" s="788"/>
      <c r="E43" s="788"/>
      <c r="F43" s="788"/>
      <c r="G43" s="788"/>
      <c r="H43" s="788"/>
      <c r="I43" s="788"/>
      <c r="J43" s="788"/>
      <c r="K43" s="788"/>
      <c r="L43" s="788"/>
      <c r="M43" s="788"/>
      <c r="N43" s="788"/>
      <c r="O43" s="788"/>
      <c r="P43" s="788"/>
      <c r="Q43" s="788"/>
      <c r="R43" s="788"/>
      <c r="S43" s="788"/>
      <c r="T43" s="788"/>
      <c r="U43" s="788"/>
    </row>
    <row r="44" spans="2:22" ht="15" thickBot="1" x14ac:dyDescent="0.3">
      <c r="B44" s="788"/>
      <c r="C44" s="788"/>
      <c r="D44" s="788"/>
      <c r="E44" s="788"/>
      <c r="F44" s="788"/>
      <c r="G44" s="788"/>
      <c r="H44" s="788"/>
      <c r="I44" s="788"/>
      <c r="J44" s="788"/>
      <c r="K44" s="788"/>
      <c r="L44" s="788"/>
      <c r="M44" s="788"/>
      <c r="N44" s="788"/>
      <c r="O44" s="788"/>
      <c r="P44" s="788"/>
      <c r="Q44" s="788"/>
      <c r="R44" s="788"/>
      <c r="S44" s="788"/>
      <c r="T44" s="788"/>
      <c r="U44" s="788"/>
    </row>
    <row r="45" spans="2:22" ht="13.2" x14ac:dyDescent="0.25">
      <c r="B45" s="849" t="s">
        <v>390</v>
      </c>
      <c r="C45" s="850"/>
      <c r="D45" s="850"/>
      <c r="E45" s="850"/>
      <c r="F45" s="850"/>
      <c r="G45" s="850"/>
      <c r="H45" s="850"/>
      <c r="I45" s="850"/>
      <c r="J45" s="850"/>
      <c r="K45" s="850"/>
      <c r="L45" s="850"/>
      <c r="M45" s="850"/>
      <c r="N45" s="850"/>
      <c r="O45" s="850"/>
      <c r="P45" s="850"/>
      <c r="Q45" s="850"/>
      <c r="R45" s="850"/>
      <c r="S45" s="850"/>
      <c r="T45" s="850"/>
      <c r="U45" s="851"/>
    </row>
    <row r="46" spans="2:22" ht="13.2" x14ac:dyDescent="0.25">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3.2" x14ac:dyDescent="0.25">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8" thickBot="1" x14ac:dyDescent="0.3">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3">
      <c r="B49" s="4449" t="s">
        <v>2224</v>
      </c>
      <c r="C49" s="4450"/>
      <c r="D49" s="4450"/>
      <c r="E49" s="4450"/>
      <c r="F49" s="4450"/>
      <c r="G49" s="4450"/>
      <c r="H49" s="4450"/>
      <c r="I49" s="4450"/>
      <c r="J49" s="4450"/>
      <c r="K49" s="4450"/>
      <c r="L49" s="4450"/>
      <c r="M49" s="4450"/>
      <c r="N49" s="4450"/>
      <c r="O49" s="4450"/>
      <c r="P49" s="4450"/>
      <c r="Q49" s="4450"/>
      <c r="R49" s="4450"/>
      <c r="S49" s="4450"/>
      <c r="T49" s="4450"/>
      <c r="U49" s="4451"/>
    </row>
    <row r="50" spans="2:21" ht="12" customHeight="1" x14ac:dyDescent="0.25">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W27" sqref="W27"/>
    </sheetView>
  </sheetViews>
  <sheetFormatPr defaultColWidth="8" defaultRowHeight="12" customHeight="1" x14ac:dyDescent="0.25"/>
  <cols>
    <col min="1" max="1" width="1.88671875" style="83" customWidth="1"/>
    <col min="2" max="2" width="35.109375" style="83" customWidth="1"/>
    <col min="3" max="3" width="11.109375" style="83" bestFit="1" customWidth="1"/>
    <col min="4" max="6" width="9.88671875" style="83" customWidth="1"/>
    <col min="7" max="8" width="5.88671875" style="83" customWidth="1"/>
    <col min="9" max="9" width="6.5546875" style="83" customWidth="1"/>
    <col min="10" max="10" width="13.88671875" style="83" customWidth="1"/>
    <col min="11" max="11" width="9.88671875" style="83" customWidth="1"/>
    <col min="12" max="12" width="10.109375" style="83" customWidth="1"/>
    <col min="13" max="15" width="9.88671875" style="83" customWidth="1"/>
    <col min="16" max="16" width="13.109375" style="83" customWidth="1"/>
    <col min="17" max="17" width="9.88671875" style="83" customWidth="1"/>
    <col min="18" max="18" width="10" style="83" bestFit="1" customWidth="1"/>
    <col min="19" max="19" width="14.5546875" style="83" customWidth="1"/>
    <col min="20" max="20" width="2.109375" style="83" customWidth="1"/>
    <col min="21" max="21" width="14.5546875" style="83" customWidth="1"/>
    <col min="22" max="16384" width="8" style="83"/>
  </cols>
  <sheetData>
    <row r="1" spans="2:21" ht="15.6" x14ac:dyDescent="0.3">
      <c r="B1" s="13" t="s">
        <v>1047</v>
      </c>
      <c r="O1" s="83" t="s">
        <v>389</v>
      </c>
      <c r="S1" s="14" t="s">
        <v>2521</v>
      </c>
    </row>
    <row r="2" spans="2:21" ht="15.6" x14ac:dyDescent="0.3">
      <c r="B2" s="13" t="s">
        <v>1048</v>
      </c>
      <c r="S2" s="14" t="s">
        <v>2522</v>
      </c>
    </row>
    <row r="3" spans="2:21" ht="15.6" x14ac:dyDescent="0.3">
      <c r="B3" s="13" t="s">
        <v>62</v>
      </c>
      <c r="S3" s="14" t="s">
        <v>2144</v>
      </c>
    </row>
    <row r="4" spans="2:21" ht="15.6" x14ac:dyDescent="0.3">
      <c r="B4" s="13"/>
      <c r="S4" s="226"/>
    </row>
    <row r="5" spans="2:21" ht="23.4" thickBot="1" x14ac:dyDescent="0.3">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5">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5">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5">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 customHeight="1" thickBot="1" x14ac:dyDescent="0.3">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5">
      <c r="B10" s="2255" t="s">
        <v>1053</v>
      </c>
      <c r="C10" s="2262"/>
      <c r="D10" s="3582">
        <f>IF(SUM(D11,D13)=0,"IE",SUM(D11,D13))</f>
        <v>39609.417884473813</v>
      </c>
      <c r="E10" s="3583">
        <f t="shared" ref="E10:F10" si="0">IF(SUM(E11,E13)=0,"IE",SUM(E11,E13))</f>
        <v>39606.417884473813</v>
      </c>
      <c r="F10" s="3584">
        <f t="shared" si="0"/>
        <v>3</v>
      </c>
      <c r="G10" s="3558">
        <f>IFERROR(IF(SUM($D10)=0,"NA",M10/$D10),"NA")</f>
        <v>4.0183441493166265E-4</v>
      </c>
      <c r="H10" s="3583">
        <f t="shared" ref="H10:J10" si="1">IFERROR(IF(SUM($D10)=0,"NA",N10/$D10),"NA")</f>
        <v>-9.1278594665164428E-2</v>
      </c>
      <c r="I10" s="3583">
        <f t="shared" si="1"/>
        <v>-9.0876760250232766E-2</v>
      </c>
      <c r="J10" s="3583">
        <f t="shared" si="1"/>
        <v>-1.7557541542982422E-2</v>
      </c>
      <c r="K10" s="3585">
        <f>IFERROR(IF(SUM(E10)=0,"NA",Q10/E10),"NA")</f>
        <v>-0.20113644322759583</v>
      </c>
      <c r="L10" s="3584">
        <f>IFERROR(IF(SUM(F10)=0,"NA",R10/F10),"NA")</f>
        <v>-12.475</v>
      </c>
      <c r="M10" s="3586">
        <f>IF(SUM(M11,M13)=0,"IE",SUM(M11,M13))</f>
        <v>15.91642726139127</v>
      </c>
      <c r="N10" s="3583">
        <f t="shared" ref="N10:S10" si="2">IF(SUM(N11,N13)=0,"IE",SUM(N11,N13))</f>
        <v>-3615.4919999999997</v>
      </c>
      <c r="O10" s="3587">
        <f t="shared" si="2"/>
        <v>-3599.5755727386086</v>
      </c>
      <c r="P10" s="3583">
        <f t="shared" si="2"/>
        <v>-695.44399999999996</v>
      </c>
      <c r="Q10" s="3585">
        <f t="shared" si="2"/>
        <v>-7966.2940222689031</v>
      </c>
      <c r="R10" s="3585">
        <f t="shared" si="2"/>
        <v>-37.424999999999997</v>
      </c>
      <c r="S10" s="3588">
        <f t="shared" si="2"/>
        <v>45095.37484836088</v>
      </c>
      <c r="U10" s="2261"/>
    </row>
    <row r="11" spans="2:21" ht="18" customHeight="1" x14ac:dyDescent="0.25">
      <c r="B11" s="499" t="s">
        <v>985</v>
      </c>
      <c r="C11" s="2256"/>
      <c r="D11" s="3589">
        <f>D12</f>
        <v>37672.886943445999</v>
      </c>
      <c r="E11" s="3078">
        <f t="shared" ref="E11" si="3">E12</f>
        <v>37672.886943445999</v>
      </c>
      <c r="F11" s="3078" t="str">
        <f t="shared" ref="F11" si="4">F12</f>
        <v>IE</v>
      </c>
      <c r="G11" s="3558">
        <f t="shared" ref="G11:G23" si="5">IFERROR(IF(SUM($D11)=0,"NA",M11/$D11),"NA")</f>
        <v>4.2249024571131976E-4</v>
      </c>
      <c r="H11" s="3078" t="str">
        <f t="shared" ref="H11:H23" si="6">IFERROR(IF(SUM($D11)=0,"NA",N11/$D11),"NA")</f>
        <v>NA</v>
      </c>
      <c r="I11" s="3078">
        <f t="shared" ref="I11:I23" si="7">IFERROR(IF(SUM($D11)=0,"NA",O11/$D11),"NA")</f>
        <v>4.2249024571131976E-4</v>
      </c>
      <c r="J11" s="3078" t="str">
        <f t="shared" ref="J11:J23" si="8">IFERROR(IF(SUM($D11)=0,"NA",P11/$D11),"NA")</f>
        <v>NA</v>
      </c>
      <c r="K11" s="3573">
        <f t="shared" ref="K11:K23" si="9">IFERROR(IF(SUM(E11)=0,"NA",Q11/E11),"NA")</f>
        <v>-0.19650610421224171</v>
      </c>
      <c r="L11" s="3128" t="str">
        <f t="shared" ref="L11:L23" si="10">IFERROR(IF(SUM(F11)=0,"NA",R11/F11),"NA")</f>
        <v>NA</v>
      </c>
      <c r="M11" s="3590">
        <f t="shared" ref="M11" si="11">M12</f>
        <v>15.91642726139127</v>
      </c>
      <c r="N11" s="3591" t="str">
        <f t="shared" ref="N11" si="12">N12</f>
        <v>IE</v>
      </c>
      <c r="O11" s="3592">
        <f t="shared" ref="O11" si="13">O12</f>
        <v>15.91642726139127</v>
      </c>
      <c r="P11" s="3591" t="str">
        <f t="shared" ref="P11" si="14">P12</f>
        <v>NA</v>
      </c>
      <c r="Q11" s="3593">
        <f t="shared" ref="Q11" si="15">Q12</f>
        <v>-7402.9522476847997</v>
      </c>
      <c r="R11" s="3593" t="str">
        <f t="shared" ref="R11" si="16">R12</f>
        <v>IE</v>
      </c>
      <c r="S11" s="3594">
        <f t="shared" ref="S11" si="17">S12</f>
        <v>27085.798008219164</v>
      </c>
      <c r="U11" s="2258"/>
    </row>
    <row r="12" spans="2:21" ht="18" customHeight="1" x14ac:dyDescent="0.25">
      <c r="B12" s="501"/>
      <c r="C12" s="508" t="s">
        <v>278</v>
      </c>
      <c r="D12" s="3568">
        <f>IF(SUM(E12:F12)=0,E12,SUM(E12:F12))</f>
        <v>37672.886943445999</v>
      </c>
      <c r="E12" s="3569">
        <v>37672.886943445999</v>
      </c>
      <c r="F12" s="3554" t="s">
        <v>2153</v>
      </c>
      <c r="G12" s="3558">
        <f t="shared" si="5"/>
        <v>4.2249024571131976E-4</v>
      </c>
      <c r="H12" s="3078" t="str">
        <f t="shared" si="6"/>
        <v>NA</v>
      </c>
      <c r="I12" s="3078">
        <f t="shared" si="7"/>
        <v>4.2249024571131976E-4</v>
      </c>
      <c r="J12" s="3078" t="str">
        <f t="shared" si="8"/>
        <v>NA</v>
      </c>
      <c r="K12" s="3573">
        <f t="shared" si="9"/>
        <v>-0.19650610421224171</v>
      </c>
      <c r="L12" s="3128" t="str">
        <f t="shared" si="10"/>
        <v>NA</v>
      </c>
      <c r="M12" s="2905">
        <v>15.91642726139127</v>
      </c>
      <c r="N12" s="2905" t="s">
        <v>2153</v>
      </c>
      <c r="O12" s="3109">
        <f>IF(SUM(M12:N12)=0,M12,SUM(M12:N12))</f>
        <v>15.91642726139127</v>
      </c>
      <c r="P12" s="2905" t="s">
        <v>2147</v>
      </c>
      <c r="Q12" s="2906">
        <v>-7402.9522476847997</v>
      </c>
      <c r="R12" s="2906" t="s">
        <v>2153</v>
      </c>
      <c r="S12" s="3594">
        <f>IF(SUM(O12:R12)=0,Q12,SUM(O12:R12)*-44/12)</f>
        <v>27085.798008219164</v>
      </c>
      <c r="U12" s="2398"/>
    </row>
    <row r="13" spans="2:21" ht="18" customHeight="1" x14ac:dyDescent="0.25">
      <c r="B13" s="485" t="s">
        <v>1054</v>
      </c>
      <c r="C13" s="504"/>
      <c r="D13" s="3589">
        <f>IF(SUM(D14,D16,D18,D20,D22)=0,"IE",SUM(D14,D16,D18,D20,D22))</f>
        <v>1936.5309410278121</v>
      </c>
      <c r="E13" s="3591">
        <f t="shared" ref="E13:F13" si="18">IF(SUM(E14,E16,E18,E20,E22)=0,"IE",SUM(E14,E16,E18,E20,E22))</f>
        <v>1933.5309410278121</v>
      </c>
      <c r="F13" s="3595">
        <f t="shared" si="18"/>
        <v>3</v>
      </c>
      <c r="G13" s="3558" t="str">
        <f t="shared" si="5"/>
        <v>NA</v>
      </c>
      <c r="H13" s="3078">
        <f t="shared" si="6"/>
        <v>-1.8669941819163915</v>
      </c>
      <c r="I13" s="3078">
        <f t="shared" si="7"/>
        <v>-1.8669941819163915</v>
      </c>
      <c r="J13" s="3078">
        <f t="shared" si="8"/>
        <v>-0.35911845520572661</v>
      </c>
      <c r="K13" s="3573">
        <f t="shared" si="9"/>
        <v>-0.29135389697185105</v>
      </c>
      <c r="L13" s="3128">
        <f t="shared" si="10"/>
        <v>-12.475</v>
      </c>
      <c r="M13" s="3590" t="str">
        <f>IF(SUM(M14,M16,M18,M20,M22)=0,"IE",SUM(M14,M16,M18,M20,M22))</f>
        <v>IE</v>
      </c>
      <c r="N13" s="3591">
        <f t="shared" ref="N13" si="19">IF(SUM(N14,N16,N18,N20,N22)=0,"IE",SUM(N14,N16,N18,N20,N22))</f>
        <v>-3615.4919999999997</v>
      </c>
      <c r="O13" s="3592">
        <f t="shared" ref="O13" si="20">IF(SUM(O14,O16,O18,O20,O22)=0,"IE",SUM(O14,O16,O18,O20,O22))</f>
        <v>-3615.4919999999997</v>
      </c>
      <c r="P13" s="3592">
        <f t="shared" ref="P13" si="21">IF(SUM(P14,P16,P18,P20,P22)=0,"IE",SUM(P14,P16,P18,P20,P22))</f>
        <v>-695.44399999999996</v>
      </c>
      <c r="Q13" s="3592">
        <f t="shared" ref="Q13" si="22">IF(SUM(Q14,Q16,Q18,Q20,Q22)=0,"IE",SUM(Q14,Q16,Q18,Q20,Q22))</f>
        <v>-563.3417745841034</v>
      </c>
      <c r="R13" s="3592">
        <f t="shared" ref="R13" si="23">IF(SUM(R14,R16,R18,R20,R22)=0,"IE",SUM(R14,R16,R18,R20,R22))</f>
        <v>-37.424999999999997</v>
      </c>
      <c r="S13" s="3594">
        <f t="shared" ref="S13" si="24">IF(SUM(S14,S16,S18,S20,S22)=0,"IE",SUM(S14,S16,S18,S20,S22))</f>
        <v>18009.576840141712</v>
      </c>
      <c r="U13" s="503"/>
    </row>
    <row r="14" spans="2:21" ht="18" customHeight="1" x14ac:dyDescent="0.25">
      <c r="B14" s="487" t="s">
        <v>1055</v>
      </c>
      <c r="C14" s="504"/>
      <c r="D14" s="3589">
        <f>D15</f>
        <v>1923.87</v>
      </c>
      <c r="E14" s="3078">
        <f t="shared" ref="E14" si="25">E15</f>
        <v>1923.87</v>
      </c>
      <c r="F14" s="3078" t="str">
        <f t="shared" ref="F14" si="26">F15</f>
        <v>IE</v>
      </c>
      <c r="G14" s="3558" t="str">
        <f t="shared" si="5"/>
        <v>NA</v>
      </c>
      <c r="H14" s="3078">
        <f t="shared" si="6"/>
        <v>-1.87928082458794</v>
      </c>
      <c r="I14" s="3078">
        <f t="shared" si="7"/>
        <v>-1.87928082458794</v>
      </c>
      <c r="J14" s="3078">
        <f t="shared" si="8"/>
        <v>-0.36148180490365772</v>
      </c>
      <c r="K14" s="3573">
        <f t="shared" si="9"/>
        <v>-0.27814665232058305</v>
      </c>
      <c r="L14" s="3128" t="str">
        <f t="shared" si="10"/>
        <v>NA</v>
      </c>
      <c r="M14" s="3590" t="str">
        <f t="shared" ref="M14" si="27">M15</f>
        <v>IE</v>
      </c>
      <c r="N14" s="3591">
        <f t="shared" ref="N14" si="28">N15</f>
        <v>-3615.4919999999997</v>
      </c>
      <c r="O14" s="3592">
        <f t="shared" ref="O14" si="29">O15</f>
        <v>-3615.4919999999997</v>
      </c>
      <c r="P14" s="3591">
        <f t="shared" ref="P14" si="30">P15</f>
        <v>-695.44399999999996</v>
      </c>
      <c r="Q14" s="3593">
        <f t="shared" ref="Q14" si="31">Q15</f>
        <v>-535.11800000000005</v>
      </c>
      <c r="R14" s="3593" t="str">
        <f t="shared" ref="R14" si="32">R15</f>
        <v>IE</v>
      </c>
      <c r="S14" s="3594">
        <f t="shared" ref="S14" si="33">S15</f>
        <v>17768.864666666665</v>
      </c>
      <c r="U14" s="503"/>
    </row>
    <row r="15" spans="2:21" ht="18" customHeight="1" x14ac:dyDescent="0.25">
      <c r="B15" s="501"/>
      <c r="C15" s="508" t="s">
        <v>278</v>
      </c>
      <c r="D15" s="3568">
        <f>IF(SUM(E15:F15)=0,E15,SUM(E15:F15))</f>
        <v>1923.87</v>
      </c>
      <c r="E15" s="3569">
        <v>1923.87</v>
      </c>
      <c r="F15" s="3554" t="s">
        <v>2153</v>
      </c>
      <c r="G15" s="3558" t="str">
        <f t="shared" si="5"/>
        <v>NA</v>
      </c>
      <c r="H15" s="3078">
        <f t="shared" si="6"/>
        <v>-1.87928082458794</v>
      </c>
      <c r="I15" s="3078">
        <f t="shared" si="7"/>
        <v>-1.87928082458794</v>
      </c>
      <c r="J15" s="3078">
        <f t="shared" si="8"/>
        <v>-0.36148180490365772</v>
      </c>
      <c r="K15" s="3573">
        <f t="shared" si="9"/>
        <v>-0.27814665232058305</v>
      </c>
      <c r="L15" s="3128" t="str">
        <f t="shared" si="10"/>
        <v>NA</v>
      </c>
      <c r="M15" s="2905" t="s">
        <v>2153</v>
      </c>
      <c r="N15" s="2905">
        <v>-3615.4919999999997</v>
      </c>
      <c r="O15" s="3109">
        <f>IF(SUM(M15:N15)=0,M15,SUM(M15:N15))</f>
        <v>-3615.4919999999997</v>
      </c>
      <c r="P15" s="2905">
        <v>-695.44399999999996</v>
      </c>
      <c r="Q15" s="2906">
        <v>-535.11800000000005</v>
      </c>
      <c r="R15" s="2906" t="s">
        <v>2153</v>
      </c>
      <c r="S15" s="3594">
        <f>IF(SUM(O15:R15)=0,Q15,SUM(O15:R15)*-44/12)</f>
        <v>17768.864666666665</v>
      </c>
      <c r="U15" s="2398"/>
    </row>
    <row r="16" spans="2:21" ht="18" customHeight="1" x14ac:dyDescent="0.25">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5">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5">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5">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5">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5">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5">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3">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4.4" x14ac:dyDescent="0.25">
      <c r="B24" s="792"/>
      <c r="C24" s="792"/>
      <c r="D24" s="792"/>
      <c r="E24" s="792"/>
      <c r="F24" s="792"/>
      <c r="G24" s="792"/>
      <c r="H24" s="792"/>
      <c r="I24" s="792"/>
      <c r="J24" s="792"/>
      <c r="K24" s="792"/>
      <c r="L24" s="792"/>
      <c r="M24" s="792"/>
      <c r="N24" s="792"/>
      <c r="O24"/>
      <c r="P24"/>
      <c r="Q24"/>
      <c r="R24"/>
      <c r="S24"/>
    </row>
    <row r="25" spans="2:21" ht="14.4" x14ac:dyDescent="0.25">
      <c r="B25" s="866"/>
      <c r="C25" s="792"/>
      <c r="D25" s="792"/>
      <c r="E25" s="792"/>
      <c r="F25" s="792"/>
      <c r="G25" s="792"/>
      <c r="H25" s="792"/>
      <c r="I25" s="792"/>
      <c r="J25" s="792"/>
      <c r="K25" s="792"/>
      <c r="L25" s="792"/>
      <c r="M25" s="792"/>
      <c r="N25" s="792"/>
      <c r="O25"/>
      <c r="P25"/>
      <c r="Q25"/>
      <c r="R25"/>
      <c r="S25"/>
    </row>
    <row r="26" spans="2:21" ht="14.4" x14ac:dyDescent="0.25">
      <c r="B26" s="866"/>
      <c r="C26" s="792"/>
      <c r="D26" s="792"/>
      <c r="E26" s="792"/>
      <c r="F26" s="792"/>
      <c r="G26" s="792"/>
      <c r="H26" s="792"/>
      <c r="I26" s="792"/>
      <c r="J26" s="792"/>
      <c r="K26" s="792"/>
      <c r="L26" s="792"/>
      <c r="M26" s="792"/>
      <c r="N26" s="792"/>
      <c r="O26"/>
      <c r="P26"/>
      <c r="Q26"/>
      <c r="R26"/>
      <c r="S26"/>
    </row>
    <row r="27" spans="2:21" ht="14.4" x14ac:dyDescent="0.25">
      <c r="B27" s="792"/>
      <c r="C27" s="792"/>
      <c r="D27" s="792"/>
      <c r="E27" s="792"/>
      <c r="F27" s="792"/>
      <c r="G27" s="792"/>
      <c r="H27" s="792"/>
      <c r="I27" s="792"/>
      <c r="J27" s="792"/>
      <c r="K27" s="792"/>
      <c r="L27" s="792"/>
      <c r="M27" s="792"/>
      <c r="N27" s="792"/>
      <c r="O27" s="247"/>
      <c r="P27" s="247"/>
      <c r="Q27" s="247"/>
      <c r="R27" s="247"/>
      <c r="S27" s="247"/>
    </row>
    <row r="28" spans="2:21" ht="14.4" x14ac:dyDescent="0.25">
      <c r="B28" s="791"/>
      <c r="C28" s="791"/>
      <c r="D28" s="791"/>
      <c r="E28" s="791"/>
      <c r="F28" s="791"/>
      <c r="G28" s="791"/>
      <c r="H28" s="791"/>
      <c r="I28" s="791"/>
      <c r="J28" s="791"/>
      <c r="K28" s="791"/>
      <c r="L28" s="791"/>
      <c r="M28" s="791"/>
      <c r="N28" s="791"/>
      <c r="O28" s="247"/>
      <c r="P28" s="247"/>
      <c r="Q28" s="247"/>
      <c r="R28" s="247"/>
      <c r="S28" s="247"/>
    </row>
    <row r="29" spans="2:21" ht="14.4" x14ac:dyDescent="0.25">
      <c r="B29" s="790"/>
      <c r="C29" s="790"/>
      <c r="D29" s="790"/>
      <c r="E29" s="790"/>
      <c r="F29" s="790"/>
      <c r="G29" s="790"/>
      <c r="H29" s="790"/>
      <c r="I29" s="790"/>
      <c r="J29" s="790"/>
      <c r="K29" s="790"/>
      <c r="L29" s="790"/>
      <c r="M29" s="790"/>
      <c r="N29" s="247"/>
      <c r="O29" s="247"/>
      <c r="P29" s="247"/>
      <c r="Q29" s="247"/>
      <c r="R29" s="247"/>
      <c r="S29" s="247"/>
    </row>
    <row r="30" spans="2:21" ht="14.4" x14ac:dyDescent="0.25">
      <c r="B30" s="790"/>
      <c r="C30" s="790"/>
      <c r="D30" s="790"/>
      <c r="E30" s="790"/>
      <c r="F30" s="790"/>
      <c r="G30" s="790"/>
      <c r="H30" s="790"/>
      <c r="I30" s="790"/>
      <c r="J30" s="790"/>
      <c r="K30" s="790"/>
      <c r="L30" s="790"/>
      <c r="M30" s="247"/>
      <c r="N30" s="247"/>
      <c r="O30" s="247"/>
      <c r="P30" s="247"/>
      <c r="Q30" s="247"/>
      <c r="R30" s="247"/>
      <c r="S30" s="247"/>
    </row>
    <row r="31" spans="2:21" ht="14.4" x14ac:dyDescent="0.25">
      <c r="B31" s="790"/>
      <c r="C31" s="790"/>
      <c r="D31" s="790"/>
      <c r="E31" s="790"/>
      <c r="F31" s="790"/>
      <c r="G31" s="790"/>
      <c r="H31" s="790"/>
      <c r="I31" s="790"/>
      <c r="J31" s="790"/>
      <c r="K31" s="790"/>
      <c r="L31" s="790"/>
      <c r="M31" s="790"/>
      <c r="N31" s="247"/>
      <c r="O31" s="247"/>
      <c r="P31" s="247"/>
      <c r="Q31" s="247"/>
      <c r="R31" s="247"/>
      <c r="S31" s="247"/>
    </row>
    <row r="32" spans="2:21" ht="14.4" x14ac:dyDescent="0.25">
      <c r="B32" s="790"/>
      <c r="C32" s="790"/>
      <c r="D32" s="790"/>
      <c r="E32" s="790"/>
      <c r="F32" s="790"/>
      <c r="G32" s="790"/>
      <c r="H32" s="790"/>
      <c r="I32" s="790"/>
      <c r="J32" s="790"/>
      <c r="K32" s="790"/>
      <c r="L32" s="790"/>
      <c r="M32" s="790"/>
      <c r="N32" s="247"/>
      <c r="O32" s="247"/>
      <c r="P32" s="247"/>
      <c r="Q32" s="247"/>
      <c r="R32" s="247"/>
      <c r="S32" s="247"/>
    </row>
    <row r="33" spans="2:19" ht="14.4" x14ac:dyDescent="0.25">
      <c r="B33" s="788"/>
      <c r="C33" s="788"/>
      <c r="D33" s="788"/>
      <c r="E33" s="788"/>
      <c r="F33" s="788"/>
      <c r="G33" s="788"/>
      <c r="H33" s="788"/>
      <c r="I33" s="788"/>
      <c r="J33" s="788"/>
      <c r="K33" s="788"/>
      <c r="L33" s="788"/>
      <c r="M33" s="788"/>
      <c r="N33" s="247"/>
      <c r="O33" s="247"/>
      <c r="P33" s="247"/>
      <c r="Q33" s="247"/>
      <c r="R33" s="247"/>
      <c r="S33" s="247"/>
    </row>
    <row r="34" spans="2:19" ht="14.4" x14ac:dyDescent="0.25">
      <c r="B34" s="788"/>
      <c r="C34" s="788"/>
      <c r="D34" s="788"/>
      <c r="E34" s="788"/>
      <c r="F34" s="788"/>
      <c r="G34" s="788"/>
      <c r="H34" s="788"/>
      <c r="I34" s="788"/>
      <c r="J34" s="788"/>
      <c r="K34" s="788"/>
      <c r="L34" s="788"/>
      <c r="M34" s="788"/>
      <c r="N34" s="247"/>
      <c r="O34" s="247"/>
      <c r="P34" s="247"/>
      <c r="Q34" s="247"/>
      <c r="R34" s="247"/>
      <c r="S34" s="247"/>
    </row>
    <row r="35" spans="2:19" ht="14.4" x14ac:dyDescent="0.25">
      <c r="B35" s="788"/>
      <c r="C35" s="788"/>
      <c r="D35" s="788"/>
      <c r="E35" s="788"/>
      <c r="F35" s="788"/>
      <c r="G35" s="788"/>
      <c r="H35" s="788"/>
      <c r="I35" s="788"/>
      <c r="J35" s="788"/>
      <c r="K35" s="788"/>
      <c r="L35" s="788"/>
      <c r="M35" s="788"/>
      <c r="N35" s="247"/>
      <c r="O35" s="247"/>
      <c r="P35" s="247"/>
      <c r="Q35" s="247"/>
      <c r="R35" s="247"/>
      <c r="S35" s="247"/>
    </row>
    <row r="36" spans="2:19" ht="14.4" x14ac:dyDescent="0.25">
      <c r="B36" s="788"/>
      <c r="C36" s="788"/>
      <c r="D36" s="788"/>
      <c r="E36" s="788"/>
      <c r="F36" s="788"/>
      <c r="G36" s="788"/>
      <c r="H36" s="788"/>
      <c r="I36" s="788"/>
      <c r="J36" s="788"/>
      <c r="K36" s="788"/>
      <c r="L36" s="788"/>
      <c r="M36" s="788"/>
      <c r="N36" s="247"/>
      <c r="O36" s="247"/>
      <c r="P36" s="247"/>
      <c r="Q36" s="247"/>
      <c r="R36" s="247"/>
      <c r="S36" s="247"/>
    </row>
    <row r="37" spans="2:19" ht="14.4" x14ac:dyDescent="0.25">
      <c r="B37" s="788"/>
      <c r="C37" s="788"/>
      <c r="D37" s="788"/>
      <c r="E37" s="788"/>
      <c r="F37" s="788"/>
      <c r="G37" s="788"/>
      <c r="H37" s="788"/>
      <c r="I37" s="788"/>
      <c r="J37" s="788"/>
      <c r="K37" s="788"/>
      <c r="L37" s="788"/>
      <c r="M37" s="788"/>
      <c r="N37" s="247"/>
      <c r="O37" s="247"/>
      <c r="P37" s="247"/>
      <c r="Q37" s="247"/>
      <c r="R37" s="247"/>
      <c r="S37" s="247"/>
    </row>
    <row r="38" spans="2:19" ht="14.4" x14ac:dyDescent="0.25">
      <c r="B38" s="788"/>
      <c r="C38" s="788"/>
      <c r="D38" s="788"/>
      <c r="E38" s="788"/>
      <c r="F38" s="788"/>
      <c r="G38" s="788"/>
      <c r="H38" s="788"/>
      <c r="I38" s="788"/>
      <c r="J38" s="788"/>
      <c r="K38" s="788"/>
      <c r="L38" s="788"/>
      <c r="M38" s="788"/>
      <c r="N38" s="247"/>
      <c r="O38" s="247"/>
      <c r="P38" s="247"/>
      <c r="Q38" s="247"/>
      <c r="R38" s="247"/>
      <c r="S38" s="247"/>
    </row>
    <row r="39" spans="2:19" ht="14.4" x14ac:dyDescent="0.25">
      <c r="B39" s="788"/>
      <c r="C39" s="788"/>
      <c r="D39" s="788"/>
      <c r="E39" s="788"/>
      <c r="F39" s="788"/>
      <c r="G39" s="788"/>
      <c r="H39" s="788"/>
      <c r="I39" s="788"/>
      <c r="J39" s="788"/>
      <c r="K39" s="788"/>
      <c r="L39" s="788"/>
      <c r="M39" s="788"/>
      <c r="N39" s="247"/>
      <c r="O39" s="247"/>
      <c r="P39" s="247"/>
      <c r="Q39" s="247"/>
      <c r="R39" s="247"/>
      <c r="S39" s="247"/>
    </row>
    <row r="40" spans="2:19" ht="14.4" x14ac:dyDescent="0.25">
      <c r="B40" s="788"/>
      <c r="C40" s="788"/>
      <c r="D40" s="788"/>
      <c r="E40" s="788"/>
      <c r="F40" s="788"/>
      <c r="G40" s="788"/>
      <c r="H40" s="788"/>
      <c r="I40" s="788"/>
      <c r="J40" s="788"/>
      <c r="K40" s="788"/>
      <c r="L40" s="788"/>
      <c r="M40" s="788"/>
      <c r="N40" s="247"/>
      <c r="O40" s="247"/>
      <c r="P40" s="247"/>
      <c r="Q40" s="247"/>
      <c r="R40" s="247"/>
      <c r="S40" s="247"/>
    </row>
    <row r="41" spans="2:19" ht="15" thickBot="1" x14ac:dyDescent="0.3">
      <c r="B41" s="498"/>
      <c r="C41" s="498"/>
      <c r="D41" s="498"/>
      <c r="E41" s="498"/>
      <c r="F41" s="498"/>
      <c r="G41" s="498"/>
      <c r="H41" s="498"/>
      <c r="I41" s="498"/>
      <c r="J41" s="498"/>
      <c r="K41" s="498"/>
      <c r="L41" s="498"/>
      <c r="M41" s="498"/>
      <c r="N41" s="498"/>
      <c r="O41" s="247"/>
      <c r="P41" s="247"/>
      <c r="Q41" s="247"/>
      <c r="R41" s="247"/>
      <c r="S41" s="247"/>
    </row>
    <row r="42" spans="2:19" ht="13.2" x14ac:dyDescent="0.25">
      <c r="B42" s="849" t="s">
        <v>390</v>
      </c>
      <c r="C42" s="850"/>
      <c r="D42" s="850"/>
      <c r="E42" s="850"/>
      <c r="F42" s="850"/>
      <c r="G42" s="850"/>
      <c r="H42" s="850"/>
      <c r="I42" s="850"/>
      <c r="J42" s="850"/>
      <c r="K42" s="850"/>
      <c r="L42" s="850"/>
      <c r="M42" s="850"/>
      <c r="N42" s="850"/>
      <c r="O42" s="850"/>
      <c r="P42" s="850"/>
      <c r="Q42" s="850"/>
      <c r="R42" s="850"/>
      <c r="S42" s="851"/>
    </row>
    <row r="43" spans="2:19" ht="13.2" x14ac:dyDescent="0.25">
      <c r="B43" s="1329"/>
      <c r="C43" s="1333"/>
      <c r="D43" s="1333"/>
      <c r="E43" s="1333"/>
      <c r="F43" s="1333"/>
      <c r="G43" s="1333"/>
      <c r="H43" s="1333"/>
      <c r="I43" s="1333"/>
      <c r="J43" s="1333"/>
      <c r="K43" s="1333"/>
      <c r="L43" s="1333"/>
      <c r="M43" s="1333"/>
      <c r="N43" s="1333"/>
      <c r="O43" s="1333"/>
      <c r="P43" s="1333"/>
      <c r="Q43" s="1333"/>
      <c r="R43" s="1333"/>
      <c r="S43" s="1334"/>
    </row>
    <row r="44" spans="2:19" ht="13.2" x14ac:dyDescent="0.25">
      <c r="B44" s="1329"/>
      <c r="C44" s="1333"/>
      <c r="D44" s="1333"/>
      <c r="E44" s="1333"/>
      <c r="F44" s="1333"/>
      <c r="G44" s="1333"/>
      <c r="H44" s="1333"/>
      <c r="I44" s="1333"/>
      <c r="J44" s="1333"/>
      <c r="K44" s="1333"/>
      <c r="L44" s="1333"/>
      <c r="M44" s="1333"/>
      <c r="N44" s="1333"/>
      <c r="O44" s="1333"/>
      <c r="P44" s="1333"/>
      <c r="Q44" s="1333"/>
      <c r="R44" s="1333"/>
      <c r="S44" s="1334"/>
    </row>
    <row r="45" spans="2:19" ht="13.8" thickBot="1" x14ac:dyDescent="0.3">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3">
      <c r="B46" s="4449" t="s">
        <v>2225</v>
      </c>
      <c r="C46" s="4450"/>
      <c r="D46" s="4450"/>
      <c r="E46" s="4450"/>
      <c r="F46" s="4450"/>
      <c r="G46" s="4450"/>
      <c r="H46" s="4450"/>
      <c r="I46" s="4450"/>
      <c r="J46" s="4450"/>
      <c r="K46" s="4450"/>
      <c r="L46" s="4450"/>
      <c r="M46" s="4450"/>
      <c r="N46" s="4450"/>
      <c r="O46" s="4450"/>
      <c r="P46" s="4450"/>
      <c r="Q46" s="4450"/>
      <c r="R46" s="4450"/>
      <c r="S46" s="4451"/>
    </row>
    <row r="47" spans="2:19" ht="12" customHeight="1" x14ac:dyDescent="0.25">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5"/>
  <cols>
    <col min="1" max="1" width="1.88671875" style="83" customWidth="1"/>
    <col min="2" max="2" width="36.5546875" style="83" customWidth="1"/>
    <col min="3" max="3" width="18.5546875" style="83" bestFit="1" customWidth="1"/>
    <col min="4" max="6" width="11.33203125" style="83" customWidth="1"/>
    <col min="7" max="9" width="9.109375" style="83" customWidth="1"/>
    <col min="10" max="10" width="18.109375" style="83" customWidth="1"/>
    <col min="11" max="12" width="11.88671875" style="83" customWidth="1"/>
    <col min="13" max="15" width="10.5546875" style="83" customWidth="1"/>
    <col min="16" max="16" width="15" style="83" customWidth="1"/>
    <col min="17" max="18" width="11.88671875" style="83" customWidth="1"/>
    <col min="19" max="19" width="14.5546875" style="83" customWidth="1"/>
    <col min="20" max="20" width="2.109375" style="83" customWidth="1"/>
    <col min="21" max="21" width="14.5546875" style="83" customWidth="1"/>
    <col min="22" max="25" width="13.88671875" style="83" customWidth="1"/>
    <col min="26" max="16384" width="8" style="83"/>
  </cols>
  <sheetData>
    <row r="1" spans="2:21" ht="15.6" x14ac:dyDescent="0.3">
      <c r="B1" s="13" t="s">
        <v>1060</v>
      </c>
      <c r="S1" s="14" t="s">
        <v>2521</v>
      </c>
    </row>
    <row r="2" spans="2:21" ht="15.6" x14ac:dyDescent="0.3">
      <c r="B2" s="13" t="s">
        <v>1061</v>
      </c>
      <c r="S2" s="14" t="s">
        <v>2522</v>
      </c>
    </row>
    <row r="3" spans="2:21" ht="15.6" x14ac:dyDescent="0.3">
      <c r="B3" s="13" t="s">
        <v>62</v>
      </c>
      <c r="S3" s="14" t="s">
        <v>2144</v>
      </c>
    </row>
    <row r="4" spans="2:21" ht="15.6" x14ac:dyDescent="0.3">
      <c r="B4" s="13"/>
      <c r="S4" s="2"/>
    </row>
    <row r="5" spans="2:21" ht="23.4" thickBot="1" x14ac:dyDescent="0.3">
      <c r="B5" s="2446" t="s">
        <v>64</v>
      </c>
      <c r="S5" s="491"/>
      <c r="U5" s="2569" t="s">
        <v>1049</v>
      </c>
    </row>
    <row r="6" spans="2:21" ht="22.8" x14ac:dyDescent="0.25">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5.6" x14ac:dyDescent="0.25">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14.4" x14ac:dyDescent="0.25">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4" thickBot="1" x14ac:dyDescent="0.3">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5">
      <c r="B10" s="2255" t="s">
        <v>1065</v>
      </c>
      <c r="C10" s="2262"/>
      <c r="D10" s="3582">
        <f>IF(SUM(D11,D15)=0,"IE",SUM(D11,D15))</f>
        <v>519220.64731498854</v>
      </c>
      <c r="E10" s="3583">
        <f t="shared" ref="E10:F10" si="0">IF(SUM(E11,E15)=0,"IE",SUM(E11,E15))</f>
        <v>519219.64731498854</v>
      </c>
      <c r="F10" s="3584">
        <f t="shared" si="0"/>
        <v>1</v>
      </c>
      <c r="G10" s="3558">
        <f>IFERROR(IF(SUM($D10)=0,"NA",M10/$D10),"NA")</f>
        <v>9.9156800627669809E-4</v>
      </c>
      <c r="H10" s="3583">
        <f t="shared" ref="H10:J10" si="1">IFERROR(IF(SUM($D10)=0,"NA",N10/$D10),"NA")</f>
        <v>-6.3899073321833907E-2</v>
      </c>
      <c r="I10" s="3583">
        <f t="shared" si="1"/>
        <v>-6.2907505315557208E-2</v>
      </c>
      <c r="J10" s="3583">
        <f t="shared" si="1"/>
        <v>-7.1857537692359219E-3</v>
      </c>
      <c r="K10" s="3585">
        <f>IFERROR(IF(SUM(E10)=0,"NA",Q10/E10),"NA")</f>
        <v>-4.9603439606172575E-3</v>
      </c>
      <c r="L10" s="3584">
        <f>IFERROR(IF(SUM(F10)=0,"NA",R10/F10),"NA")</f>
        <v>-8.7249999999999996</v>
      </c>
      <c r="M10" s="3586">
        <f>IF(SUM(M11,M15)=0,"IE",SUM(M11,M15))</f>
        <v>514.84258207581979</v>
      </c>
      <c r="N10" s="3583">
        <f t="shared" ref="N10:S10" si="2">IF(SUM(N11,N15)=0,"IE",SUM(N11,N15))</f>
        <v>-33177.71821299052</v>
      </c>
      <c r="O10" s="3587">
        <f t="shared" si="2"/>
        <v>-32662.875630914696</v>
      </c>
      <c r="P10" s="3583">
        <f t="shared" si="2"/>
        <v>-3730.9917235087942</v>
      </c>
      <c r="Q10" s="3585">
        <f t="shared" si="2"/>
        <v>-2575.5080417927256</v>
      </c>
      <c r="R10" s="3585">
        <f t="shared" si="2"/>
        <v>-8.7249999999999996</v>
      </c>
      <c r="S10" s="3588">
        <f t="shared" si="2"/>
        <v>142919.7014527928</v>
      </c>
      <c r="U10" s="2261"/>
    </row>
    <row r="11" spans="2:21" ht="18" customHeight="1" x14ac:dyDescent="0.25">
      <c r="B11" s="493" t="s">
        <v>988</v>
      </c>
      <c r="C11" s="483"/>
      <c r="D11" s="3599">
        <f>IF(SUM(D12:D14)=0,"IE",SUM(D12:D14))</f>
        <v>512184.22088245198</v>
      </c>
      <c r="E11" s="3564">
        <f t="shared" ref="E11:F11" si="3">IF(SUM(E12:E14)=0,"IE",SUM(E12:E14))</f>
        <v>512184.22088245198</v>
      </c>
      <c r="F11" s="3565" t="str">
        <f t="shared" si="3"/>
        <v>IE</v>
      </c>
      <c r="G11" s="3599">
        <f t="shared" ref="G11:G26" si="4">IFERROR(IF(SUM($D11)=0,"NA",M11/$D11),"NA")</f>
        <v>9.958513013656415E-4</v>
      </c>
      <c r="H11" s="3109">
        <f t="shared" ref="H11:H26" si="5">IFERROR(IF(SUM($D11)=0,"NA",N11/$D11),"NA")</f>
        <v>-1.9677962965240011E-3</v>
      </c>
      <c r="I11" s="3109">
        <f t="shared" ref="I11:I26" si="6">IFERROR(IF(SUM($D11)=0,"NA",O11/$D11),"NA")</f>
        <v>-9.7194499515835956E-4</v>
      </c>
      <c r="J11" s="3109">
        <f t="shared" ref="J11:J26" si="7">IFERROR(IF(SUM($D11)=0,"NA",P11/$D11),"NA")</f>
        <v>1.1446181534269647E-3</v>
      </c>
      <c r="K11" s="3566">
        <f t="shared" ref="K11:K26" si="8">IFERROR(IF(SUM(E11)=0,"NA",Q11/E11),"NA")</f>
        <v>1.2391001643495206E-4</v>
      </c>
      <c r="L11" s="3249" t="str">
        <f t="shared" ref="L11:L26" si="9">IFERROR(IF(SUM(F11)=0,"NA",R11/F11),"NA")</f>
        <v>NA</v>
      </c>
      <c r="M11" s="3109">
        <f>IF(SUM(M12:M14)=0,"IE",SUM(M12:M14))</f>
        <v>510.05932290473697</v>
      </c>
      <c r="N11" s="3109">
        <f t="shared" ref="N11:O11" si="10">IF(SUM(N12:N14)=0,"IE",SUM(N12:N14))</f>
        <v>-1007.8742129905199</v>
      </c>
      <c r="O11" s="3109">
        <f t="shared" si="10"/>
        <v>-497.81489008578296</v>
      </c>
      <c r="P11" s="3109">
        <f t="shared" ref="P11" si="11">IF(SUM(P12:P14)=0,"IE",SUM(P12:P14))</f>
        <v>586.25535712090084</v>
      </c>
      <c r="Q11" s="3566">
        <f t="shared" ref="Q11" si="12">IF(SUM(Q12:Q14)=0,"IE",SUM(Q12:Q14))</f>
        <v>63.464755227267744</v>
      </c>
      <c r="R11" s="3566" t="str">
        <f t="shared" ref="R11" si="13">IF(SUM(R12:R14)=0,"IE",SUM(R12:R14))</f>
        <v>IE</v>
      </c>
      <c r="S11" s="3567">
        <f t="shared" ref="S11" si="14">IF(SUM(S12:S14)=0,"IE",SUM(S12:S14))</f>
        <v>-556.98581496208067</v>
      </c>
      <c r="U11" s="2397"/>
    </row>
    <row r="12" spans="2:21" ht="18" customHeight="1" x14ac:dyDescent="0.25">
      <c r="B12" s="499"/>
      <c r="C12" s="484" t="s">
        <v>2226</v>
      </c>
      <c r="D12" s="3600">
        <f>IF(SUM(E12:F12)=0,E12,SUM(E12:F12))</f>
        <v>70456.100045431231</v>
      </c>
      <c r="E12" s="3569">
        <v>70456.100045431231</v>
      </c>
      <c r="F12" s="3554" t="s">
        <v>2153</v>
      </c>
      <c r="G12" s="3558">
        <f t="shared" si="4"/>
        <v>7.2393919415897632E-3</v>
      </c>
      <c r="H12" s="3078" t="str">
        <f t="shared" si="5"/>
        <v>NA</v>
      </c>
      <c r="I12" s="3078">
        <f t="shared" si="6"/>
        <v>7.2393919415897632E-3</v>
      </c>
      <c r="J12" s="3078">
        <f t="shared" si="7"/>
        <v>1.4478783883179525E-3</v>
      </c>
      <c r="K12" s="3573">
        <f t="shared" si="8"/>
        <v>5.7915135532718102E-3</v>
      </c>
      <c r="L12" s="3128" t="str">
        <f t="shared" si="9"/>
        <v>NA</v>
      </c>
      <c r="M12" s="2905">
        <v>510.05932290473697</v>
      </c>
      <c r="N12" s="2905" t="s">
        <v>2153</v>
      </c>
      <c r="O12" s="3109">
        <f>IF(SUM(M12:N12)=0,M12,SUM(M12:N12))</f>
        <v>510.05932290473697</v>
      </c>
      <c r="P12" s="2905">
        <v>102.01186458094739</v>
      </c>
      <c r="Q12" s="2906">
        <v>408.04745832378956</v>
      </c>
      <c r="R12" s="2906" t="s">
        <v>2153</v>
      </c>
      <c r="S12" s="3570">
        <f>IF(SUM(O12:R12)=0,Q12,SUM(O12:R12)*-44/12)</f>
        <v>-3740.4350346347378</v>
      </c>
      <c r="U12" s="2398"/>
    </row>
    <row r="13" spans="2:21" ht="18" customHeight="1" x14ac:dyDescent="0.25">
      <c r="B13" s="499"/>
      <c r="C13" s="484" t="s">
        <v>2227</v>
      </c>
      <c r="D13" s="3600">
        <f>IF(SUM(E13:F13)=0,E13,SUM(E13:F13))</f>
        <v>441728.12083702075</v>
      </c>
      <c r="E13" s="3569">
        <v>441728.12083702075</v>
      </c>
      <c r="F13" s="3554" t="s">
        <v>2153</v>
      </c>
      <c r="G13" s="3558" t="str">
        <f t="shared" si="4"/>
        <v>NA</v>
      </c>
      <c r="H13" s="3078" t="str">
        <f t="shared" si="5"/>
        <v>NA</v>
      </c>
      <c r="I13" s="3078" t="str">
        <f t="shared" si="6"/>
        <v>NA</v>
      </c>
      <c r="J13" s="3078" t="str">
        <f t="shared" si="7"/>
        <v>NA</v>
      </c>
      <c r="K13" s="3573">
        <f t="shared" si="8"/>
        <v>-7.8007871095817885E-4</v>
      </c>
      <c r="L13" s="3128" t="str">
        <f t="shared" si="9"/>
        <v>NA</v>
      </c>
      <c r="M13" s="2905" t="s">
        <v>2147</v>
      </c>
      <c r="N13" s="2905" t="s">
        <v>2147</v>
      </c>
      <c r="O13" s="3109" t="str">
        <f>IF(SUM(M13:N13)=0,M13,SUM(M13:N13))</f>
        <v>NA</v>
      </c>
      <c r="P13" s="2905" t="s">
        <v>2147</v>
      </c>
      <c r="Q13" s="2906">
        <v>-344.58270309652181</v>
      </c>
      <c r="R13" s="2906" t="s">
        <v>2153</v>
      </c>
      <c r="S13" s="3570">
        <f>IF(SUM(O13:R13)=0,Q13,SUM(O13:R13)*-44/12)</f>
        <v>1263.4699113539134</v>
      </c>
      <c r="U13" s="2398"/>
    </row>
    <row r="14" spans="2:21" ht="18" customHeight="1" x14ac:dyDescent="0.25">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t="s">
        <v>2153</v>
      </c>
      <c r="N14" s="2905">
        <v>-1007.8742129905199</v>
      </c>
      <c r="O14" s="3109">
        <f>IF(SUM(M14:N14)=0,M14,SUM(M14:N14))</f>
        <v>-1007.8742129905199</v>
      </c>
      <c r="P14" s="2905">
        <v>484.24349253995348</v>
      </c>
      <c r="Q14" s="2906" t="s">
        <v>2147</v>
      </c>
      <c r="R14" s="2906" t="s">
        <v>2147</v>
      </c>
      <c r="S14" s="3570">
        <f>IF(SUM(O14:R14)=0,Q14,SUM(O14:R14)*-44/12)</f>
        <v>1919.979308318744</v>
      </c>
      <c r="U14" s="2398"/>
    </row>
    <row r="15" spans="2:21" ht="18" customHeight="1" x14ac:dyDescent="0.25">
      <c r="B15" s="485" t="s">
        <v>1066</v>
      </c>
      <c r="C15" s="486"/>
      <c r="D15" s="3589">
        <f>IF(SUM(D16,D19,D21,D23,D25)=0,"IE",SUM(D16,D19,D21,D23,D25))</f>
        <v>7036.4264325365466</v>
      </c>
      <c r="E15" s="3591">
        <f t="shared" ref="E15:F15" si="15">IF(SUM(E16,E19,E21,E23,E25)=0,"IE",SUM(E16,E19,E21,E23,E25))</f>
        <v>7035.4264325365466</v>
      </c>
      <c r="F15" s="3595">
        <f t="shared" si="15"/>
        <v>1</v>
      </c>
      <c r="G15" s="3558">
        <f t="shared" si="4"/>
        <v>6.7978528830557605E-4</v>
      </c>
      <c r="H15" s="3078">
        <f t="shared" si="5"/>
        <v>-4.5719008517229902</v>
      </c>
      <c r="I15" s="3078">
        <f t="shared" si="6"/>
        <v>-4.571221066434684</v>
      </c>
      <c r="J15" s="3078">
        <f t="shared" si="7"/>
        <v>-0.61355677090101823</v>
      </c>
      <c r="K15" s="3573">
        <f t="shared" si="8"/>
        <v>-0.375097774431356</v>
      </c>
      <c r="L15" s="3128">
        <f t="shared" si="9"/>
        <v>-8.7249999999999996</v>
      </c>
      <c r="M15" s="3590">
        <f>IF(SUM(M16,M19,M21,M23,M25)=0,"IE",SUM(M16,M19,M21,M23,M25))</f>
        <v>4.7832591710828325</v>
      </c>
      <c r="N15" s="3591">
        <f t="shared" ref="N15:S15" si="16">IF(SUM(N16,N19,N21,N23,N25)=0,"IE",SUM(N16,N19,N21,N23,N25))</f>
        <v>-32169.843999999997</v>
      </c>
      <c r="O15" s="3592">
        <f t="shared" si="16"/>
        <v>-32165.060740828914</v>
      </c>
      <c r="P15" s="3592">
        <f t="shared" si="16"/>
        <v>-4317.2470806296951</v>
      </c>
      <c r="Q15" s="3592">
        <f t="shared" si="16"/>
        <v>-2638.9727970199933</v>
      </c>
      <c r="R15" s="3592">
        <f t="shared" si="16"/>
        <v>-8.7249999999999996</v>
      </c>
      <c r="S15" s="3594">
        <f t="shared" si="16"/>
        <v>143476.68726775487</v>
      </c>
      <c r="U15" s="2019"/>
    </row>
    <row r="16" spans="2:21" ht="18" customHeight="1" x14ac:dyDescent="0.25">
      <c r="B16" s="500" t="s">
        <v>1067</v>
      </c>
      <c r="C16" s="486"/>
      <c r="D16" s="3599">
        <f>IF(SUM(D17:D18)=0,"IE",SUM(D17:D18))</f>
        <v>6987.549</v>
      </c>
      <c r="E16" s="3564">
        <f t="shared" ref="E16:F16" si="17">IF(SUM(E17:E18)=0,"IE",SUM(E17:E18))</f>
        <v>6987.549</v>
      </c>
      <c r="F16" s="3565" t="str">
        <f t="shared" si="17"/>
        <v>IE</v>
      </c>
      <c r="G16" s="3558">
        <f t="shared" si="4"/>
        <v>6.8454034040875173E-4</v>
      </c>
      <c r="H16" s="3078">
        <f t="shared" si="5"/>
        <v>-4.603880988884657</v>
      </c>
      <c r="I16" s="3078">
        <f t="shared" si="6"/>
        <v>-4.6031964485442485</v>
      </c>
      <c r="J16" s="3078">
        <f t="shared" si="7"/>
        <v>-0.61784855900541025</v>
      </c>
      <c r="K16" s="3573">
        <f t="shared" si="8"/>
        <v>-0.36072433982216084</v>
      </c>
      <c r="L16" s="3128" t="str">
        <f t="shared" si="9"/>
        <v>NA</v>
      </c>
      <c r="M16" s="3506">
        <f>IF(SUM(M17:M18)=0,"IE",SUM(M17:M18))</f>
        <v>4.7832591710828325</v>
      </c>
      <c r="N16" s="3506">
        <f t="shared" ref="N16:O16" si="18">IF(SUM(N17:N18)=0,"IE",SUM(N17:N18))</f>
        <v>-32169.843999999997</v>
      </c>
      <c r="O16" s="3506">
        <f t="shared" si="18"/>
        <v>-32165.060740828914</v>
      </c>
      <c r="P16" s="3506">
        <f t="shared" ref="P16" si="19">IF(SUM(P17:P18)=0,"IE",SUM(P17:P18))</f>
        <v>-4317.2470806296951</v>
      </c>
      <c r="Q16" s="3601">
        <f t="shared" ref="Q16" si="20">IF(SUM(Q17:Q18)=0,"IE",SUM(Q17:Q18))</f>
        <v>-2520.5790000000002</v>
      </c>
      <c r="R16" s="3601" t="str">
        <f t="shared" ref="R16" si="21">IF(SUM(R17:R18)=0,"IE",SUM(R17:R18))</f>
        <v>IE</v>
      </c>
      <c r="S16" s="3287">
        <f t="shared" ref="S16" si="22">IF(SUM(S17:S18)=0,"IE",SUM(S17:S18))</f>
        <v>143010.5850120149</v>
      </c>
      <c r="U16" s="2400"/>
    </row>
    <row r="17" spans="2:21" ht="18" customHeight="1" x14ac:dyDescent="0.25">
      <c r="B17" s="500"/>
      <c r="C17" s="484" t="s">
        <v>2228</v>
      </c>
      <c r="D17" s="3600">
        <f>IF(SUM(E17:F17)=0,E17,SUM(E17:F17))</f>
        <v>6987.549</v>
      </c>
      <c r="E17" s="3569">
        <v>6987.549</v>
      </c>
      <c r="F17" s="3554" t="s">
        <v>2153</v>
      </c>
      <c r="G17" s="3558" t="str">
        <f t="shared" si="4"/>
        <v>NA</v>
      </c>
      <c r="H17" s="3078">
        <f t="shared" si="5"/>
        <v>-4.603880988884657</v>
      </c>
      <c r="I17" s="3078">
        <f t="shared" si="6"/>
        <v>-4.603880988884657</v>
      </c>
      <c r="J17" s="3078">
        <f t="shared" si="7"/>
        <v>-0.61847337313842099</v>
      </c>
      <c r="K17" s="3573">
        <f t="shared" si="8"/>
        <v>-0.36072433982216084</v>
      </c>
      <c r="L17" s="3128" t="str">
        <f t="shared" si="9"/>
        <v>NA</v>
      </c>
      <c r="M17" s="2905" t="s">
        <v>2153</v>
      </c>
      <c r="N17" s="2905">
        <v>-32169.843999999997</v>
      </c>
      <c r="O17" s="3109">
        <f>IF(SUM(M17:N17)=0,M17,SUM(M17:N17))</f>
        <v>-32169.843999999997</v>
      </c>
      <c r="P17" s="2905">
        <v>-4321.6130000000003</v>
      </c>
      <c r="Q17" s="2906">
        <v>-2520.5790000000002</v>
      </c>
      <c r="R17" s="2906" t="s">
        <v>2153</v>
      </c>
      <c r="S17" s="3570">
        <f>IF(SUM(O17:R17)=0,Q17,SUM(O17:R17)*-44/12)</f>
        <v>143044.13199999998</v>
      </c>
      <c r="U17" s="2398"/>
    </row>
    <row r="18" spans="2:21" ht="18" customHeight="1" x14ac:dyDescent="0.25">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v>4.7832591710828325</v>
      </c>
      <c r="N18" s="2905" t="s">
        <v>2153</v>
      </c>
      <c r="O18" s="3109">
        <f>IF(SUM(M18:N18)=0,M18,SUM(M18:N18))</f>
        <v>4.7832591710828325</v>
      </c>
      <c r="P18" s="2905">
        <v>4.3659193703054298</v>
      </c>
      <c r="Q18" s="2906" t="s">
        <v>2147</v>
      </c>
      <c r="R18" s="2906" t="s">
        <v>2147</v>
      </c>
      <c r="S18" s="3570">
        <f>IF(SUM(O18:R18)=0,Q18,SUM(O18:R18)*-44/12)</f>
        <v>-33.546987985090297</v>
      </c>
      <c r="U18" s="2398"/>
    </row>
    <row r="19" spans="2:21" ht="18" customHeight="1" x14ac:dyDescent="0.25">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5">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5">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5">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5">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5">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5">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3">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4.4" x14ac:dyDescent="0.25">
      <c r="B27" s="871"/>
      <c r="C27" s="871"/>
      <c r="D27" s="871"/>
      <c r="E27" s="871"/>
      <c r="F27" s="871"/>
      <c r="G27" s="871"/>
      <c r="H27" s="871"/>
      <c r="I27" s="871"/>
      <c r="J27" s="871"/>
      <c r="K27" s="871"/>
      <c r="L27" s="871"/>
      <c r="M27" s="871"/>
      <c r="N27" s="871"/>
      <c r="O27" s="871"/>
      <c r="P27" s="871"/>
      <c r="Q27" s="871"/>
      <c r="R27" s="872"/>
      <c r="S27" s="872"/>
    </row>
    <row r="28" spans="2:21" ht="14.4" x14ac:dyDescent="0.25">
      <c r="B28" s="874"/>
      <c r="C28" s="871"/>
      <c r="D28" s="871"/>
      <c r="E28" s="871"/>
      <c r="F28" s="871"/>
      <c r="G28" s="871"/>
      <c r="H28" s="871"/>
      <c r="I28" s="871"/>
      <c r="J28" s="871"/>
      <c r="K28" s="871"/>
      <c r="L28" s="871"/>
      <c r="M28" s="871"/>
      <c r="N28" s="871"/>
      <c r="O28" s="871"/>
      <c r="P28" s="871"/>
      <c r="Q28" s="871"/>
      <c r="R28" s="872"/>
      <c r="S28" s="872"/>
    </row>
    <row r="29" spans="2:21" ht="14.4" x14ac:dyDescent="0.25">
      <c r="B29" s="874"/>
      <c r="C29" s="871"/>
      <c r="D29" s="871"/>
      <c r="E29" s="871"/>
      <c r="F29" s="871"/>
      <c r="G29" s="871"/>
      <c r="H29" s="871"/>
      <c r="I29" s="871"/>
      <c r="J29" s="871"/>
      <c r="K29" s="871"/>
      <c r="L29" s="871"/>
      <c r="M29" s="871"/>
      <c r="N29" s="871"/>
      <c r="O29" s="871"/>
      <c r="P29" s="871"/>
      <c r="Q29" s="871"/>
      <c r="R29" s="872"/>
      <c r="S29" s="872"/>
    </row>
    <row r="30" spans="2:21" ht="14.4" x14ac:dyDescent="0.25">
      <c r="B30" s="792"/>
      <c r="C30" s="792"/>
      <c r="D30" s="792"/>
      <c r="E30" s="792"/>
      <c r="F30" s="792"/>
      <c r="G30" s="792"/>
      <c r="H30" s="792"/>
      <c r="I30" s="792"/>
      <c r="J30" s="792"/>
      <c r="K30" s="792"/>
      <c r="L30" s="792"/>
      <c r="M30" s="792"/>
      <c r="N30" s="792"/>
      <c r="O30" s="792"/>
      <c r="P30" s="792"/>
      <c r="Q30" s="792"/>
      <c r="R30" s="247"/>
      <c r="S30" s="247"/>
    </row>
    <row r="31" spans="2:21" ht="14.4" x14ac:dyDescent="0.25">
      <c r="B31" s="791"/>
      <c r="C31" s="791"/>
      <c r="D31" s="791"/>
      <c r="E31" s="791"/>
      <c r="F31" s="791"/>
      <c r="G31" s="791"/>
      <c r="H31" s="791"/>
      <c r="I31" s="791"/>
      <c r="J31" s="791"/>
      <c r="K31" s="791"/>
      <c r="L31" s="791"/>
      <c r="M31" s="791"/>
      <c r="N31" s="791"/>
      <c r="O31" s="791"/>
      <c r="P31" s="791"/>
      <c r="Q31" s="247"/>
      <c r="R31" s="247"/>
      <c r="S31" s="247"/>
    </row>
    <row r="32" spans="2:21" ht="14.4" x14ac:dyDescent="0.25">
      <c r="B32" s="313"/>
      <c r="C32" s="313"/>
      <c r="D32" s="313"/>
      <c r="E32" s="313"/>
      <c r="F32" s="313"/>
      <c r="G32" s="313"/>
      <c r="H32" s="313"/>
      <c r="I32" s="313"/>
      <c r="J32" s="313"/>
      <c r="K32" s="313"/>
      <c r="L32" s="313"/>
      <c r="M32" s="313"/>
      <c r="N32" s="313"/>
      <c r="O32" s="247"/>
      <c r="P32" s="247"/>
      <c r="Q32" s="247"/>
      <c r="R32" s="247"/>
      <c r="S32" s="247"/>
    </row>
    <row r="33" spans="2:19" ht="14.4" x14ac:dyDescent="0.25">
      <c r="B33" s="497"/>
      <c r="C33" s="498"/>
      <c r="D33" s="498"/>
      <c r="E33" s="498"/>
      <c r="F33" s="498"/>
      <c r="G33" s="498"/>
      <c r="H33" s="498"/>
      <c r="I33" s="498"/>
      <c r="J33" s="498"/>
      <c r="K33" s="498"/>
      <c r="L33" s="498"/>
      <c r="M33" s="498"/>
      <c r="N33" s="498"/>
      <c r="O33" s="247"/>
      <c r="P33" s="247"/>
      <c r="Q33" s="247"/>
      <c r="R33" s="247"/>
      <c r="S33" s="247"/>
    </row>
    <row r="34" spans="2:19" ht="14.4" x14ac:dyDescent="0.25">
      <c r="B34" s="497"/>
      <c r="C34" s="498"/>
      <c r="D34" s="498"/>
      <c r="E34" s="498"/>
      <c r="F34" s="498"/>
      <c r="G34" s="498"/>
      <c r="H34" s="498"/>
      <c r="I34" s="498"/>
      <c r="J34" s="498"/>
      <c r="K34" s="498"/>
      <c r="L34" s="498"/>
      <c r="M34" s="498"/>
      <c r="N34" s="498"/>
      <c r="O34" s="247"/>
      <c r="P34" s="247"/>
      <c r="Q34" s="247"/>
      <c r="R34" s="247"/>
      <c r="S34" s="247"/>
    </row>
    <row r="35" spans="2:19" ht="14.4" x14ac:dyDescent="0.25">
      <c r="B35" s="497"/>
      <c r="C35" s="498"/>
      <c r="D35" s="498"/>
      <c r="E35" s="498"/>
      <c r="F35" s="498"/>
      <c r="G35" s="498"/>
      <c r="H35" s="498"/>
      <c r="I35" s="498"/>
      <c r="J35" s="498"/>
      <c r="K35" s="498"/>
      <c r="L35" s="498"/>
      <c r="M35" s="498"/>
      <c r="N35" s="498"/>
      <c r="O35" s="247"/>
      <c r="P35" s="247"/>
      <c r="Q35" s="247"/>
      <c r="R35" s="247"/>
      <c r="S35" s="247"/>
    </row>
    <row r="36" spans="2:19" ht="14.4" x14ac:dyDescent="0.25">
      <c r="B36" s="313"/>
      <c r="C36" s="313"/>
      <c r="D36" s="313"/>
      <c r="E36" s="313"/>
      <c r="F36" s="313"/>
      <c r="G36" s="313"/>
      <c r="H36" s="313"/>
      <c r="I36" s="313"/>
      <c r="J36" s="313"/>
      <c r="K36" s="313"/>
      <c r="L36" s="247"/>
      <c r="M36" s="247"/>
      <c r="N36" s="247"/>
      <c r="O36" s="247"/>
      <c r="P36" s="247"/>
      <c r="Q36" s="247"/>
      <c r="R36" s="247"/>
      <c r="S36" s="247"/>
    </row>
    <row r="37" spans="2:19" ht="14.4" x14ac:dyDescent="0.25">
      <c r="B37" s="313"/>
      <c r="C37" s="313"/>
      <c r="D37" s="313"/>
      <c r="E37" s="313"/>
      <c r="F37" s="313"/>
      <c r="G37" s="313"/>
      <c r="H37" s="313"/>
      <c r="I37" s="313"/>
      <c r="J37" s="313"/>
      <c r="K37" s="313"/>
      <c r="L37" s="247"/>
      <c r="M37" s="247"/>
      <c r="N37" s="247"/>
      <c r="O37" s="247"/>
      <c r="P37" s="247"/>
      <c r="Q37" s="247"/>
      <c r="R37" s="247"/>
      <c r="S37" s="247"/>
    </row>
    <row r="38" spans="2:19" ht="14.4" x14ac:dyDescent="0.25">
      <c r="B38" s="313"/>
      <c r="C38" s="313"/>
      <c r="D38" s="313"/>
      <c r="E38" s="313"/>
      <c r="F38" s="313"/>
      <c r="G38" s="313"/>
      <c r="H38" s="313"/>
      <c r="I38" s="313"/>
      <c r="J38" s="313"/>
      <c r="K38" s="313"/>
      <c r="L38" s="247"/>
      <c r="M38" s="247"/>
      <c r="N38" s="247"/>
      <c r="O38" s="247"/>
      <c r="P38" s="247"/>
      <c r="Q38" s="247"/>
      <c r="R38" s="247"/>
      <c r="S38" s="247"/>
    </row>
    <row r="39" spans="2:19" ht="14.4" x14ac:dyDescent="0.25">
      <c r="B39" s="313"/>
      <c r="C39" s="313"/>
      <c r="D39" s="313"/>
      <c r="E39" s="313"/>
      <c r="F39" s="313"/>
      <c r="G39" s="313"/>
      <c r="H39" s="313"/>
      <c r="I39" s="313"/>
      <c r="J39" s="313"/>
      <c r="K39" s="313"/>
      <c r="L39" s="247"/>
      <c r="M39" s="247"/>
      <c r="N39" s="247"/>
      <c r="O39" s="247"/>
      <c r="P39" s="247"/>
      <c r="Q39" s="247"/>
      <c r="R39" s="247"/>
      <c r="S39" s="247"/>
    </row>
    <row r="40" spans="2:19" ht="14.4" x14ac:dyDescent="0.25">
      <c r="B40" s="788"/>
      <c r="C40" s="788"/>
      <c r="D40" s="788"/>
      <c r="E40" s="788"/>
      <c r="F40" s="788"/>
      <c r="G40" s="788"/>
      <c r="H40" s="788"/>
      <c r="I40" s="788"/>
      <c r="J40" s="788"/>
      <c r="K40" s="788"/>
      <c r="L40" s="788"/>
      <c r="M40" s="788"/>
      <c r="N40" s="788"/>
      <c r="O40" s="247"/>
      <c r="P40" s="247"/>
      <c r="Q40" s="247"/>
      <c r="R40" s="247"/>
      <c r="S40" s="247"/>
    </row>
    <row r="41" spans="2:19" ht="14.4" x14ac:dyDescent="0.25">
      <c r="B41" s="788"/>
      <c r="C41" s="788"/>
      <c r="D41" s="788"/>
      <c r="E41" s="788"/>
      <c r="F41" s="788"/>
      <c r="G41" s="788"/>
      <c r="H41" s="788"/>
      <c r="I41" s="788"/>
      <c r="J41" s="788"/>
      <c r="K41" s="788"/>
      <c r="L41" s="788"/>
      <c r="M41" s="788"/>
      <c r="N41" s="788"/>
      <c r="O41" s="247"/>
      <c r="P41" s="247"/>
      <c r="Q41" s="247"/>
      <c r="R41" s="247"/>
      <c r="S41" s="247"/>
    </row>
    <row r="42" spans="2:19" ht="15" thickBot="1" x14ac:dyDescent="0.3">
      <c r="B42" s="788"/>
      <c r="C42" s="788"/>
      <c r="D42" s="788"/>
      <c r="E42" s="788"/>
      <c r="F42" s="788"/>
      <c r="G42" s="788"/>
      <c r="H42" s="788"/>
      <c r="I42" s="788"/>
      <c r="J42" s="788"/>
      <c r="K42" s="788"/>
      <c r="L42" s="788"/>
      <c r="M42" s="788"/>
      <c r="N42" s="788"/>
      <c r="O42" s="247"/>
      <c r="P42" s="247"/>
      <c r="Q42" s="247"/>
      <c r="R42" s="247"/>
      <c r="S42" s="247"/>
    </row>
    <row r="43" spans="2:19" ht="13.2" x14ac:dyDescent="0.25">
      <c r="B43" s="849" t="s">
        <v>390</v>
      </c>
      <c r="C43" s="850"/>
      <c r="D43" s="850"/>
      <c r="E43" s="850"/>
      <c r="F43" s="850"/>
      <c r="G43" s="850"/>
      <c r="H43" s="850"/>
      <c r="I43" s="850"/>
      <c r="J43" s="850"/>
      <c r="K43" s="850"/>
      <c r="L43" s="850"/>
      <c r="M43" s="850"/>
      <c r="N43" s="850"/>
      <c r="O43" s="850"/>
      <c r="P43" s="850"/>
      <c r="Q43" s="850"/>
      <c r="R43" s="850"/>
      <c r="S43" s="851"/>
    </row>
    <row r="44" spans="2:19" ht="13.2" x14ac:dyDescent="0.25">
      <c r="B44" s="1329"/>
      <c r="C44" s="1333"/>
      <c r="D44" s="1333"/>
      <c r="E44" s="1333"/>
      <c r="F44" s="1333"/>
      <c r="G44" s="1333"/>
      <c r="H44" s="1333"/>
      <c r="I44" s="1333"/>
      <c r="J44" s="1333"/>
      <c r="K44" s="1333"/>
      <c r="L44" s="1333"/>
      <c r="M44" s="1333"/>
      <c r="N44" s="1333"/>
      <c r="O44" s="1333"/>
      <c r="P44" s="1333"/>
      <c r="Q44" s="1333"/>
      <c r="R44" s="1333"/>
      <c r="S44" s="1334"/>
    </row>
    <row r="45" spans="2:19" ht="13.2" x14ac:dyDescent="0.25">
      <c r="B45" s="1329"/>
      <c r="C45" s="1333"/>
      <c r="D45" s="1333"/>
      <c r="E45" s="1333"/>
      <c r="F45" s="1333"/>
      <c r="G45" s="1333"/>
      <c r="H45" s="1333"/>
      <c r="I45" s="1333"/>
      <c r="J45" s="1333"/>
      <c r="K45" s="1333"/>
      <c r="L45" s="1333"/>
      <c r="M45" s="1333"/>
      <c r="N45" s="1333"/>
      <c r="O45" s="1333"/>
      <c r="P45" s="1333"/>
      <c r="Q45" s="1333"/>
      <c r="R45" s="1333"/>
      <c r="S45" s="1334"/>
    </row>
    <row r="46" spans="2:19" ht="13.8" thickBot="1" x14ac:dyDescent="0.3">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3">
      <c r="B47" s="4452" t="s">
        <v>2229</v>
      </c>
      <c r="C47" s="4453"/>
      <c r="D47" s="4453"/>
      <c r="E47" s="4453"/>
      <c r="F47" s="4453"/>
      <c r="G47" s="4453"/>
      <c r="H47" s="4453"/>
      <c r="I47" s="4453"/>
      <c r="J47" s="4453"/>
      <c r="K47" s="4453"/>
      <c r="L47" s="4453"/>
      <c r="M47" s="4453"/>
      <c r="N47" s="4453"/>
      <c r="O47" s="4453"/>
      <c r="P47" s="4453"/>
      <c r="Q47" s="4453"/>
      <c r="R47" s="4453"/>
      <c r="S47" s="4454"/>
    </row>
    <row r="48" spans="2:19" ht="12" customHeight="1" x14ac:dyDescent="0.25">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3.2" x14ac:dyDescent="0.25"/>
  <cols>
    <col min="1" max="1" width="1.88671875" style="83" customWidth="1"/>
    <col min="2" max="2" width="49.5546875" style="83" customWidth="1"/>
    <col min="3" max="3" width="23" style="83" bestFit="1" customWidth="1"/>
    <col min="4" max="6" width="11.109375" style="83" customWidth="1"/>
    <col min="7" max="9" width="8.5546875" style="83" customWidth="1"/>
    <col min="10" max="10" width="18.88671875" style="83" customWidth="1"/>
    <col min="11" max="12" width="10.5546875" style="83" customWidth="1"/>
    <col min="13" max="15" width="9.44140625" style="83" customWidth="1"/>
    <col min="16" max="16" width="14.44140625" style="83" customWidth="1"/>
    <col min="17" max="18" width="10.109375" style="83" customWidth="1"/>
    <col min="19" max="19" width="14.5546875" style="83" customWidth="1"/>
    <col min="20" max="20" width="2.109375" style="83" customWidth="1"/>
    <col min="21" max="21" width="14.5546875" style="83" customWidth="1"/>
    <col min="22" max="16384" width="8" style="83"/>
  </cols>
  <sheetData>
    <row r="1" spans="1:23" ht="15.6" x14ac:dyDescent="0.3">
      <c r="B1" s="13" t="s">
        <v>1072</v>
      </c>
      <c r="S1" s="14" t="s">
        <v>2521</v>
      </c>
    </row>
    <row r="2" spans="1:23" ht="15.6" x14ac:dyDescent="0.3">
      <c r="B2" s="13" t="s">
        <v>1073</v>
      </c>
      <c r="S2" s="14" t="s">
        <v>2522</v>
      </c>
    </row>
    <row r="3" spans="1:23" ht="15.6" x14ac:dyDescent="0.3">
      <c r="B3" s="13" t="s">
        <v>62</v>
      </c>
      <c r="S3" s="14" t="s">
        <v>2144</v>
      </c>
    </row>
    <row r="4" spans="1:23" ht="15.6" x14ac:dyDescent="0.3">
      <c r="B4" s="13"/>
      <c r="S4" s="2"/>
    </row>
    <row r="5" spans="1:23" ht="23.4" thickBot="1" x14ac:dyDescent="0.3">
      <c r="B5" s="2446" t="s">
        <v>64</v>
      </c>
      <c r="U5" s="2569" t="s">
        <v>1049</v>
      </c>
    </row>
    <row r="6" spans="1:23" ht="14.4" x14ac:dyDescent="0.25">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5.6" x14ac:dyDescent="0.25">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5">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4" thickBot="1" x14ac:dyDescent="0.3">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5">
      <c r="B10" s="2259" t="s">
        <v>1076</v>
      </c>
      <c r="C10" s="2260"/>
      <c r="D10" s="3582">
        <f>IF(SUM(D11,D23)=0,"IE",SUM(D11,D23))</f>
        <v>13397.441562222002</v>
      </c>
      <c r="E10" s="3583">
        <f>IF(SUM(E11,E23)=0,"IE",SUM(E11,E23))</f>
        <v>13290.782678582775</v>
      </c>
      <c r="F10" s="3584">
        <f>IF(SUM(F11,F23)=0,"IE",SUM(F11,F23))</f>
        <v>106.65888363922724</v>
      </c>
      <c r="G10" s="3608" t="str">
        <f>IFERROR(IF(SUM($D10)=0,"NA",M10/$D10),"NA")</f>
        <v>NA</v>
      </c>
      <c r="H10" s="3609">
        <f t="shared" ref="H10:J10" si="0">IFERROR(IF(SUM($D10)=0,"NA",N10/$D10),"NA")</f>
        <v>-2.7579915501208568E-2</v>
      </c>
      <c r="I10" s="3610">
        <f t="shared" si="0"/>
        <v>-2.7579915501208568E-2</v>
      </c>
      <c r="J10" s="3609">
        <f t="shared" si="0"/>
        <v>2.4641942488346008E-3</v>
      </c>
      <c r="K10" s="3609">
        <f>IFERROR(IF(SUM(E10)=0,"NA",Q10/E10),"NA")</f>
        <v>-3.2727273312066576E-3</v>
      </c>
      <c r="L10" s="3611" t="str">
        <f>IFERROR(IF(SUM(F10)=0,"NA",R10/F10),"NA")</f>
        <v>NA</v>
      </c>
      <c r="M10" s="3610" t="str">
        <f t="shared" ref="M10:S10" si="1">IF(SUM(M11,M23)=0,"IE",SUM(M11,M23))</f>
        <v>IE</v>
      </c>
      <c r="N10" s="3609">
        <f t="shared" si="1"/>
        <v>-369.50030621846253</v>
      </c>
      <c r="O10" s="3610">
        <f t="shared" si="1"/>
        <v>-369.50030621846253</v>
      </c>
      <c r="P10" s="3609">
        <f t="shared" si="1"/>
        <v>33.013898446725108</v>
      </c>
      <c r="Q10" s="3612">
        <f t="shared" si="1"/>
        <v>-43.497107725325876</v>
      </c>
      <c r="R10" s="3612" t="str">
        <f t="shared" si="1"/>
        <v>IE</v>
      </c>
      <c r="S10" s="3588">
        <f t="shared" si="1"/>
        <v>1393.2728901558985</v>
      </c>
      <c r="U10" s="2401"/>
    </row>
    <row r="11" spans="1:23" ht="18" customHeight="1" x14ac:dyDescent="0.25">
      <c r="B11" s="501" t="s">
        <v>990</v>
      </c>
      <c r="C11" s="483"/>
      <c r="D11" s="3613">
        <f>IF(SUM(D12,D14,D17)=0,"IE",SUM(D12,D14,D17))</f>
        <v>13367.229562222003</v>
      </c>
      <c r="E11" s="3614">
        <f t="shared" ref="E11:S11" si="2">IF(SUM(E12,E14,E17)=0,"IE",SUM(E12,E14,E17))</f>
        <v>13260.570678582775</v>
      </c>
      <c r="F11" s="3615">
        <f t="shared" si="2"/>
        <v>106.65888363922724</v>
      </c>
      <c r="G11" s="3616" t="str">
        <f t="shared" ref="G11:G56" si="3">IFERROR(IF(SUM($D11)=0,"NA",M11/$D11),"NA")</f>
        <v>NA</v>
      </c>
      <c r="H11" s="3617">
        <f t="shared" ref="H11:H56" si="4">IFERROR(IF(SUM($D11)=0,"NA",N11/$D11),"NA")</f>
        <v>-1.2985136928374075E-2</v>
      </c>
      <c r="I11" s="3618">
        <f t="shared" ref="I11:I56" si="5">IFERROR(IF(SUM($D11)=0,"NA",O11/$D11),"NA")</f>
        <v>-1.2985136928374075E-2</v>
      </c>
      <c r="J11" s="3617">
        <f t="shared" ref="J11:J56" si="6">IFERROR(IF(SUM($D11)=0,"NA",P11/$D11),"NA")</f>
        <v>2.4697637078088218E-3</v>
      </c>
      <c r="K11" s="3617">
        <f t="shared" ref="K11:K56" si="7">IFERROR(IF(SUM(E11)=0,"NA",Q11/E11),"NA")</f>
        <v>-3.2801836949278742E-3</v>
      </c>
      <c r="L11" s="3619" t="str">
        <f t="shared" ref="L11:L56" si="8">IFERROR(IF(SUM(F11)=0,"NA",R11/F11),"NA")</f>
        <v>NA</v>
      </c>
      <c r="M11" s="3618" t="str">
        <f t="shared" si="2"/>
        <v>IE</v>
      </c>
      <c r="N11" s="3617">
        <f t="shared" si="2"/>
        <v>-173.57530621846254</v>
      </c>
      <c r="O11" s="3618">
        <f t="shared" si="2"/>
        <v>-173.57530621846254</v>
      </c>
      <c r="P11" s="3617">
        <f t="shared" si="2"/>
        <v>33.013898446725108</v>
      </c>
      <c r="Q11" s="3620">
        <f t="shared" si="2"/>
        <v>-43.497107725325876</v>
      </c>
      <c r="R11" s="3620" t="str">
        <f t="shared" si="2"/>
        <v>IE</v>
      </c>
      <c r="S11" s="3621">
        <f t="shared" si="2"/>
        <v>674.88122348923207</v>
      </c>
      <c r="U11" s="2402"/>
    </row>
    <row r="12" spans="1:23" ht="18" customHeight="1" x14ac:dyDescent="0.25">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5">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5">
      <c r="B14" s="487" t="s">
        <v>1078</v>
      </c>
      <c r="C14" s="483"/>
      <c r="D14" s="3589">
        <f>IF(SUM(D15:D16)=0,"IE",SUM(D15:D16))</f>
        <v>595.26999347714036</v>
      </c>
      <c r="E14" s="3564">
        <f>IF(SUM(E15:E16)=0,"IE",SUM(E15:E16))</f>
        <v>595.26999347714036</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5">
      <c r="B15" s="2682"/>
      <c r="C15" s="885" t="s">
        <v>2230</v>
      </c>
      <c r="D15" s="3600">
        <f>IF(SUM(E15:F15)=0,E15,SUM(E15:F15))</f>
        <v>262.47990000000004</v>
      </c>
      <c r="E15" s="3569">
        <v>262.47990000000004</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5">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5">
      <c r="B17" s="487" t="s">
        <v>1079</v>
      </c>
      <c r="C17" s="483"/>
      <c r="D17" s="3589">
        <f>IF(SUM(D18:D21)=0,"IE",SUM(D18:D21))</f>
        <v>12771.959568744862</v>
      </c>
      <c r="E17" s="3564">
        <f>IF(SUM(E18:E21)=0,"IE",SUM(E18:E21))</f>
        <v>12665.300685105634</v>
      </c>
      <c r="F17" s="3565">
        <f>IF(SUM(F18:F21)=0,"IE",SUM(F18:F21))</f>
        <v>106.65888363922724</v>
      </c>
      <c r="G17" s="3622" t="str">
        <f t="shared" si="3"/>
        <v>NA</v>
      </c>
      <c r="H17" s="3591">
        <f t="shared" si="4"/>
        <v>-1.3590342600459727E-2</v>
      </c>
      <c r="I17" s="3623">
        <f t="shared" si="5"/>
        <v>-1.3590342600459727E-2</v>
      </c>
      <c r="J17" s="3591">
        <f t="shared" si="6"/>
        <v>2.5848733915127386E-3</v>
      </c>
      <c r="K17" s="3591">
        <f t="shared" si="7"/>
        <v>-3.4343525516514883E-3</v>
      </c>
      <c r="L17" s="3595" t="str">
        <f t="shared" si="8"/>
        <v>NA</v>
      </c>
      <c r="M17" s="3564" t="str">
        <f t="shared" ref="M17:S17" si="16">IF(SUM(M18:M21)=0,"IE",SUM(M18:M21))</f>
        <v>IE</v>
      </c>
      <c r="N17" s="3617">
        <f t="shared" si="16"/>
        <v>-173.57530621846254</v>
      </c>
      <c r="O17" s="3618">
        <f t="shared" si="16"/>
        <v>-173.57530621846254</v>
      </c>
      <c r="P17" s="3617">
        <f t="shared" si="16"/>
        <v>33.013898446725108</v>
      </c>
      <c r="Q17" s="3620">
        <f t="shared" si="16"/>
        <v>-43.497107725325876</v>
      </c>
      <c r="R17" s="3620" t="str">
        <f t="shared" si="16"/>
        <v>IE</v>
      </c>
      <c r="S17" s="3634">
        <f t="shared" si="16"/>
        <v>674.88122348923207</v>
      </c>
      <c r="U17" s="2402"/>
    </row>
    <row r="18" spans="1:23" ht="18" customHeight="1" x14ac:dyDescent="0.25">
      <c r="A18" s="2502"/>
      <c r="B18" s="2682"/>
      <c r="C18" s="2503" t="s">
        <v>2231</v>
      </c>
      <c r="D18" s="3600">
        <f>IF(SUM(E18:F18)=0,E18,SUM(E18:F18))</f>
        <v>1716.6986404464255</v>
      </c>
      <c r="E18" s="3569">
        <v>1716.6986404464255</v>
      </c>
      <c r="F18" s="3635" t="s">
        <v>2153</v>
      </c>
      <c r="G18" s="3630" t="str">
        <f t="shared" si="3"/>
        <v>NA</v>
      </c>
      <c r="H18" s="3631">
        <f t="shared" si="4"/>
        <v>-3.1672061348238807E-2</v>
      </c>
      <c r="I18" s="3632">
        <f t="shared" si="5"/>
        <v>-3.1672061348238807E-2</v>
      </c>
      <c r="J18" s="3631">
        <f t="shared" si="6"/>
        <v>-6.3344122696477618E-3</v>
      </c>
      <c r="K18" s="3631">
        <f t="shared" si="7"/>
        <v>-2.5337649078591047E-2</v>
      </c>
      <c r="L18" s="3633" t="str">
        <f t="shared" si="8"/>
        <v>NA</v>
      </c>
      <c r="M18" s="3624" t="s">
        <v>2153</v>
      </c>
      <c r="N18" s="3625">
        <v>-54.371384656657348</v>
      </c>
      <c r="O18" s="3109">
        <f>IF(SUM(M18:N18)=0,M18,SUM(M18:N18))</f>
        <v>-54.371384656657348</v>
      </c>
      <c r="P18" s="3625">
        <v>-10.874276931331469</v>
      </c>
      <c r="Q18" s="3626">
        <v>-43.497107725325876</v>
      </c>
      <c r="R18" s="3636" t="s">
        <v>2153</v>
      </c>
      <c r="S18" s="3570">
        <f>IF(SUM(O18:R18)=0,Q18,SUM(O18:R18)*-44/12)</f>
        <v>398.72348748215387</v>
      </c>
      <c r="T18" s="2502"/>
      <c r="U18" s="2504"/>
      <c r="V18" s="2502"/>
      <c r="W18" s="2502"/>
    </row>
    <row r="19" spans="1:23" ht="18" customHeight="1" x14ac:dyDescent="0.25">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t="s">
        <v>2153</v>
      </c>
      <c r="N19" s="3625">
        <v>-119.2039215618052</v>
      </c>
      <c r="O19" s="3109">
        <f t="shared" ref="O19:O22" si="18">IF(SUM(M19:N19)=0,M19,SUM(M19:N19))</f>
        <v>-119.2039215618052</v>
      </c>
      <c r="P19" s="3625">
        <v>43.88817537805658</v>
      </c>
      <c r="Q19" s="3628" t="s">
        <v>2147</v>
      </c>
      <c r="R19" s="3627" t="s">
        <v>2147</v>
      </c>
      <c r="S19" s="3570">
        <f t="shared" ref="S19:S22" si="19">IF(SUM(O19:R19)=0,Q19,SUM(O19:R19)*-44/12)</f>
        <v>276.15773600707826</v>
      </c>
      <c r="T19" s="2502"/>
      <c r="U19" s="2684"/>
      <c r="V19" s="2502"/>
      <c r="W19" s="2502"/>
    </row>
    <row r="20" spans="1:23" ht="18" customHeight="1" x14ac:dyDescent="0.25">
      <c r="A20" s="2502"/>
      <c r="B20" s="2682"/>
      <c r="C20" s="2683" t="s">
        <v>2234</v>
      </c>
      <c r="D20" s="3600">
        <f t="shared" si="17"/>
        <v>10948.602044659208</v>
      </c>
      <c r="E20" s="3607">
        <v>10948.602044659208</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5">
      <c r="B21" s="1481" t="s">
        <v>1977</v>
      </c>
      <c r="C21" s="483"/>
      <c r="D21" s="3600">
        <f>D22</f>
        <v>106.65888363922724</v>
      </c>
      <c r="E21" s="3564" t="str">
        <f t="shared" ref="E21:F21" si="20">E22</f>
        <v>IE</v>
      </c>
      <c r="F21" s="3565">
        <f t="shared" si="20"/>
        <v>106.65888363922724</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5">
      <c r="B22" s="1473"/>
      <c r="C22" s="885" t="s">
        <v>278</v>
      </c>
      <c r="D22" s="3600">
        <f>IF(SUM(E22:F22)=0,E22,SUM(E22:F22))</f>
        <v>106.65888363922724</v>
      </c>
      <c r="E22" s="3569" t="s">
        <v>2153</v>
      </c>
      <c r="F22" s="3554">
        <v>106.65888363922724</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5">
      <c r="B23" s="502" t="s">
        <v>1976</v>
      </c>
      <c r="C23" s="486"/>
      <c r="D23" s="3589">
        <f>IF(SUM(D24,D35,D46)=0,"IE",SUM(D24,D35,D46))</f>
        <v>30.212</v>
      </c>
      <c r="E23" s="3591">
        <f t="shared" ref="E23:F23" si="22">IF(SUM(E24,E35,E46)=0,"IE",SUM(E24,E35,E46))</f>
        <v>30.212</v>
      </c>
      <c r="F23" s="3595" t="str">
        <f t="shared" si="22"/>
        <v>IE</v>
      </c>
      <c r="G23" s="3622" t="str">
        <f t="shared" si="3"/>
        <v>NA</v>
      </c>
      <c r="H23" s="3591">
        <f t="shared" si="4"/>
        <v>-6.4850059578975232</v>
      </c>
      <c r="I23" s="3623">
        <f t="shared" si="5"/>
        <v>-6.4850059578975232</v>
      </c>
      <c r="J23" s="3591" t="str">
        <f t="shared" si="6"/>
        <v>NA</v>
      </c>
      <c r="K23" s="3591" t="str">
        <f t="shared" si="7"/>
        <v>NA</v>
      </c>
      <c r="L23" s="3595" t="str">
        <f t="shared" si="8"/>
        <v>NA</v>
      </c>
      <c r="M23" s="3591" t="str">
        <f t="shared" ref="M23" si="23">IF(SUM(M24,M35,M46)=0,"IE",SUM(M24,M35,M46))</f>
        <v>IE</v>
      </c>
      <c r="N23" s="3591">
        <f t="shared" ref="N23" si="24">IF(SUM(N24,N35,N46)=0,"IE",SUM(N24,N35,N46))</f>
        <v>-195.92499999999998</v>
      </c>
      <c r="O23" s="3623">
        <f t="shared" ref="O23" si="25">IF(SUM(O24,O35,O46)=0,"IE",SUM(O24,O35,O46))</f>
        <v>-195.92499999999998</v>
      </c>
      <c r="P23" s="3591" t="str">
        <f>IF(SUM(P24,P35,P46)=0,"NO",SUM(P24,P35,P46))</f>
        <v>NO</v>
      </c>
      <c r="Q23" s="3590" t="str">
        <f>IF(SUM(Q24,Q35,Q46)=0,"NO",SUM(Q24,Q35,Q46))</f>
        <v>NO</v>
      </c>
      <c r="R23" s="3590" t="str">
        <f>IF(SUM(R24,R35,R46)=0,"NO",SUM(R24,R35,R46))</f>
        <v>NO</v>
      </c>
      <c r="S23" s="3594">
        <f t="shared" ref="S23" si="26">IF(SUM(S24,S35,S46)=0,"IE",SUM(S24,S35,S46))</f>
        <v>718.39166666666654</v>
      </c>
      <c r="U23" s="503"/>
    </row>
    <row r="24" spans="1:23" ht="18" customHeight="1" x14ac:dyDescent="0.25">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5">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5">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5">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5">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5">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5">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5">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5">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5">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5">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5">
      <c r="B35" s="1473" t="s">
        <v>1086</v>
      </c>
      <c r="C35" s="486"/>
      <c r="D35" s="3589">
        <f>IF(SUM(D36,D38,D40,D42,D44)=0,"IE",SUM(D36,D38,D40,D42,D44))</f>
        <v>30.212</v>
      </c>
      <c r="E35" s="3591">
        <f>IF(SUM(E36,E38,E40,E42,E44)=0,"IE",SUM(E36,E38,E40,E42,E44))</f>
        <v>30.212</v>
      </c>
      <c r="F35" s="3595" t="str">
        <f>IF(SUM(F36,F38,F40,F42,F44)=0,"IE",SUM(F36,F38,F40,F42,F44))</f>
        <v>IE</v>
      </c>
      <c r="G35" s="3622" t="str">
        <f t="shared" si="3"/>
        <v>NA</v>
      </c>
      <c r="H35" s="3591">
        <f t="shared" si="4"/>
        <v>-6.4850059578975232</v>
      </c>
      <c r="I35" s="3623">
        <f t="shared" si="5"/>
        <v>-6.4850059578975232</v>
      </c>
      <c r="J35" s="3591" t="str">
        <f t="shared" si="6"/>
        <v>NA</v>
      </c>
      <c r="K35" s="3591" t="str">
        <f t="shared" si="7"/>
        <v>NA</v>
      </c>
      <c r="L35" s="3595" t="str">
        <f t="shared" si="8"/>
        <v>NA</v>
      </c>
      <c r="M35" s="3591" t="str">
        <f t="shared" ref="M35:S35" si="48">IF(SUM(M36,M38,M40,M42,M44)=0,"IE",SUM(M36,M38,M40,M42,M44))</f>
        <v>IE</v>
      </c>
      <c r="N35" s="3591">
        <f t="shared" si="48"/>
        <v>-195.92499999999998</v>
      </c>
      <c r="O35" s="3623">
        <f t="shared" si="48"/>
        <v>-195.92499999999998</v>
      </c>
      <c r="P35" s="3591" t="str">
        <f>IF(SUM(P36,P38,P40,P42,P44)=0,"NO",SUM(P36,P38,P40,P42,P44))</f>
        <v>NO</v>
      </c>
      <c r="Q35" s="3590" t="str">
        <f>IF(SUM(Q36,Q38,Q40,Q42,Q44)=0,"NO",SUM(Q36,Q38,Q40,Q42,Q44))</f>
        <v>NO</v>
      </c>
      <c r="R35" s="3590" t="str">
        <f>IF(SUM(R36,R38,R40,R42,R44)=0,"NO",SUM(R36,R38,R40,R42,R44))</f>
        <v>NO</v>
      </c>
      <c r="S35" s="3594">
        <f t="shared" si="48"/>
        <v>718.39166666666654</v>
      </c>
      <c r="U35" s="503"/>
    </row>
    <row r="36" spans="2:21" ht="18" customHeight="1" x14ac:dyDescent="0.25">
      <c r="B36" s="505" t="s">
        <v>1087</v>
      </c>
      <c r="C36" s="486"/>
      <c r="D36" s="3600">
        <f>D37</f>
        <v>30.212</v>
      </c>
      <c r="E36" s="3564">
        <f t="shared" ref="E36:F36" si="49">E37</f>
        <v>30.212</v>
      </c>
      <c r="F36" s="3565" t="str">
        <f t="shared" si="49"/>
        <v>IE</v>
      </c>
      <c r="G36" s="3558" t="str">
        <f t="shared" si="3"/>
        <v>NA</v>
      </c>
      <c r="H36" s="3078">
        <f t="shared" si="4"/>
        <v>-6.4850059578975232</v>
      </c>
      <c r="I36" s="3078">
        <f t="shared" si="5"/>
        <v>-6.4850059578975232</v>
      </c>
      <c r="J36" s="3078" t="str">
        <f t="shared" si="6"/>
        <v>NA</v>
      </c>
      <c r="K36" s="3573" t="str">
        <f t="shared" si="7"/>
        <v>NA</v>
      </c>
      <c r="L36" s="3128" t="str">
        <f t="shared" si="8"/>
        <v>NA</v>
      </c>
      <c r="M36" s="3505" t="str">
        <f t="shared" ref="M36:S36" si="50">M37</f>
        <v>IE</v>
      </c>
      <c r="N36" s="3506">
        <f t="shared" si="50"/>
        <v>-195.92499999999998</v>
      </c>
      <c r="O36" s="3506">
        <f t="shared" si="50"/>
        <v>-195.92499999999998</v>
      </c>
      <c r="P36" s="3506" t="str">
        <f t="shared" si="50"/>
        <v>NA</v>
      </c>
      <c r="Q36" s="3601" t="str">
        <f t="shared" si="50"/>
        <v>NA</v>
      </c>
      <c r="R36" s="3601" t="str">
        <f t="shared" si="50"/>
        <v>NA</v>
      </c>
      <c r="S36" s="3287">
        <f t="shared" si="50"/>
        <v>718.39166666666654</v>
      </c>
      <c r="U36" s="2402"/>
    </row>
    <row r="37" spans="2:21" ht="18" customHeight="1" x14ac:dyDescent="0.25">
      <c r="B37" s="1479"/>
      <c r="C37" s="885" t="s">
        <v>278</v>
      </c>
      <c r="D37" s="3600">
        <f>IF(SUM(E37:F37)=0,E37,SUM(E37:F37))</f>
        <v>30.212</v>
      </c>
      <c r="E37" s="3569">
        <v>30.212</v>
      </c>
      <c r="F37" s="3554" t="s">
        <v>2153</v>
      </c>
      <c r="G37" s="3622" t="str">
        <f t="shared" si="3"/>
        <v>NA</v>
      </c>
      <c r="H37" s="3591">
        <f t="shared" si="4"/>
        <v>-6.4850059578975232</v>
      </c>
      <c r="I37" s="3623">
        <f t="shared" si="5"/>
        <v>-6.4850059578975232</v>
      </c>
      <c r="J37" s="3591" t="str">
        <f t="shared" si="6"/>
        <v>NA</v>
      </c>
      <c r="K37" s="3591" t="str">
        <f t="shared" si="7"/>
        <v>NA</v>
      </c>
      <c r="L37" s="3595" t="str">
        <f t="shared" si="8"/>
        <v>NA</v>
      </c>
      <c r="M37" s="3624" t="s">
        <v>2153</v>
      </c>
      <c r="N37" s="3625">
        <v>-195.92499999999998</v>
      </c>
      <c r="O37" s="3109">
        <f t="shared" ref="O37" si="51">IF(SUM(M37:N37)=0,M37,SUM(M37:N37))</f>
        <v>-195.92499999999998</v>
      </c>
      <c r="P37" s="3625" t="s">
        <v>2147</v>
      </c>
      <c r="Q37" s="3626" t="s">
        <v>2147</v>
      </c>
      <c r="R37" s="3626" t="s">
        <v>2147</v>
      </c>
      <c r="S37" s="3570">
        <f t="shared" ref="S37" si="52">IF(SUM(O37:R37)=0,Q37,SUM(O37:R37)*-44/12)</f>
        <v>718.39166666666654</v>
      </c>
      <c r="U37" s="2403"/>
    </row>
    <row r="38" spans="2:21" ht="18" customHeight="1" x14ac:dyDescent="0.25">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5">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5">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5">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5">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5">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5">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5">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5">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5">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5">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5">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5">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5">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5">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5">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5">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5">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3">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4.4" x14ac:dyDescent="0.25">
      <c r="B57" s="875"/>
      <c r="C57" s="872"/>
      <c r="D57" s="872"/>
      <c r="E57" s="872"/>
      <c r="F57" s="872"/>
      <c r="G57" s="872"/>
      <c r="H57" s="872"/>
      <c r="I57" s="872"/>
      <c r="J57" s="872"/>
      <c r="K57" s="872"/>
      <c r="L57" s="872"/>
      <c r="M57" s="872"/>
      <c r="N57" s="872"/>
      <c r="O57" s="872"/>
      <c r="P57" s="872"/>
      <c r="Q57" s="872"/>
      <c r="R57" s="872"/>
      <c r="S57" s="872"/>
    </row>
    <row r="58" spans="2:21" x14ac:dyDescent="0.25">
      <c r="B58" s="866"/>
      <c r="C58" s="872"/>
      <c r="D58" s="872"/>
      <c r="E58" s="872"/>
      <c r="F58" s="872"/>
      <c r="G58" s="872"/>
      <c r="H58" s="872"/>
      <c r="I58" s="872"/>
      <c r="J58" s="872"/>
      <c r="K58" s="872"/>
      <c r="L58" s="872"/>
      <c r="M58" s="872"/>
      <c r="N58" s="872"/>
      <c r="O58" s="872"/>
      <c r="P58" s="872"/>
      <c r="Q58" s="872"/>
      <c r="R58" s="872"/>
      <c r="S58" s="872"/>
    </row>
    <row r="59" spans="2:21" x14ac:dyDescent="0.25">
      <c r="B59" s="866"/>
      <c r="C59" s="872"/>
      <c r="D59" s="872"/>
      <c r="E59" s="872"/>
      <c r="F59" s="872"/>
      <c r="G59" s="872"/>
      <c r="H59" s="872"/>
      <c r="I59" s="872"/>
      <c r="J59" s="872"/>
      <c r="K59" s="872"/>
      <c r="L59" s="872"/>
      <c r="M59" s="872"/>
      <c r="N59" s="872"/>
      <c r="O59" s="872"/>
      <c r="P59" s="872"/>
      <c r="Q59" s="872"/>
      <c r="R59" s="872"/>
      <c r="S59" s="872"/>
    </row>
    <row r="60" spans="2:21" ht="14.4" x14ac:dyDescent="0.25">
      <c r="B60" s="875"/>
      <c r="C60" s="872"/>
      <c r="D60" s="872"/>
      <c r="E60" s="872"/>
      <c r="F60" s="872"/>
      <c r="G60" s="872"/>
      <c r="H60" s="872"/>
      <c r="I60" s="872"/>
      <c r="J60" s="872"/>
      <c r="K60" s="872"/>
      <c r="L60" s="872"/>
      <c r="M60" s="872"/>
      <c r="N60" s="872"/>
      <c r="O60" s="872"/>
      <c r="P60" s="872"/>
      <c r="Q60" s="872"/>
      <c r="R60" s="872"/>
      <c r="S60" s="872"/>
    </row>
    <row r="61" spans="2:21" ht="14.4" x14ac:dyDescent="0.25">
      <c r="B61" s="791"/>
    </row>
    <row r="62" spans="2:21" ht="14.4" x14ac:dyDescent="0.25">
      <c r="B62" s="790"/>
    </row>
    <row r="63" spans="2:21" ht="14.4" x14ac:dyDescent="0.25">
      <c r="B63" s="805"/>
    </row>
    <row r="64" spans="2:21" ht="14.4" x14ac:dyDescent="0.25">
      <c r="B64" s="805"/>
    </row>
    <row r="65" spans="2:19" ht="14.4" x14ac:dyDescent="0.25">
      <c r="B65" s="805"/>
    </row>
    <row r="66" spans="2:19" ht="14.4" x14ac:dyDescent="0.25">
      <c r="B66" s="805"/>
    </row>
    <row r="67" spans="2:19" ht="14.4" x14ac:dyDescent="0.25">
      <c r="B67" s="805"/>
    </row>
    <row r="68" spans="2:19" ht="14.4" x14ac:dyDescent="0.25">
      <c r="B68" s="805"/>
    </row>
    <row r="69" spans="2:19" ht="14.4" x14ac:dyDescent="0.25">
      <c r="B69" s="805"/>
    </row>
    <row r="70" spans="2:19" ht="14.4" x14ac:dyDescent="0.25">
      <c r="B70" s="507"/>
    </row>
    <row r="71" spans="2:19" ht="14.4" x14ac:dyDescent="0.25">
      <c r="B71" s="507"/>
    </row>
    <row r="72" spans="2:19" s="84" customFormat="1" ht="14.4" x14ac:dyDescent="0.25">
      <c r="B72" s="507"/>
    </row>
    <row r="73" spans="2:19" ht="14.4" x14ac:dyDescent="0.25">
      <c r="B73" s="507"/>
    </row>
    <row r="74" spans="2:19" x14ac:dyDescent="0.25">
      <c r="B74" s="876"/>
      <c r="C74"/>
      <c r="D74"/>
      <c r="E74"/>
      <c r="F74"/>
      <c r="G74"/>
      <c r="H74"/>
      <c r="I74"/>
      <c r="J74"/>
      <c r="K74"/>
      <c r="L74"/>
      <c r="M74"/>
      <c r="N74"/>
      <c r="O74"/>
      <c r="P74"/>
      <c r="Q74"/>
      <c r="R74"/>
    </row>
    <row r="75" spans="2:19" ht="15" thickBot="1" x14ac:dyDescent="0.3">
      <c r="B75" s="802"/>
      <c r="C75" s="802"/>
      <c r="D75" s="802"/>
      <c r="E75" s="802"/>
      <c r="F75" s="802"/>
      <c r="G75" s="802"/>
      <c r="H75" s="802"/>
      <c r="I75" s="802"/>
      <c r="J75" s="802"/>
      <c r="K75" s="802"/>
      <c r="L75" s="802"/>
      <c r="M75" s="802"/>
      <c r="N75" s="802"/>
      <c r="O75" s="802"/>
      <c r="P75" s="802"/>
      <c r="Q75" s="802"/>
      <c r="R75" s="802"/>
    </row>
    <row r="76" spans="2:19" x14ac:dyDescent="0.25">
      <c r="B76" s="849" t="s">
        <v>390</v>
      </c>
      <c r="C76" s="850"/>
      <c r="D76" s="850"/>
      <c r="E76" s="850"/>
      <c r="F76" s="850"/>
      <c r="G76" s="850"/>
      <c r="H76" s="850"/>
      <c r="I76" s="850"/>
      <c r="J76" s="850"/>
      <c r="K76" s="850"/>
      <c r="L76" s="850"/>
      <c r="M76" s="850"/>
      <c r="N76" s="850"/>
      <c r="O76" s="850"/>
      <c r="P76" s="850"/>
      <c r="Q76" s="850"/>
      <c r="R76" s="850"/>
      <c r="S76" s="851"/>
    </row>
    <row r="77" spans="2:19" x14ac:dyDescent="0.25">
      <c r="B77" s="1329"/>
      <c r="C77" s="1333"/>
      <c r="D77" s="1333"/>
      <c r="E77" s="1333"/>
      <c r="F77" s="1333"/>
      <c r="G77" s="1333"/>
      <c r="H77" s="1333"/>
      <c r="I77" s="1333"/>
      <c r="J77" s="1333"/>
      <c r="K77" s="1333"/>
      <c r="L77" s="1333"/>
      <c r="M77" s="1333"/>
      <c r="N77" s="1333"/>
      <c r="O77" s="1333"/>
      <c r="P77" s="1333"/>
      <c r="Q77" s="1333"/>
      <c r="R77" s="1333"/>
      <c r="S77" s="1334"/>
    </row>
    <row r="78" spans="2:19" x14ac:dyDescent="0.25">
      <c r="B78" s="1329"/>
      <c r="C78" s="1333"/>
      <c r="D78" s="1333"/>
      <c r="E78" s="1333"/>
      <c r="F78" s="1333"/>
      <c r="G78" s="1333"/>
      <c r="H78" s="1333"/>
      <c r="I78" s="1333"/>
      <c r="J78" s="1333"/>
      <c r="K78" s="1333"/>
      <c r="L78" s="1333"/>
      <c r="M78" s="1333"/>
      <c r="N78" s="1333"/>
      <c r="O78" s="1333"/>
      <c r="P78" s="1333"/>
      <c r="Q78" s="1333"/>
      <c r="R78" s="1333"/>
      <c r="S78" s="1334"/>
    </row>
    <row r="79" spans="2:19" ht="13.8" thickBot="1" x14ac:dyDescent="0.3">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3">
      <c r="B80" s="4470" t="s">
        <v>2237</v>
      </c>
      <c r="C80" s="4471"/>
      <c r="D80" s="4471"/>
      <c r="E80" s="4471"/>
      <c r="F80" s="4471"/>
      <c r="G80" s="4471"/>
      <c r="H80" s="4471"/>
      <c r="I80" s="4471"/>
      <c r="J80" s="4471"/>
      <c r="K80" s="4471"/>
      <c r="L80" s="4471"/>
      <c r="M80" s="4471"/>
      <c r="N80" s="4471"/>
      <c r="O80" s="4471"/>
      <c r="P80" s="4471"/>
      <c r="Q80" s="4471"/>
      <c r="R80" s="4471"/>
      <c r="S80" s="4472"/>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3.2" x14ac:dyDescent="0.25"/>
  <cols>
    <col min="1" max="1" width="1.88671875" style="83" customWidth="1"/>
    <col min="2" max="2" width="37.109375" style="83" customWidth="1"/>
    <col min="3" max="3" width="22.88671875" style="83" bestFit="1" customWidth="1"/>
    <col min="4" max="4" width="10.5546875" style="83" customWidth="1"/>
    <col min="5" max="5" width="8.44140625" style="83" customWidth="1"/>
    <col min="6" max="6" width="9" style="83" bestFit="1" customWidth="1"/>
    <col min="7" max="9" width="8.5546875" style="83" customWidth="1"/>
    <col min="10" max="10" width="13.33203125" style="83" customWidth="1"/>
    <col min="11" max="12" width="9.44140625" style="83" customWidth="1"/>
    <col min="13" max="15" width="8.88671875" style="83" customWidth="1"/>
    <col min="16" max="16" width="13.44140625" style="83" customWidth="1"/>
    <col min="17" max="18" width="9.88671875" style="83" customWidth="1"/>
    <col min="19" max="19" width="14.5546875" style="83" customWidth="1"/>
    <col min="20" max="20" width="2.109375" style="83" customWidth="1"/>
    <col min="21" max="21" width="14.5546875" style="83" customWidth="1"/>
    <col min="22" max="25" width="13.88671875" style="83" customWidth="1"/>
    <col min="26" max="16384" width="8" style="83"/>
  </cols>
  <sheetData>
    <row r="1" spans="2:21" ht="15.6" x14ac:dyDescent="0.3">
      <c r="B1" s="13" t="s">
        <v>1098</v>
      </c>
      <c r="S1" s="14" t="s">
        <v>2521</v>
      </c>
    </row>
    <row r="2" spans="2:21" ht="15.6" x14ac:dyDescent="0.3">
      <c r="B2" s="13" t="s">
        <v>1007</v>
      </c>
      <c r="S2" s="14" t="s">
        <v>2522</v>
      </c>
    </row>
    <row r="3" spans="2:21" ht="15.6" x14ac:dyDescent="0.3">
      <c r="B3" s="13" t="s">
        <v>62</v>
      </c>
      <c r="S3" s="14" t="s">
        <v>2144</v>
      </c>
    </row>
    <row r="4" spans="2:21" ht="15.6" x14ac:dyDescent="0.3">
      <c r="B4" s="13"/>
      <c r="S4" s="226"/>
    </row>
    <row r="5" spans="2:21" ht="23.4" thickBot="1" x14ac:dyDescent="0.3">
      <c r="B5" s="2446" t="s">
        <v>64</v>
      </c>
      <c r="S5" s="491"/>
      <c r="U5" s="2569" t="s">
        <v>1049</v>
      </c>
    </row>
    <row r="6" spans="2:21" ht="19.5" customHeight="1" x14ac:dyDescent="0.25">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68.400000000000006" x14ac:dyDescent="0.25">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2.8" x14ac:dyDescent="0.25">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4" thickBot="1" x14ac:dyDescent="0.3">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5">
      <c r="B10" s="2255" t="s">
        <v>1100</v>
      </c>
      <c r="C10" s="2257"/>
      <c r="D10" s="3582">
        <f>IF(SUM(D11,D13)=0,"IE",SUM(D11,D13))</f>
        <v>1121.8957749457641</v>
      </c>
      <c r="E10" s="3583">
        <f t="shared" ref="E10:F10" si="0">IF(SUM(E11,E13)=0,"IE",SUM(E11,E13))</f>
        <v>1078.5368485710001</v>
      </c>
      <c r="F10" s="3584">
        <f t="shared" si="0"/>
        <v>43.358926374764089</v>
      </c>
      <c r="G10" s="3582">
        <f>IFERROR(IF(SUM($D10)=0,"NA",M10/$D10),"NA")</f>
        <v>4.6450891111556591E-3</v>
      </c>
      <c r="H10" s="3583">
        <f t="shared" ref="H10:J10" si="1">IFERROR(IF(SUM($D10)=0,"NA",N10/$D10),"NA")</f>
        <v>-2.01248692284768</v>
      </c>
      <c r="I10" s="3583">
        <f t="shared" si="1"/>
        <v>-2.0078418337365243</v>
      </c>
      <c r="J10" s="3583">
        <f t="shared" si="1"/>
        <v>0.23958092636034903</v>
      </c>
      <c r="K10" s="3585">
        <f>IFERROR(IF(SUM(E10)=0,"NA",Q10/E10),"NA")</f>
        <v>-9.0089601899366115E-2</v>
      </c>
      <c r="L10" s="3584">
        <f>IFERROR(IF(SUM(F10)=0,"NA",R10/F10),"NA")</f>
        <v>2.3077585942161205</v>
      </c>
      <c r="M10" s="3586">
        <f>IF(SUM(M11,M13)=0,"IE",SUM(M11,M13))</f>
        <v>5.2113058480521088</v>
      </c>
      <c r="N10" s="3583">
        <f t="shared" ref="N10:S10" si="2">IF(SUM(N11,N13)=0,"IE",SUM(N11,N13))</f>
        <v>-2257.8005758764143</v>
      </c>
      <c r="O10" s="3587">
        <f t="shared" si="2"/>
        <v>-2252.5892700283621</v>
      </c>
      <c r="P10" s="3583">
        <f t="shared" si="2"/>
        <v>268.78482904126781</v>
      </c>
      <c r="Q10" s="3585">
        <f t="shared" si="2"/>
        <v>-97.16495532155831</v>
      </c>
      <c r="R10" s="3585">
        <f t="shared" si="2"/>
        <v>100.06193497734584</v>
      </c>
      <c r="S10" s="3588">
        <f t="shared" si="2"/>
        <v>7263.3273582147913</v>
      </c>
      <c r="U10" s="2261"/>
    </row>
    <row r="11" spans="2:21" ht="18" customHeight="1" x14ac:dyDescent="0.25">
      <c r="B11" s="493" t="s">
        <v>993</v>
      </c>
      <c r="C11" s="2256"/>
      <c r="D11" s="3589">
        <f>D12</f>
        <v>928.74684857099999</v>
      </c>
      <c r="E11" s="3078">
        <f t="shared" ref="E11:F11" si="3">E12</f>
        <v>928.74684857099999</v>
      </c>
      <c r="F11" s="3078" t="str">
        <f t="shared" si="3"/>
        <v>IE</v>
      </c>
      <c r="G11" s="3558">
        <f t="shared" ref="G11:G24" si="4">IFERROR(IF(SUM($D11)=0,"NA",M11/$D11),"NA")</f>
        <v>5.6111155112616457E-3</v>
      </c>
      <c r="H11" s="3078" t="str">
        <f t="shared" ref="H11:H24" si="5">IFERROR(IF(SUM($D11)=0,"NA",N11/$D11),"NA")</f>
        <v>NA</v>
      </c>
      <c r="I11" s="3078">
        <f t="shared" ref="I11:I24" si="6">IFERROR(IF(SUM($D11)=0,"NA",O11/$D11),"NA")</f>
        <v>5.6111155112616457E-3</v>
      </c>
      <c r="J11" s="3078">
        <f t="shared" ref="J11:J24" si="7">IFERROR(IF(SUM($D11)=0,"NA",P11/$D11),"NA")</f>
        <v>1.1222231022523291E-3</v>
      </c>
      <c r="K11" s="3573">
        <f t="shared" ref="K11:K24" si="8">IFERROR(IF(SUM(E11)=0,"NA",Q11/E11),"NA")</f>
        <v>4.4888924090093164E-3</v>
      </c>
      <c r="L11" s="3128" t="str">
        <f t="shared" ref="L11:L24" si="9">IFERROR(IF(SUM(F11)=0,"NA",R11/F11),"NA")</f>
        <v>NA</v>
      </c>
      <c r="M11" s="3590">
        <f t="shared" ref="M11:S11" si="10">M12</f>
        <v>5.2113058480521088</v>
      </c>
      <c r="N11" s="3591" t="str">
        <f t="shared" si="10"/>
        <v>IE</v>
      </c>
      <c r="O11" s="3592">
        <f t="shared" si="10"/>
        <v>5.2113058480521088</v>
      </c>
      <c r="P11" s="3591">
        <f t="shared" si="10"/>
        <v>1.0422611696104218</v>
      </c>
      <c r="Q11" s="3593">
        <f t="shared" si="10"/>
        <v>4.1690446784416872</v>
      </c>
      <c r="R11" s="3593" t="str">
        <f t="shared" si="10"/>
        <v>IE</v>
      </c>
      <c r="S11" s="3594">
        <f t="shared" si="10"/>
        <v>-38.216242885715467</v>
      </c>
      <c r="U11" s="2397"/>
    </row>
    <row r="12" spans="2:21" ht="18" customHeight="1" x14ac:dyDescent="0.25">
      <c r="B12" s="501"/>
      <c r="C12" s="885" t="s">
        <v>278</v>
      </c>
      <c r="D12" s="3600">
        <f>IF(SUM(E12:F12)=0,E12,SUM(E12:F12))</f>
        <v>928.74684857099999</v>
      </c>
      <c r="E12" s="3569">
        <v>928.74684857099999</v>
      </c>
      <c r="F12" s="3554" t="s">
        <v>2153</v>
      </c>
      <c r="G12" s="3558">
        <f t="shared" si="4"/>
        <v>5.6111155112616457E-3</v>
      </c>
      <c r="H12" s="3078" t="str">
        <f t="shared" si="5"/>
        <v>NA</v>
      </c>
      <c r="I12" s="3078">
        <f t="shared" si="6"/>
        <v>5.6111155112616457E-3</v>
      </c>
      <c r="J12" s="3078">
        <f t="shared" si="7"/>
        <v>1.1222231022523291E-3</v>
      </c>
      <c r="K12" s="3573">
        <f t="shared" si="8"/>
        <v>4.4888924090093164E-3</v>
      </c>
      <c r="L12" s="3128" t="str">
        <f t="shared" si="9"/>
        <v>NA</v>
      </c>
      <c r="M12" s="2905">
        <v>5.2113058480521088</v>
      </c>
      <c r="N12" s="2905" t="s">
        <v>2153</v>
      </c>
      <c r="O12" s="3109">
        <f>IF(SUM(M12:N12)=0,M12,SUM(M12:N12))</f>
        <v>5.2113058480521088</v>
      </c>
      <c r="P12" s="2905">
        <v>1.0422611696104218</v>
      </c>
      <c r="Q12" s="2906">
        <v>4.1690446784416872</v>
      </c>
      <c r="R12" s="2906" t="s">
        <v>2153</v>
      </c>
      <c r="S12" s="3570">
        <f>IF(SUM(O12:R12)=0,Q12,SUM(O12:R12)*-44/12)</f>
        <v>-38.216242885715467</v>
      </c>
      <c r="U12" s="2398"/>
    </row>
    <row r="13" spans="2:21" ht="18" customHeight="1" x14ac:dyDescent="0.25">
      <c r="B13" s="493" t="s">
        <v>994</v>
      </c>
      <c r="C13" s="504"/>
      <c r="D13" s="3589">
        <f>IF(SUM(D14,D17,D19,D21,D23)=0,"IE",SUM(D14,D17,D19,D21,D23))</f>
        <v>193.14892637476407</v>
      </c>
      <c r="E13" s="3591">
        <f t="shared" ref="E13:S13" si="11">IF(SUM(E14,E17,E19,E21,E23)=0,"IE",SUM(E14,E17,E19,E21,E23))</f>
        <v>149.79</v>
      </c>
      <c r="F13" s="3595">
        <f t="shared" si="11"/>
        <v>43.358926374764089</v>
      </c>
      <c r="G13" s="3558" t="str">
        <f t="shared" si="4"/>
        <v>NA</v>
      </c>
      <c r="H13" s="3078">
        <f t="shared" si="5"/>
        <v>-11.689428557814692</v>
      </c>
      <c r="I13" s="3078">
        <f t="shared" si="6"/>
        <v>-11.689428557814692</v>
      </c>
      <c r="J13" s="3078">
        <f t="shared" si="7"/>
        <v>1.3861975466131267</v>
      </c>
      <c r="K13" s="3573">
        <f t="shared" si="8"/>
        <v>-0.67650710995393559</v>
      </c>
      <c r="L13" s="3128">
        <f t="shared" si="9"/>
        <v>2.3077585942161205</v>
      </c>
      <c r="M13" s="3078" t="str">
        <f t="shared" si="11"/>
        <v>IE</v>
      </c>
      <c r="N13" s="3078">
        <f t="shared" si="11"/>
        <v>-2257.8005758764143</v>
      </c>
      <c r="O13" s="3078">
        <f t="shared" si="11"/>
        <v>-2257.8005758764143</v>
      </c>
      <c r="P13" s="3078">
        <f t="shared" si="11"/>
        <v>267.7425678716574</v>
      </c>
      <c r="Q13" s="3573">
        <f t="shared" si="11"/>
        <v>-101.334</v>
      </c>
      <c r="R13" s="3573">
        <f t="shared" si="11"/>
        <v>100.06193497734584</v>
      </c>
      <c r="S13" s="3570">
        <f t="shared" si="11"/>
        <v>7301.5436011005067</v>
      </c>
      <c r="U13" s="2019"/>
    </row>
    <row r="14" spans="2:21" ht="18" customHeight="1" x14ac:dyDescent="0.25">
      <c r="B14" s="495" t="s">
        <v>1101</v>
      </c>
      <c r="C14" s="504"/>
      <c r="D14" s="3599">
        <f>IF(SUM(D15:D16)=0,"IE",SUM(D15:D16))</f>
        <v>193.14892637476407</v>
      </c>
      <c r="E14" s="3564">
        <f t="shared" ref="E14:F14" si="12">IF(SUM(E15:E16)=0,"IE",SUM(E15:E16))</f>
        <v>149.79</v>
      </c>
      <c r="F14" s="3565">
        <f t="shared" si="12"/>
        <v>43.358926374764089</v>
      </c>
      <c r="G14" s="3558" t="str">
        <f t="shared" si="4"/>
        <v>NA</v>
      </c>
      <c r="H14" s="3078">
        <f t="shared" si="5"/>
        <v>-11.689428557814692</v>
      </c>
      <c r="I14" s="3078">
        <f t="shared" si="6"/>
        <v>-11.689428557814692</v>
      </c>
      <c r="J14" s="3078">
        <f t="shared" si="7"/>
        <v>1.3861975466131267</v>
      </c>
      <c r="K14" s="3573">
        <f t="shared" si="8"/>
        <v>-0.67650710995393559</v>
      </c>
      <c r="L14" s="3128">
        <f t="shared" si="9"/>
        <v>2.3077585942161205</v>
      </c>
      <c r="M14" s="3506" t="str">
        <f>IF(SUM(M15:M16)=0,"IE",SUM(M15:M16))</f>
        <v>IE</v>
      </c>
      <c r="N14" s="3506">
        <f t="shared" ref="N14:S14" si="13">IF(SUM(N15:N16)=0,"IE",SUM(N15:N16))</f>
        <v>-2257.8005758764143</v>
      </c>
      <c r="O14" s="3506">
        <f t="shared" si="13"/>
        <v>-2257.8005758764143</v>
      </c>
      <c r="P14" s="3506">
        <f t="shared" si="13"/>
        <v>267.7425678716574</v>
      </c>
      <c r="Q14" s="3601">
        <f t="shared" si="13"/>
        <v>-101.334</v>
      </c>
      <c r="R14" s="3601">
        <f t="shared" si="13"/>
        <v>100.06193497734584</v>
      </c>
      <c r="S14" s="3287">
        <f t="shared" si="13"/>
        <v>7301.5436011005067</v>
      </c>
      <c r="U14" s="2019"/>
    </row>
    <row r="15" spans="2:21" ht="18" customHeight="1" x14ac:dyDescent="0.25">
      <c r="B15" s="496"/>
      <c r="C15" s="508" t="s">
        <v>2235</v>
      </c>
      <c r="D15" s="3600">
        <f>IF(SUM(E15:F15)=0,E15,SUM(E15:F15))</f>
        <v>43.358926374764089</v>
      </c>
      <c r="E15" s="3569" t="s">
        <v>2146</v>
      </c>
      <c r="F15" s="3554">
        <v>43.358926374764089</v>
      </c>
      <c r="G15" s="3558" t="str">
        <f t="shared" si="4"/>
        <v>NA</v>
      </c>
      <c r="H15" s="3078">
        <f t="shared" si="5"/>
        <v>-29.892220224132938</v>
      </c>
      <c r="I15" s="3078">
        <f t="shared" si="6"/>
        <v>-29.892220224132938</v>
      </c>
      <c r="J15" s="3078">
        <f t="shared" si="7"/>
        <v>10.088708472409389</v>
      </c>
      <c r="K15" s="3573" t="str">
        <f t="shared" si="8"/>
        <v>NA</v>
      </c>
      <c r="L15" s="3128">
        <f t="shared" si="9"/>
        <v>2.3077585942161205</v>
      </c>
      <c r="M15" s="2905" t="s">
        <v>2153</v>
      </c>
      <c r="N15" s="2905">
        <v>-1296.0945758764142</v>
      </c>
      <c r="O15" s="3109">
        <f>IF(SUM(M15:N15)=0,M15,SUM(M15:N15))</f>
        <v>-1296.0945758764142</v>
      </c>
      <c r="P15" s="2905">
        <v>437.43556787165738</v>
      </c>
      <c r="Q15" s="2906" t="s">
        <v>2146</v>
      </c>
      <c r="R15" s="2906">
        <v>100.06193497734584</v>
      </c>
      <c r="S15" s="3570">
        <f>IF(SUM(O15:R15)=0,Q15,SUM(O15:R15)*-44/12)</f>
        <v>2781.522601100507</v>
      </c>
      <c r="U15" s="2019"/>
    </row>
    <row r="16" spans="2:21" ht="18" customHeight="1" x14ac:dyDescent="0.25">
      <c r="B16" s="494"/>
      <c r="C16" s="508" t="s">
        <v>2236</v>
      </c>
      <c r="D16" s="3600">
        <f>IF(SUM(E16:F16)=0,E16,SUM(E16:F16))</f>
        <v>149.79</v>
      </c>
      <c r="E16" s="3569">
        <v>149.79</v>
      </c>
      <c r="F16" s="3554" t="s">
        <v>2153</v>
      </c>
      <c r="G16" s="3558" t="str">
        <f t="shared" si="4"/>
        <v>NA</v>
      </c>
      <c r="H16" s="3078">
        <f t="shared" si="5"/>
        <v>-6.4203618399092068</v>
      </c>
      <c r="I16" s="3078">
        <f t="shared" si="6"/>
        <v>-6.4203618399092068</v>
      </c>
      <c r="J16" s="3078">
        <f t="shared" si="7"/>
        <v>-1.1328726884304692</v>
      </c>
      <c r="K16" s="3573">
        <f t="shared" si="8"/>
        <v>-0.67650710995393559</v>
      </c>
      <c r="L16" s="3128" t="str">
        <f t="shared" si="9"/>
        <v>NA</v>
      </c>
      <c r="M16" s="2905" t="s">
        <v>2153</v>
      </c>
      <c r="N16" s="2905">
        <v>-961.70600000000002</v>
      </c>
      <c r="O16" s="3109">
        <f>IF(SUM(M16:N16)=0,M16,SUM(M16:N16))</f>
        <v>-961.70600000000002</v>
      </c>
      <c r="P16" s="2905">
        <v>-169.69299999999998</v>
      </c>
      <c r="Q16" s="2906">
        <v>-101.334</v>
      </c>
      <c r="R16" s="2906" t="s">
        <v>2153</v>
      </c>
      <c r="S16" s="3570">
        <f>IF(SUM(O16:R16)=0,Q16,SUM(O16:R16)*-44/12)</f>
        <v>4520.0209999999997</v>
      </c>
      <c r="U16" s="2398"/>
    </row>
    <row r="17" spans="2:35" ht="18" customHeight="1" x14ac:dyDescent="0.25">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5">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5">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5">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5">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5">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5">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3">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4.4" x14ac:dyDescent="0.25">
      <c r="B25" s="889"/>
      <c r="C25" s="889"/>
      <c r="D25" s="889"/>
      <c r="E25" s="889"/>
      <c r="F25" s="889"/>
      <c r="G25" s="889"/>
      <c r="H25" s="889"/>
      <c r="I25" s="889"/>
      <c r="J25" s="889"/>
      <c r="K25" s="889"/>
      <c r="L25" s="889"/>
      <c r="M25" s="889"/>
      <c r="N25" s="889"/>
      <c r="O25" s="889"/>
      <c r="P25" s="889"/>
      <c r="Q25" s="889"/>
      <c r="R25" s="889"/>
      <c r="S25" s="889"/>
    </row>
    <row r="26" spans="2:35" ht="14.4" x14ac:dyDescent="0.25">
      <c r="B26" s="893"/>
      <c r="C26" s="889"/>
      <c r="D26" s="889"/>
      <c r="E26" s="889"/>
      <c r="F26" s="889"/>
      <c r="G26" s="889"/>
      <c r="H26" s="889"/>
      <c r="I26" s="889"/>
      <c r="J26" s="889"/>
      <c r="K26" s="889"/>
      <c r="L26" s="889"/>
      <c r="M26" s="889"/>
      <c r="N26" s="889"/>
      <c r="O26" s="889"/>
      <c r="P26" s="889"/>
      <c r="Q26" s="889"/>
      <c r="R26" s="889"/>
      <c r="S26" s="889"/>
    </row>
    <row r="27" spans="2:35" ht="14.4" x14ac:dyDescent="0.25">
      <c r="B27" s="893"/>
      <c r="C27" s="889"/>
      <c r="D27" s="889"/>
      <c r="E27" s="889"/>
      <c r="F27" s="889"/>
      <c r="G27" s="889"/>
      <c r="H27" s="889"/>
      <c r="I27" s="889"/>
      <c r="J27" s="889"/>
      <c r="K27" s="889"/>
      <c r="L27" s="889"/>
      <c r="M27" s="889"/>
      <c r="N27" s="889"/>
      <c r="O27" s="889"/>
      <c r="P27" s="889"/>
      <c r="Q27" s="889"/>
      <c r="R27" s="889"/>
      <c r="S27" s="889"/>
    </row>
    <row r="28" spans="2:35" ht="14.4" x14ac:dyDescent="0.25">
      <c r="B28" s="889"/>
      <c r="C28" s="889"/>
      <c r="D28" s="889"/>
      <c r="E28" s="889"/>
      <c r="F28" s="889"/>
      <c r="G28" s="889"/>
      <c r="H28" s="889"/>
      <c r="I28" s="889"/>
      <c r="J28" s="889"/>
      <c r="K28" s="889"/>
      <c r="L28" s="889"/>
      <c r="M28" s="889"/>
      <c r="N28" s="889"/>
      <c r="O28" s="889"/>
      <c r="P28" s="889"/>
      <c r="Q28" s="889"/>
      <c r="R28" s="889"/>
      <c r="S28" s="889"/>
    </row>
    <row r="29" spans="2:35" ht="14.4" x14ac:dyDescent="0.25">
      <c r="B29" s="512"/>
      <c r="C29" s="890"/>
      <c r="D29" s="890"/>
      <c r="E29" s="890"/>
      <c r="F29" s="890"/>
      <c r="G29" s="890"/>
      <c r="H29" s="890"/>
      <c r="I29" s="890"/>
      <c r="J29" s="890"/>
      <c r="K29" s="890"/>
      <c r="L29" s="890"/>
      <c r="M29" s="890"/>
      <c r="N29" s="890"/>
      <c r="O29" s="890"/>
      <c r="P29" s="891"/>
      <c r="Q29" s="891"/>
      <c r="R29" s="891"/>
      <c r="S29" s="891"/>
      <c r="V29" s="4473"/>
      <c r="W29" s="4473"/>
      <c r="X29" s="4473"/>
      <c r="Y29" s="4473"/>
      <c r="Z29" s="4473"/>
      <c r="AA29" s="4473"/>
      <c r="AB29" s="4473"/>
      <c r="AC29" s="4473"/>
      <c r="AD29" s="4473"/>
      <c r="AE29" s="4473"/>
      <c r="AF29" s="4473"/>
      <c r="AG29" s="4473"/>
      <c r="AH29" s="4473"/>
      <c r="AI29" s="4473"/>
    </row>
    <row r="30" spans="2:35" ht="14.4" x14ac:dyDescent="0.25">
      <c r="B30" s="790"/>
      <c r="C30" s="790"/>
      <c r="D30" s="790"/>
      <c r="E30" s="790"/>
      <c r="F30" s="790"/>
      <c r="G30" s="790"/>
      <c r="H30" s="790"/>
      <c r="I30" s="790"/>
      <c r="J30" s="790"/>
      <c r="K30" s="790"/>
      <c r="L30" s="891"/>
      <c r="M30" s="891"/>
      <c r="N30" s="891"/>
      <c r="O30" s="891"/>
      <c r="P30" s="891"/>
      <c r="Q30" s="891"/>
      <c r="R30" s="891"/>
      <c r="S30" s="891"/>
    </row>
    <row r="31" spans="2:35" ht="14.4" x14ac:dyDescent="0.25">
      <c r="B31" s="790"/>
      <c r="C31" s="790"/>
      <c r="D31" s="790"/>
      <c r="E31" s="790"/>
      <c r="F31" s="790"/>
      <c r="G31" s="790"/>
      <c r="H31" s="790"/>
      <c r="I31" s="790"/>
      <c r="J31" s="790"/>
      <c r="K31" s="790"/>
      <c r="L31" s="891"/>
      <c r="M31" s="891"/>
      <c r="N31" s="891"/>
      <c r="O31" s="891"/>
      <c r="P31" s="891"/>
      <c r="Q31" s="891"/>
      <c r="R31" s="891"/>
      <c r="S31" s="891"/>
    </row>
    <row r="32" spans="2:35" ht="14.4" x14ac:dyDescent="0.25">
      <c r="B32" s="790"/>
      <c r="C32" s="790"/>
      <c r="D32" s="790"/>
      <c r="E32" s="790"/>
      <c r="F32" s="790"/>
      <c r="G32" s="790"/>
      <c r="H32" s="790"/>
      <c r="I32" s="790"/>
      <c r="J32" s="790"/>
      <c r="K32" s="790"/>
      <c r="L32" s="891"/>
      <c r="M32" s="891"/>
      <c r="N32" s="891"/>
      <c r="O32" s="891"/>
      <c r="P32" s="891"/>
      <c r="Q32" s="891"/>
      <c r="R32" s="891"/>
      <c r="S32" s="891"/>
    </row>
    <row r="33" spans="2:19" ht="14.4" x14ac:dyDescent="0.25">
      <c r="B33" s="790"/>
      <c r="C33" s="790"/>
      <c r="D33" s="790"/>
      <c r="E33" s="790"/>
      <c r="F33" s="790"/>
      <c r="G33" s="790"/>
      <c r="H33" s="790"/>
      <c r="I33" s="790"/>
      <c r="J33" s="790"/>
      <c r="K33" s="790"/>
      <c r="L33" s="891"/>
      <c r="M33" s="891"/>
      <c r="N33" s="891"/>
      <c r="O33" s="891"/>
      <c r="P33" s="891"/>
      <c r="Q33" s="891"/>
      <c r="R33" s="891"/>
      <c r="S33" s="891"/>
    </row>
    <row r="34" spans="2:19" ht="14.4" x14ac:dyDescent="0.25">
      <c r="B34" s="790"/>
      <c r="C34" s="790"/>
      <c r="D34" s="790"/>
      <c r="E34" s="790"/>
      <c r="F34" s="790"/>
      <c r="G34" s="790"/>
      <c r="H34" s="790"/>
      <c r="I34" s="790"/>
      <c r="J34" s="790"/>
      <c r="K34" s="790"/>
      <c r="L34" s="891"/>
      <c r="M34" s="891"/>
      <c r="N34" s="891"/>
      <c r="O34" s="891"/>
      <c r="P34" s="891"/>
      <c r="Q34" s="891"/>
      <c r="R34" s="891"/>
      <c r="S34" s="891"/>
    </row>
    <row r="35" spans="2:19" ht="14.4" x14ac:dyDescent="0.25">
      <c r="B35" s="790"/>
      <c r="C35" s="790"/>
      <c r="D35" s="790"/>
      <c r="E35" s="790"/>
      <c r="F35" s="790"/>
      <c r="G35" s="790"/>
      <c r="H35" s="790"/>
      <c r="I35" s="790"/>
      <c r="J35" s="790"/>
      <c r="K35" s="790"/>
      <c r="L35" s="891"/>
      <c r="M35" s="891"/>
      <c r="N35" s="891"/>
      <c r="O35" s="891"/>
      <c r="P35" s="891"/>
      <c r="Q35" s="891"/>
      <c r="R35" s="891"/>
      <c r="S35" s="891"/>
    </row>
    <row r="36" spans="2:19" ht="14.4" x14ac:dyDescent="0.25">
      <c r="B36" s="790"/>
      <c r="C36" s="790"/>
      <c r="D36" s="790"/>
      <c r="E36" s="790"/>
      <c r="F36" s="790"/>
      <c r="G36" s="790"/>
      <c r="H36" s="790"/>
      <c r="I36" s="790"/>
      <c r="J36" s="790"/>
      <c r="K36" s="790"/>
      <c r="L36" s="891"/>
      <c r="M36" s="891"/>
      <c r="N36" s="891"/>
      <c r="O36" s="891"/>
      <c r="P36" s="891"/>
      <c r="Q36" s="891"/>
      <c r="R36" s="891"/>
      <c r="S36" s="891"/>
    </row>
    <row r="37" spans="2:19" ht="14.4" x14ac:dyDescent="0.25">
      <c r="B37" s="790"/>
      <c r="C37" s="790"/>
      <c r="D37" s="790"/>
      <c r="E37" s="790"/>
      <c r="F37" s="790"/>
      <c r="G37" s="790"/>
      <c r="H37" s="790"/>
      <c r="I37" s="790"/>
      <c r="J37" s="790"/>
      <c r="K37" s="790"/>
      <c r="L37" s="891"/>
      <c r="M37" s="891"/>
      <c r="N37" s="891"/>
      <c r="O37" s="891"/>
      <c r="P37" s="891"/>
      <c r="Q37" s="891"/>
      <c r="R37" s="891"/>
      <c r="S37" s="891"/>
    </row>
    <row r="38" spans="2:19" ht="15" thickBot="1" x14ac:dyDescent="0.3">
      <c r="B38" s="790"/>
      <c r="C38" s="790"/>
      <c r="D38" s="790"/>
      <c r="E38" s="790"/>
      <c r="F38" s="790"/>
      <c r="G38" s="790"/>
      <c r="H38" s="790"/>
      <c r="I38" s="790"/>
      <c r="J38" s="790"/>
      <c r="K38" s="790"/>
      <c r="L38" s="891"/>
      <c r="M38" s="891"/>
      <c r="N38" s="891"/>
      <c r="O38" s="891"/>
      <c r="P38" s="891"/>
      <c r="Q38" s="891"/>
      <c r="R38" s="891"/>
      <c r="S38" s="891"/>
    </row>
    <row r="39" spans="2:19" x14ac:dyDescent="0.25">
      <c r="B39" s="849" t="s">
        <v>390</v>
      </c>
      <c r="C39" s="850"/>
      <c r="D39" s="850"/>
      <c r="E39" s="850"/>
      <c r="F39" s="850"/>
      <c r="G39" s="850"/>
      <c r="H39" s="850"/>
      <c r="I39" s="850"/>
      <c r="J39" s="850"/>
      <c r="K39" s="850"/>
      <c r="L39" s="850"/>
      <c r="M39" s="850"/>
      <c r="N39" s="850"/>
      <c r="O39" s="850"/>
      <c r="P39" s="850"/>
      <c r="Q39" s="850"/>
      <c r="R39" s="850"/>
      <c r="S39" s="851"/>
    </row>
    <row r="40" spans="2:19" x14ac:dyDescent="0.25">
      <c r="B40" s="1329"/>
      <c r="C40" s="1333"/>
      <c r="D40" s="1333"/>
      <c r="E40" s="1333"/>
      <c r="F40" s="1333"/>
      <c r="G40" s="1333"/>
      <c r="H40" s="1333"/>
      <c r="I40" s="1333"/>
      <c r="J40" s="1333"/>
      <c r="K40" s="1333"/>
      <c r="L40" s="1333"/>
      <c r="M40" s="1333"/>
      <c r="N40" s="1333"/>
      <c r="O40" s="1333"/>
      <c r="P40" s="1333"/>
      <c r="Q40" s="1333"/>
      <c r="R40" s="1333"/>
      <c r="S40" s="1334"/>
    </row>
    <row r="41" spans="2:19" x14ac:dyDescent="0.25">
      <c r="B41" s="1329"/>
      <c r="C41" s="1333"/>
      <c r="D41" s="1333"/>
      <c r="E41" s="1333"/>
      <c r="F41" s="1333"/>
      <c r="G41" s="1333"/>
      <c r="H41" s="1333"/>
      <c r="I41" s="1333"/>
      <c r="J41" s="1333"/>
      <c r="K41" s="1333"/>
      <c r="L41" s="1333"/>
      <c r="M41" s="1333"/>
      <c r="N41" s="1333"/>
      <c r="O41" s="1333"/>
      <c r="P41" s="1333"/>
      <c r="Q41" s="1333"/>
      <c r="R41" s="1333"/>
      <c r="S41" s="1334"/>
    </row>
    <row r="42" spans="2:19" x14ac:dyDescent="0.25">
      <c r="B42" s="1335"/>
      <c r="C42" s="1336"/>
      <c r="D42" s="1336"/>
      <c r="E42" s="1336"/>
      <c r="F42" s="1336"/>
      <c r="G42" s="1336"/>
      <c r="H42" s="1336"/>
      <c r="I42" s="1336"/>
      <c r="J42" s="1336"/>
      <c r="K42" s="1336"/>
      <c r="L42" s="1336"/>
      <c r="M42" s="1336"/>
      <c r="N42" s="1336"/>
      <c r="O42" s="1336"/>
      <c r="P42" s="1336"/>
      <c r="Q42" s="1336"/>
      <c r="R42" s="1336"/>
      <c r="S42" s="1337"/>
    </row>
    <row r="43" spans="2:19" ht="13.8" thickBot="1" x14ac:dyDescent="0.3">
      <c r="B43" s="852"/>
      <c r="C43" s="853"/>
      <c r="D43" s="853"/>
      <c r="E43" s="853"/>
      <c r="F43" s="853"/>
      <c r="G43" s="853"/>
      <c r="H43" s="853"/>
      <c r="I43" s="853"/>
      <c r="J43" s="853"/>
      <c r="K43" s="853"/>
      <c r="L43" s="853"/>
      <c r="M43" s="853"/>
      <c r="N43" s="853"/>
      <c r="O43" s="853"/>
      <c r="P43" s="853"/>
      <c r="Q43" s="853"/>
      <c r="R43" s="853"/>
      <c r="S43" s="854"/>
    </row>
    <row r="44" spans="2:19" x14ac:dyDescent="0.25">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5"/>
  <cols>
    <col min="1" max="1" width="1.88671875" style="83" customWidth="1"/>
    <col min="2" max="2" width="36.109375" style="83" customWidth="1"/>
    <col min="3" max="3" width="14.88671875" style="83" customWidth="1"/>
    <col min="4" max="6" width="11.6640625" style="83" customWidth="1"/>
    <col min="7" max="9" width="9" style="83" customWidth="1"/>
    <col min="10" max="10" width="13.88671875" style="83" customWidth="1"/>
    <col min="11" max="12" width="9.109375" style="83" customWidth="1"/>
    <col min="13" max="15" width="8.88671875" style="83" customWidth="1"/>
    <col min="16" max="16" width="14.88671875" style="83" customWidth="1"/>
    <col min="17" max="18" width="9.44140625" style="83" customWidth="1"/>
    <col min="19" max="19" width="14.5546875" style="83" customWidth="1"/>
    <col min="20" max="20" width="2.109375" style="83" customWidth="1"/>
    <col min="21" max="21" width="14.5546875" style="83" customWidth="1"/>
    <col min="22" max="25" width="13.88671875" style="83" customWidth="1"/>
    <col min="26" max="16384" width="8" style="83"/>
  </cols>
  <sheetData>
    <row r="1" spans="2:21" ht="15.6" x14ac:dyDescent="0.3">
      <c r="B1" s="13" t="s">
        <v>1106</v>
      </c>
      <c r="S1" s="14" t="s">
        <v>2521</v>
      </c>
    </row>
    <row r="2" spans="2:21" ht="15.6" x14ac:dyDescent="0.3">
      <c r="B2" s="13" t="s">
        <v>1008</v>
      </c>
      <c r="S2" s="14" t="s">
        <v>2522</v>
      </c>
    </row>
    <row r="3" spans="2:21" ht="15.6" x14ac:dyDescent="0.3">
      <c r="B3" s="13" t="s">
        <v>62</v>
      </c>
      <c r="S3" s="14" t="s">
        <v>2144</v>
      </c>
    </row>
    <row r="4" spans="2:21" ht="15.6" x14ac:dyDescent="0.3">
      <c r="B4" s="13"/>
      <c r="S4" s="226"/>
    </row>
    <row r="5" spans="2:21" ht="23.4" thickBot="1" x14ac:dyDescent="0.3">
      <c r="B5" s="2446" t="s">
        <v>64</v>
      </c>
      <c r="U5" s="2569" t="s">
        <v>1049</v>
      </c>
    </row>
    <row r="6" spans="2:21" ht="30.75" customHeight="1" x14ac:dyDescent="0.25">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68.400000000000006" x14ac:dyDescent="0.25">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2.8" x14ac:dyDescent="0.25">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 customHeight="1" thickBot="1" x14ac:dyDescent="0.3">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5">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5">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5">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13.2" x14ac:dyDescent="0.25">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5">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5">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5">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5">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5">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5">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5">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5">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3">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3.2" x14ac:dyDescent="0.25">
      <c r="B23" s="513"/>
      <c r="C23" s="513"/>
      <c r="D23" s="513"/>
      <c r="E23" s="513"/>
      <c r="F23" s="513"/>
      <c r="G23" s="513"/>
      <c r="H23" s="513"/>
      <c r="I23" s="513"/>
      <c r="J23" s="513"/>
      <c r="K23" s="513"/>
      <c r="L23" s="513"/>
      <c r="M23" s="513"/>
      <c r="N23" s="513"/>
      <c r="O23" s="513"/>
      <c r="P23" s="513"/>
      <c r="Q23" s="513"/>
      <c r="R23" s="513"/>
      <c r="S23" s="513"/>
    </row>
    <row r="24" spans="2:21" ht="14.4" x14ac:dyDescent="0.25">
      <c r="B24" s="889"/>
      <c r="C24" s="889"/>
      <c r="D24" s="889"/>
      <c r="E24" s="889"/>
      <c r="F24" s="889"/>
      <c r="G24" s="889"/>
      <c r="H24" s="889"/>
      <c r="I24" s="889"/>
      <c r="J24" s="889"/>
      <c r="K24" s="889"/>
      <c r="L24" s="889"/>
      <c r="M24" s="889"/>
      <c r="N24" s="889"/>
      <c r="O24" s="889"/>
      <c r="P24" s="889"/>
      <c r="Q24" s="889"/>
      <c r="R24" s="889"/>
      <c r="S24" s="872"/>
    </row>
    <row r="25" spans="2:21" ht="14.4" x14ac:dyDescent="0.25">
      <c r="B25" s="893"/>
      <c r="C25" s="889"/>
      <c r="D25" s="889"/>
      <c r="E25" s="889"/>
      <c r="F25" s="889"/>
      <c r="G25" s="889"/>
      <c r="H25" s="889"/>
      <c r="I25" s="889"/>
      <c r="J25" s="889"/>
      <c r="K25" s="889"/>
      <c r="L25" s="889"/>
      <c r="M25" s="889"/>
      <c r="N25" s="889"/>
      <c r="O25" s="889"/>
      <c r="P25" s="889"/>
      <c r="Q25" s="889"/>
      <c r="R25" s="889"/>
      <c r="S25" s="872"/>
    </row>
    <row r="26" spans="2:21" ht="14.4" x14ac:dyDescent="0.25">
      <c r="B26" s="894"/>
      <c r="C26" s="895"/>
      <c r="D26" s="895"/>
      <c r="E26" s="895"/>
      <c r="F26" s="895"/>
      <c r="G26" s="895"/>
      <c r="H26" s="895"/>
      <c r="I26" s="895"/>
      <c r="J26" s="895"/>
      <c r="K26" s="895"/>
      <c r="L26" s="895"/>
      <c r="M26" s="895"/>
      <c r="N26" s="895"/>
      <c r="O26" s="895"/>
      <c r="P26" s="895"/>
      <c r="Q26" s="895"/>
      <c r="R26" s="895"/>
      <c r="S26" s="895"/>
    </row>
    <row r="27" spans="2:21" ht="14.4" x14ac:dyDescent="0.25">
      <c r="B27" s="791"/>
      <c r="C27" s="791"/>
      <c r="D27" s="791"/>
      <c r="E27" s="791"/>
      <c r="F27" s="791"/>
      <c r="G27" s="791"/>
      <c r="H27" s="791"/>
      <c r="I27" s="791"/>
      <c r="J27" s="791"/>
      <c r="K27" s="791"/>
      <c r="L27" s="791"/>
      <c r="M27" s="791"/>
      <c r="N27" s="791"/>
      <c r="O27" s="791"/>
      <c r="P27" s="791"/>
      <c r="Q27" s="791"/>
      <c r="R27" s="514"/>
      <c r="S27" s="514"/>
    </row>
    <row r="28" spans="2:21" ht="14.4" x14ac:dyDescent="0.25">
      <c r="B28" s="790"/>
      <c r="C28" s="790"/>
      <c r="D28" s="790"/>
      <c r="E28" s="790"/>
      <c r="F28" s="790"/>
      <c r="G28" s="790"/>
      <c r="H28" s="790"/>
      <c r="I28" s="790"/>
      <c r="J28" s="790"/>
      <c r="K28" s="790"/>
      <c r="L28" s="514"/>
      <c r="M28" s="514"/>
      <c r="N28" s="514"/>
      <c r="O28" s="514"/>
      <c r="P28" s="514"/>
      <c r="Q28" s="514"/>
      <c r="R28" s="514"/>
      <c r="S28" s="514"/>
    </row>
    <row r="29" spans="2:21" ht="14.4" x14ac:dyDescent="0.25">
      <c r="B29" s="790"/>
      <c r="C29" s="790"/>
      <c r="D29" s="790"/>
      <c r="E29" s="790"/>
      <c r="F29" s="790"/>
      <c r="G29" s="790"/>
      <c r="H29" s="790"/>
      <c r="I29" s="790"/>
      <c r="J29" s="790"/>
      <c r="K29" s="790"/>
      <c r="L29" s="514"/>
      <c r="M29" s="514"/>
      <c r="N29" s="514"/>
      <c r="O29" s="514"/>
      <c r="P29" s="514"/>
      <c r="Q29" s="514"/>
      <c r="R29" s="514"/>
      <c r="S29" s="514"/>
    </row>
    <row r="30" spans="2:21" ht="14.4" x14ac:dyDescent="0.25">
      <c r="B30" s="790"/>
      <c r="C30" s="790"/>
      <c r="D30" s="790"/>
      <c r="E30" s="790"/>
      <c r="F30" s="790"/>
      <c r="G30" s="790"/>
      <c r="H30" s="790"/>
      <c r="I30" s="790"/>
      <c r="J30" s="790"/>
      <c r="K30" s="790"/>
      <c r="L30" s="514"/>
      <c r="M30" s="514"/>
      <c r="N30" s="514"/>
      <c r="O30" s="514"/>
      <c r="P30" s="514"/>
      <c r="Q30" s="514"/>
      <c r="R30" s="514"/>
      <c r="S30" s="514"/>
    </row>
    <row r="31" spans="2:21" ht="14.4" x14ac:dyDescent="0.25">
      <c r="B31" s="790"/>
      <c r="C31" s="790"/>
      <c r="D31" s="790"/>
      <c r="E31" s="790"/>
      <c r="F31" s="790"/>
      <c r="G31" s="790"/>
      <c r="H31" s="790"/>
      <c r="I31" s="790"/>
      <c r="J31" s="790"/>
      <c r="K31" s="790"/>
      <c r="L31" s="514"/>
      <c r="M31" s="514"/>
      <c r="N31" s="514"/>
      <c r="O31" s="514"/>
      <c r="P31" s="514"/>
      <c r="Q31" s="514"/>
      <c r="R31" s="514"/>
      <c r="S31" s="514"/>
    </row>
    <row r="32" spans="2:21" ht="14.4" x14ac:dyDescent="0.25">
      <c r="B32" s="790"/>
      <c r="C32" s="790"/>
      <c r="D32" s="790"/>
      <c r="E32" s="790"/>
      <c r="F32" s="790"/>
      <c r="G32" s="790"/>
      <c r="H32" s="790"/>
      <c r="I32" s="790"/>
      <c r="J32" s="790"/>
      <c r="K32" s="790"/>
      <c r="L32" s="514"/>
      <c r="M32" s="514"/>
      <c r="N32" s="514"/>
      <c r="O32" s="514"/>
      <c r="P32" s="514"/>
      <c r="Q32" s="514"/>
      <c r="R32" s="514"/>
      <c r="S32" s="514"/>
    </row>
    <row r="33" spans="2:19" ht="14.4" x14ac:dyDescent="0.25">
      <c r="B33" s="805"/>
      <c r="C33" s="805"/>
      <c r="D33" s="805"/>
      <c r="E33" s="805"/>
      <c r="F33" s="805"/>
      <c r="G33" s="805"/>
      <c r="H33" s="805"/>
      <c r="I33" s="805"/>
      <c r="J33" s="805"/>
      <c r="K33" s="805"/>
      <c r="L33" s="805"/>
      <c r="M33" s="805"/>
      <c r="N33" s="805"/>
      <c r="O33" s="805"/>
      <c r="P33" s="805"/>
      <c r="Q33" s="805"/>
      <c r="R33" s="805"/>
      <c r="S33" s="805"/>
    </row>
    <row r="34" spans="2:19" ht="14.4" x14ac:dyDescent="0.25">
      <c r="B34" s="805"/>
      <c r="C34" s="805"/>
      <c r="D34" s="805"/>
      <c r="E34" s="805"/>
      <c r="F34" s="805"/>
      <c r="G34" s="805"/>
      <c r="H34" s="805"/>
      <c r="I34" s="805"/>
      <c r="J34" s="805"/>
      <c r="K34" s="805"/>
      <c r="L34" s="805"/>
      <c r="M34" s="805"/>
      <c r="N34" s="805"/>
      <c r="O34" s="805"/>
      <c r="P34" s="805"/>
      <c r="Q34" s="805"/>
      <c r="R34" s="805"/>
      <c r="S34" s="805"/>
    </row>
    <row r="35" spans="2:19" ht="14.4" x14ac:dyDescent="0.25">
      <c r="B35" s="805"/>
      <c r="C35" s="805"/>
      <c r="D35" s="805"/>
      <c r="E35" s="805"/>
      <c r="F35" s="805"/>
      <c r="G35" s="805"/>
      <c r="H35" s="805"/>
      <c r="I35" s="805"/>
      <c r="J35" s="805"/>
      <c r="K35" s="805"/>
      <c r="L35" s="805"/>
      <c r="M35" s="805"/>
      <c r="N35" s="805"/>
      <c r="O35" s="805"/>
      <c r="P35" s="805"/>
      <c r="Q35" s="805"/>
      <c r="R35" s="805"/>
      <c r="S35" s="805"/>
    </row>
    <row r="36" spans="2:19" ht="15" thickBot="1" x14ac:dyDescent="0.3">
      <c r="B36" s="791"/>
      <c r="C36" s="791"/>
      <c r="D36" s="791"/>
      <c r="E36" s="791"/>
      <c r="F36" s="791"/>
      <c r="G36" s="791"/>
      <c r="H36" s="791"/>
      <c r="I36" s="791"/>
      <c r="J36" s="791"/>
      <c r="K36" s="791"/>
      <c r="L36" s="791"/>
      <c r="M36" s="791"/>
      <c r="N36" s="791"/>
      <c r="O36" s="791"/>
      <c r="P36" s="791"/>
      <c r="Q36" s="791"/>
      <c r="R36" s="791"/>
      <c r="S36" s="791"/>
    </row>
    <row r="37" spans="2:19" ht="13.2" x14ac:dyDescent="0.25">
      <c r="B37" s="849" t="s">
        <v>390</v>
      </c>
      <c r="C37" s="850"/>
      <c r="D37" s="850"/>
      <c r="E37" s="850"/>
      <c r="F37" s="850"/>
      <c r="G37" s="850"/>
      <c r="H37" s="850"/>
      <c r="I37" s="850"/>
      <c r="J37" s="850"/>
      <c r="K37" s="850"/>
      <c r="L37" s="850"/>
      <c r="M37" s="850"/>
      <c r="N37" s="850"/>
      <c r="O37" s="850"/>
      <c r="P37" s="850"/>
      <c r="Q37" s="850"/>
      <c r="R37" s="850"/>
      <c r="S37" s="851"/>
    </row>
    <row r="38" spans="2:19" ht="13.2" x14ac:dyDescent="0.25">
      <c r="B38" s="1329"/>
      <c r="C38" s="1333"/>
      <c r="D38" s="1333"/>
      <c r="E38" s="1333"/>
      <c r="F38" s="1333"/>
      <c r="G38" s="1333"/>
      <c r="H38" s="1333"/>
      <c r="I38" s="1333"/>
      <c r="J38" s="1333"/>
      <c r="K38" s="1333"/>
      <c r="L38" s="1333"/>
      <c r="M38" s="1333"/>
      <c r="N38" s="1333"/>
      <c r="O38" s="1333"/>
      <c r="P38" s="1333"/>
      <c r="Q38" s="1333"/>
      <c r="R38" s="1333"/>
      <c r="S38" s="1334"/>
    </row>
    <row r="39" spans="2:19" ht="13.2" x14ac:dyDescent="0.25">
      <c r="B39" s="1329"/>
      <c r="C39" s="1333"/>
      <c r="D39" s="1333"/>
      <c r="E39" s="1333"/>
      <c r="F39" s="1333"/>
      <c r="G39" s="1333"/>
      <c r="H39" s="1333"/>
      <c r="I39" s="1333"/>
      <c r="J39" s="1333"/>
      <c r="K39" s="1333"/>
      <c r="L39" s="1333"/>
      <c r="M39" s="1333"/>
      <c r="N39" s="1333"/>
      <c r="O39" s="1333"/>
      <c r="P39" s="1333"/>
      <c r="Q39" s="1333"/>
      <c r="R39" s="1333"/>
      <c r="S39" s="1334"/>
    </row>
    <row r="40" spans="2:19" ht="13.2" x14ac:dyDescent="0.25">
      <c r="B40" s="1338"/>
      <c r="C40" s="1336"/>
      <c r="D40" s="1336"/>
      <c r="E40" s="1336"/>
      <c r="F40" s="1336"/>
      <c r="G40" s="1336"/>
      <c r="H40" s="1336"/>
      <c r="I40" s="1336"/>
      <c r="J40" s="1336"/>
      <c r="K40" s="1336"/>
      <c r="L40" s="1336"/>
      <c r="M40" s="1336"/>
      <c r="N40" s="1336"/>
      <c r="O40" s="1336"/>
      <c r="P40" s="1336"/>
      <c r="Q40" s="1336"/>
      <c r="R40" s="1336"/>
      <c r="S40" s="1337"/>
    </row>
    <row r="41" spans="2:19" ht="13.8" thickBot="1" x14ac:dyDescent="0.3">
      <c r="B41" s="852"/>
      <c r="C41" s="853"/>
      <c r="D41" s="853"/>
      <c r="E41" s="853"/>
      <c r="F41" s="853"/>
      <c r="G41" s="853"/>
      <c r="H41" s="853"/>
      <c r="I41" s="853"/>
      <c r="J41" s="853"/>
      <c r="K41" s="853"/>
      <c r="L41" s="853"/>
      <c r="M41" s="853"/>
      <c r="N41" s="853"/>
      <c r="O41" s="853"/>
      <c r="P41" s="853"/>
      <c r="Q41" s="853"/>
      <c r="R41" s="853"/>
      <c r="S41" s="854"/>
    </row>
    <row r="42" spans="2:19" ht="12" customHeight="1" x14ac:dyDescent="0.25">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5"/>
  <cols>
    <col min="1" max="1" width="1.88671875" style="83" customWidth="1"/>
    <col min="2" max="2" width="35.109375" style="83" customWidth="1"/>
    <col min="3" max="4" width="18.5546875" style="83" customWidth="1"/>
    <col min="5" max="5" width="21.5546875" style="83" customWidth="1"/>
    <col min="6" max="7" width="18.5546875" style="83" customWidth="1"/>
    <col min="8" max="8" width="21.5546875" style="83" customWidth="1"/>
    <col min="9" max="9" width="21.44140625" style="83" customWidth="1"/>
    <col min="10" max="10" width="18.5546875" style="83" customWidth="1"/>
    <col min="11" max="11" width="17.5546875" style="83" customWidth="1"/>
    <col min="12" max="12" width="19.5546875" style="83" customWidth="1"/>
    <col min="13" max="14" width="11" style="83" customWidth="1"/>
    <col min="15" max="16384" width="8" style="83"/>
  </cols>
  <sheetData>
    <row r="1" spans="1:12" ht="15.6" x14ac:dyDescent="0.3">
      <c r="B1" s="215" t="s">
        <v>1116</v>
      </c>
      <c r="C1"/>
      <c r="D1"/>
      <c r="E1"/>
      <c r="F1"/>
      <c r="G1"/>
      <c r="H1"/>
      <c r="I1" s="226"/>
      <c r="L1" s="14" t="s">
        <v>2521</v>
      </c>
    </row>
    <row r="2" spans="1:12" ht="19.8" x14ac:dyDescent="0.4">
      <c r="B2" s="208" t="s">
        <v>1117</v>
      </c>
      <c r="C2" s="208"/>
      <c r="D2" s="208"/>
      <c r="E2" s="208"/>
      <c r="F2"/>
      <c r="G2"/>
      <c r="H2"/>
      <c r="I2" s="226"/>
      <c r="L2" s="14" t="s">
        <v>2522</v>
      </c>
    </row>
    <row r="3" spans="1:12" ht="15.6" x14ac:dyDescent="0.3">
      <c r="B3" s="515"/>
      <c r="C3" s="515"/>
      <c r="D3" s="515"/>
      <c r="E3" s="515"/>
      <c r="F3" s="1802"/>
      <c r="G3" s="1802"/>
      <c r="H3" s="1802"/>
      <c r="I3" s="226"/>
      <c r="L3" s="14" t="s">
        <v>2144</v>
      </c>
    </row>
    <row r="4" spans="1:12" ht="15.6" hidden="1" x14ac:dyDescent="0.3">
      <c r="B4" s="515"/>
      <c r="C4" s="515"/>
      <c r="D4" s="515"/>
      <c r="E4" s="515"/>
      <c r="F4" s="1802"/>
      <c r="G4" s="1802"/>
      <c r="H4" s="1802"/>
      <c r="I4" s="226"/>
      <c r="L4" s="226"/>
    </row>
    <row r="5" spans="1:12" ht="11.25" customHeight="1" thickBot="1" x14ac:dyDescent="0.3">
      <c r="B5" s="2446" t="s">
        <v>64</v>
      </c>
      <c r="F5" s="491"/>
      <c r="G5" s="491"/>
      <c r="H5" s="491"/>
    </row>
    <row r="6" spans="1:12" ht="24.75" customHeight="1" x14ac:dyDescent="0.25">
      <c r="B6" s="516" t="s">
        <v>65</v>
      </c>
      <c r="C6" s="1475" t="s">
        <v>1118</v>
      </c>
      <c r="D6" s="1476"/>
      <c r="E6" s="1477"/>
      <c r="F6" s="1475" t="s">
        <v>123</v>
      </c>
      <c r="G6" s="823"/>
      <c r="H6" s="1477"/>
      <c r="I6" s="1803" t="s">
        <v>1119</v>
      </c>
      <c r="J6" s="1804"/>
      <c r="K6" s="177"/>
      <c r="L6" s="1805"/>
    </row>
    <row r="7" spans="1:12" ht="24.75" customHeight="1" x14ac:dyDescent="0.25">
      <c r="B7" s="1588"/>
      <c r="C7" s="2318"/>
      <c r="D7" s="2319"/>
      <c r="E7" s="2320"/>
      <c r="F7" s="339" t="s">
        <v>1120</v>
      </c>
      <c r="G7" s="2325" t="s">
        <v>1121</v>
      </c>
      <c r="H7" s="2317"/>
      <c r="I7" s="339" t="s">
        <v>1122</v>
      </c>
      <c r="J7" s="327" t="s">
        <v>1978</v>
      </c>
      <c r="K7" s="327"/>
      <c r="L7" s="263" t="s">
        <v>1123</v>
      </c>
    </row>
    <row r="8" spans="1:12" ht="57" x14ac:dyDescent="0.25">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3">
      <c r="B9" s="1589"/>
      <c r="C9" s="2332" t="s">
        <v>893</v>
      </c>
      <c r="D9" s="2333"/>
      <c r="E9" s="2334"/>
      <c r="F9" s="2322" t="s">
        <v>1133</v>
      </c>
      <c r="G9" s="2022"/>
      <c r="H9" s="2323"/>
      <c r="I9" s="2329" t="s">
        <v>73</v>
      </c>
      <c r="J9" s="2330"/>
      <c r="K9" s="2330"/>
      <c r="L9" s="2331"/>
    </row>
    <row r="10" spans="1:12" ht="64.5" customHeight="1" thickTop="1" thickBot="1" x14ac:dyDescent="0.3">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5">
      <c r="A11" s="1556"/>
      <c r="B11" s="1808" t="s">
        <v>345</v>
      </c>
      <c r="C11" s="2695"/>
      <c r="D11" s="2696"/>
      <c r="E11" s="2696"/>
      <c r="F11" s="2696"/>
      <c r="G11" s="2696"/>
      <c r="H11" s="2696"/>
      <c r="I11" s="2696"/>
      <c r="J11" s="2696"/>
      <c r="K11" s="2696"/>
      <c r="L11" s="2697"/>
    </row>
    <row r="12" spans="1:12" ht="18" customHeight="1" x14ac:dyDescent="0.25">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5">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5">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5">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5">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5">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3">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5">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5">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5">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5">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5">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5">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3">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5">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5">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5">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5">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5">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5">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3">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5">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5">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3">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5">
      <c r="F36" s="491"/>
      <c r="G36" s="491"/>
      <c r="H36" s="491"/>
    </row>
    <row r="37" spans="2:12" ht="14.4" x14ac:dyDescent="0.25">
      <c r="B37" s="1020"/>
      <c r="C37" s="1072"/>
      <c r="D37" s="1072"/>
      <c r="E37" s="1072"/>
      <c r="F37" s="1072"/>
      <c r="G37" s="1072"/>
      <c r="H37" s="1072"/>
      <c r="I37" s="1072"/>
    </row>
    <row r="38" spans="2:12" ht="14.4" x14ac:dyDescent="0.25">
      <c r="B38" s="787"/>
      <c r="C38" s="787"/>
      <c r="D38" s="787"/>
      <c r="E38" s="787"/>
      <c r="F38" s="787"/>
      <c r="G38" s="787"/>
      <c r="H38" s="787"/>
      <c r="I38" s="787"/>
    </row>
    <row r="39" spans="2:12" ht="14.4" x14ac:dyDescent="0.25">
      <c r="B39" s="787"/>
      <c r="C39" s="787"/>
      <c r="D39" s="787"/>
      <c r="E39" s="787"/>
      <c r="F39" s="526"/>
      <c r="G39" s="526"/>
      <c r="H39" s="526"/>
      <c r="I39" s="526"/>
    </row>
    <row r="40" spans="2:12" ht="14.4" x14ac:dyDescent="0.25">
      <c r="B40" s="787"/>
      <c r="C40" s="517"/>
      <c r="D40" s="517"/>
      <c r="E40" s="517"/>
      <c r="F40" s="517"/>
      <c r="G40" s="517"/>
      <c r="H40" s="517"/>
      <c r="I40" s="518"/>
    </row>
    <row r="41" spans="2:12" ht="14.4" x14ac:dyDescent="0.25">
      <c r="B41" s="1116"/>
      <c r="C41" s="1116"/>
      <c r="D41" s="1116"/>
      <c r="E41" s="1116"/>
      <c r="F41" s="1116"/>
      <c r="G41" s="1116"/>
      <c r="H41" s="1116"/>
      <c r="I41" s="1116"/>
    </row>
    <row r="42" spans="2:12" ht="14.4" x14ac:dyDescent="0.25">
      <c r="B42" s="1116"/>
      <c r="C42" s="1116"/>
      <c r="D42" s="1116"/>
      <c r="E42" s="1116"/>
      <c r="F42" s="1116"/>
      <c r="G42" s="1116"/>
      <c r="H42" s="1116"/>
      <c r="I42" s="1116"/>
    </row>
    <row r="43" spans="2:12" ht="14.4" x14ac:dyDescent="0.25">
      <c r="B43" s="1116"/>
      <c r="C43" s="1116"/>
      <c r="D43" s="1116"/>
      <c r="E43" s="1116"/>
      <c r="F43" s="1116"/>
      <c r="G43" s="1116"/>
      <c r="H43" s="1116"/>
      <c r="I43" s="1116"/>
    </row>
    <row r="44" spans="2:12" ht="14.4" x14ac:dyDescent="0.25">
      <c r="B44" s="787"/>
      <c r="C44" s="787"/>
      <c r="D44" s="787"/>
      <c r="E44" s="787"/>
      <c r="F44" s="787"/>
      <c r="G44" s="787"/>
      <c r="H44" s="787"/>
      <c r="I44" s="787"/>
    </row>
    <row r="45" spans="2:12" ht="14.4" x14ac:dyDescent="0.25">
      <c r="B45" s="787"/>
      <c r="C45" s="787"/>
      <c r="D45" s="787"/>
      <c r="E45" s="787"/>
      <c r="F45" s="787"/>
      <c r="G45" s="787"/>
      <c r="H45" s="787"/>
      <c r="I45" s="787"/>
    </row>
    <row r="46" spans="2:12" ht="14.4" x14ac:dyDescent="0.25">
      <c r="B46" s="787"/>
      <c r="C46" s="787"/>
      <c r="D46" s="787"/>
      <c r="E46" s="787"/>
      <c r="F46" s="787"/>
      <c r="G46" s="787"/>
      <c r="H46" s="787"/>
      <c r="I46" s="787"/>
    </row>
    <row r="47" spans="2:12" ht="14.4" x14ac:dyDescent="0.25">
      <c r="B47" s="787"/>
      <c r="C47" s="787"/>
      <c r="D47" s="787"/>
      <c r="E47" s="787"/>
      <c r="F47" s="787"/>
      <c r="G47" s="787"/>
      <c r="H47" s="787"/>
      <c r="I47" s="787"/>
    </row>
    <row r="48" spans="2:12" ht="30.75" customHeight="1" thickBot="1" x14ac:dyDescent="0.3">
      <c r="B48" s="1117"/>
      <c r="C48" s="1118"/>
      <c r="D48" s="1118"/>
      <c r="E48" s="1118"/>
      <c r="F48" s="1118"/>
      <c r="G48" s="1118"/>
      <c r="H48" s="1118"/>
      <c r="I48" s="1118"/>
    </row>
    <row r="49" spans="2:17" ht="13.2" x14ac:dyDescent="0.25">
      <c r="B49" s="849" t="s">
        <v>390</v>
      </c>
      <c r="C49" s="900"/>
      <c r="D49" s="900"/>
      <c r="E49" s="900"/>
      <c r="F49" s="900"/>
      <c r="G49" s="900"/>
      <c r="H49" s="900"/>
      <c r="I49" s="900"/>
      <c r="J49" s="900"/>
      <c r="K49" s="900"/>
      <c r="L49" s="1115"/>
    </row>
    <row r="50" spans="2:17" ht="13.2" x14ac:dyDescent="0.25">
      <c r="B50" s="1329"/>
      <c r="C50" s="1342"/>
      <c r="D50" s="1342"/>
      <c r="E50" s="1342"/>
      <c r="F50" s="1342"/>
      <c r="G50" s="1342"/>
      <c r="H50" s="1342"/>
      <c r="I50" s="1342"/>
      <c r="J50" s="1342"/>
      <c r="K50" s="1342"/>
      <c r="L50" s="1343"/>
    </row>
    <row r="51" spans="2:17" ht="13.2" x14ac:dyDescent="0.25">
      <c r="B51" s="1329"/>
      <c r="C51" s="1342"/>
      <c r="D51" s="1342"/>
      <c r="E51" s="1342"/>
      <c r="F51" s="1342"/>
      <c r="G51" s="1342"/>
      <c r="H51" s="1342"/>
      <c r="I51" s="1342"/>
      <c r="J51" s="1342"/>
      <c r="K51" s="1342"/>
      <c r="L51" s="1343"/>
    </row>
    <row r="52" spans="2:17" ht="13.8" thickBot="1" x14ac:dyDescent="0.3">
      <c r="B52" s="1339"/>
      <c r="C52" s="1340"/>
      <c r="D52" s="1340"/>
      <c r="E52" s="1340"/>
      <c r="F52" s="1340"/>
      <c r="G52" s="1340"/>
      <c r="H52" s="1340"/>
      <c r="I52" s="1340"/>
      <c r="J52" s="1340"/>
      <c r="K52" s="1340"/>
      <c r="L52" s="1341"/>
    </row>
    <row r="53" spans="2:17" ht="13.8" thickBot="1" x14ac:dyDescent="0.3">
      <c r="B53" s="4452" t="s">
        <v>2401</v>
      </c>
      <c r="C53" s="4453"/>
      <c r="D53" s="4453"/>
      <c r="E53" s="4453"/>
      <c r="F53" s="4453"/>
      <c r="G53" s="4453"/>
      <c r="H53" s="4453"/>
      <c r="I53" s="4453"/>
      <c r="J53" s="4453"/>
      <c r="K53" s="4453"/>
      <c r="L53" s="4454"/>
    </row>
    <row r="54" spans="2:17" ht="9" customHeight="1" x14ac:dyDescent="0.25">
      <c r="B54" s="85"/>
      <c r="C54" s="85"/>
      <c r="D54" s="85"/>
      <c r="E54" s="85"/>
      <c r="F54" s="85"/>
      <c r="G54" s="85"/>
      <c r="H54" s="247"/>
      <c r="J54" s="519"/>
      <c r="K54" s="519"/>
      <c r="L54" s="519"/>
      <c r="M54" s="519"/>
      <c r="N54" s="519"/>
      <c r="O54" s="519"/>
      <c r="P54" s="519"/>
      <c r="Q54" s="519"/>
    </row>
    <row r="55" spans="2:17" ht="12.75" customHeight="1" x14ac:dyDescent="0.25">
      <c r="B55" s="4474"/>
      <c r="C55" s="4474"/>
      <c r="D55" s="4474"/>
      <c r="E55" s="4474"/>
      <c r="F55" s="4474"/>
      <c r="G55" s="4474"/>
      <c r="H55" s="4474"/>
      <c r="I55" s="4474"/>
    </row>
    <row r="56" spans="2:17" ht="12.75" customHeight="1" x14ac:dyDescent="0.25"/>
    <row r="57" spans="2:17" ht="12.75" customHeight="1" x14ac:dyDescent="0.25"/>
    <row r="58" spans="2:17" ht="12.75" customHeight="1" x14ac:dyDescent="0.25"/>
    <row r="59" spans="2:17" ht="12.75" customHeight="1" x14ac:dyDescent="0.25"/>
    <row r="60" spans="2:17" ht="12.75" customHeight="1" x14ac:dyDescent="0.25"/>
    <row r="61" spans="2:17" ht="12.75" customHeight="1" x14ac:dyDescent="0.25"/>
    <row r="62" spans="2:17" ht="12.75" customHeight="1" x14ac:dyDescent="0.25"/>
    <row r="63" spans="2:17" ht="12.75" customHeight="1" x14ac:dyDescent="0.25"/>
    <row r="64" spans="2:17"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3.2" outlineLevelRow="3" x14ac:dyDescent="0.25"/>
  <cols>
    <col min="1" max="1" width="1.88671875" style="83" customWidth="1"/>
    <col min="2" max="2" width="49.5546875" style="83" customWidth="1"/>
    <col min="3" max="10" width="18.5546875" style="83" customWidth="1"/>
    <col min="11" max="11" width="20.5546875" style="83" customWidth="1"/>
    <col min="12" max="15" width="11" style="83" customWidth="1"/>
    <col min="16" max="16384" width="8" style="83"/>
  </cols>
  <sheetData>
    <row r="1" spans="2:10" ht="15.6" x14ac:dyDescent="0.3">
      <c r="B1" s="13" t="s">
        <v>1141</v>
      </c>
      <c r="J1" s="14" t="s">
        <v>2521</v>
      </c>
    </row>
    <row r="2" spans="2:10" ht="15.6" x14ac:dyDescent="0.3">
      <c r="B2" s="520" t="s">
        <v>1142</v>
      </c>
      <c r="C2" s="520"/>
      <c r="D2" s="520"/>
      <c r="E2" s="520"/>
      <c r="J2" s="14" t="s">
        <v>2522</v>
      </c>
    </row>
    <row r="3" spans="2:10" ht="15.6" x14ac:dyDescent="0.3">
      <c r="B3" s="13" t="s">
        <v>62</v>
      </c>
      <c r="J3" s="14" t="s">
        <v>2144</v>
      </c>
    </row>
    <row r="4" spans="2:10" ht="15.6" hidden="1" x14ac:dyDescent="0.3">
      <c r="B4" s="13"/>
      <c r="J4" s="226"/>
    </row>
    <row r="5" spans="2:10" ht="15.6" hidden="1" x14ac:dyDescent="0.3">
      <c r="B5" s="13"/>
      <c r="J5" s="226"/>
    </row>
    <row r="6" spans="2:10" ht="13.8" thickBot="1" x14ac:dyDescent="0.3">
      <c r="B6" s="2446" t="s">
        <v>64</v>
      </c>
      <c r="H6" s="1431"/>
      <c r="I6" s="1431"/>
      <c r="J6" s="1431"/>
    </row>
    <row r="7" spans="2:10" x14ac:dyDescent="0.25">
      <c r="B7" s="824" t="s">
        <v>65</v>
      </c>
      <c r="C7" s="826"/>
      <c r="D7" s="1441" t="s">
        <v>419</v>
      </c>
      <c r="E7" s="824" t="s">
        <v>1143</v>
      </c>
      <c r="F7" s="826"/>
      <c r="G7" s="825"/>
      <c r="H7" s="827" t="s">
        <v>124</v>
      </c>
      <c r="I7" s="827"/>
      <c r="J7" s="828"/>
    </row>
    <row r="8" spans="2:10" ht="16.2" x14ac:dyDescent="0.3">
      <c r="B8" s="4475" t="s">
        <v>1144</v>
      </c>
      <c r="C8" s="2455" t="s">
        <v>1019</v>
      </c>
      <c r="D8" s="2823" t="s">
        <v>1145</v>
      </c>
      <c r="E8" s="907" t="s">
        <v>1146</v>
      </c>
      <c r="F8" s="906" t="s">
        <v>1147</v>
      </c>
      <c r="G8" s="521" t="s">
        <v>1148</v>
      </c>
      <c r="H8" s="522" t="s">
        <v>1149</v>
      </c>
      <c r="I8" s="522" t="s">
        <v>1150</v>
      </c>
      <c r="J8" s="523" t="s">
        <v>1151</v>
      </c>
    </row>
    <row r="9" spans="2:10" ht="15" thickBot="1" x14ac:dyDescent="0.35">
      <c r="B9" s="4476"/>
      <c r="C9" s="2456"/>
      <c r="D9" s="2824" t="s">
        <v>1012</v>
      </c>
      <c r="E9" s="908" t="s">
        <v>1152</v>
      </c>
      <c r="F9" s="806" t="s">
        <v>1153</v>
      </c>
      <c r="G9" s="524" t="s">
        <v>1154</v>
      </c>
      <c r="H9" s="904" t="s">
        <v>73</v>
      </c>
      <c r="I9" s="904"/>
      <c r="J9" s="905"/>
    </row>
    <row r="10" spans="2:10" ht="18" customHeight="1" thickTop="1" thickBot="1" x14ac:dyDescent="0.3">
      <c r="B10" s="910" t="s">
        <v>1155</v>
      </c>
      <c r="C10" s="2825"/>
      <c r="D10" s="2783"/>
      <c r="E10" s="2784"/>
      <c r="F10" s="2785"/>
      <c r="G10" s="2783"/>
      <c r="H10" s="2817" t="str">
        <f>H269</f>
        <v>IE,NE</v>
      </c>
      <c r="I10" s="2786" t="s">
        <v>2154</v>
      </c>
      <c r="J10" s="3739">
        <f>J269</f>
        <v>77.949069442985376</v>
      </c>
    </row>
    <row r="11" spans="2:10" ht="18" customHeight="1" x14ac:dyDescent="0.25">
      <c r="B11" s="909" t="s">
        <v>1156</v>
      </c>
      <c r="C11" s="2826"/>
      <c r="D11" s="2787"/>
      <c r="E11" s="2788"/>
      <c r="F11" s="2789"/>
      <c r="G11" s="2787"/>
      <c r="H11" s="2818" t="s">
        <v>2154</v>
      </c>
      <c r="I11" s="2813" t="s">
        <v>2154</v>
      </c>
      <c r="J11" s="3740" t="s">
        <v>2154</v>
      </c>
    </row>
    <row r="12" spans="2:10" ht="18" customHeight="1" collapsed="1" x14ac:dyDescent="0.25">
      <c r="B12" s="909" t="s">
        <v>1157</v>
      </c>
      <c r="C12" s="2826"/>
      <c r="D12" s="2787"/>
      <c r="E12" s="2788"/>
      <c r="F12" s="2789"/>
      <c r="G12" s="2787"/>
      <c r="H12" s="2819" t="s">
        <v>2154</v>
      </c>
      <c r="I12" s="2815" t="s">
        <v>2154</v>
      </c>
      <c r="J12" s="3741" t="s">
        <v>2154</v>
      </c>
    </row>
    <row r="13" spans="2:10" ht="18" hidden="1" customHeight="1" outlineLevel="1" x14ac:dyDescent="0.25">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5">
      <c r="B14" s="2829" t="s">
        <v>200</v>
      </c>
      <c r="C14" s="2828"/>
      <c r="D14" s="2792"/>
      <c r="E14" s="2792"/>
      <c r="F14" s="2792"/>
      <c r="G14" s="2792"/>
      <c r="H14" s="2792"/>
      <c r="I14" s="2792"/>
      <c r="J14" s="3742"/>
    </row>
    <row r="15" spans="2:10" ht="18" hidden="1" customHeight="1" outlineLevel="1" x14ac:dyDescent="0.25">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5">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5">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5">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5">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5">
      <c r="B20" s="2829" t="s">
        <v>200</v>
      </c>
      <c r="C20" s="2828"/>
      <c r="D20" s="2760"/>
      <c r="E20" s="2761"/>
      <c r="F20" s="2762"/>
      <c r="G20" s="2763"/>
      <c r="H20" s="2764"/>
      <c r="I20" s="2762"/>
      <c r="J20" s="3745"/>
    </row>
    <row r="21" spans="2:10" ht="18" hidden="1" customHeight="1" outlineLevel="1" x14ac:dyDescent="0.25">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5">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5">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3">
      <c r="B24" s="909" t="s">
        <v>1165</v>
      </c>
      <c r="C24" s="2826"/>
      <c r="D24" s="2787"/>
      <c r="E24" s="2788"/>
      <c r="F24" s="2789"/>
      <c r="G24" s="2787"/>
      <c r="H24" s="2819" t="s">
        <v>2154</v>
      </c>
      <c r="I24" s="2815" t="s">
        <v>2154</v>
      </c>
      <c r="J24" s="3741" t="s">
        <v>2154</v>
      </c>
    </row>
    <row r="25" spans="2:10" ht="18" hidden="1" customHeight="1" outlineLevel="1" x14ac:dyDescent="0.25">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5">
      <c r="B26" s="2829" t="s">
        <v>200</v>
      </c>
      <c r="C26" s="2828"/>
      <c r="D26" s="2792"/>
      <c r="E26" s="2792"/>
      <c r="F26" s="2792"/>
      <c r="G26" s="2792"/>
      <c r="H26" s="2792"/>
      <c r="I26" s="2792"/>
      <c r="J26" s="3742"/>
    </row>
    <row r="27" spans="2:10" ht="18" hidden="1" customHeight="1" outlineLevel="1" x14ac:dyDescent="0.25">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5">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5">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5">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5">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5">
      <c r="B32" s="2829" t="s">
        <v>200</v>
      </c>
      <c r="C32" s="2828"/>
      <c r="D32" s="2766"/>
      <c r="E32" s="2766"/>
      <c r="F32" s="2767"/>
      <c r="G32" s="2767"/>
      <c r="H32" s="2767"/>
      <c r="I32" s="2767"/>
      <c r="J32" s="3746"/>
    </row>
    <row r="33" spans="2:10" ht="18" hidden="1" customHeight="1" outlineLevel="1" x14ac:dyDescent="0.25">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5">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5">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5">
      <c r="B36" s="2829" t="s">
        <v>200</v>
      </c>
      <c r="C36" s="2828"/>
      <c r="D36" s="2766"/>
      <c r="E36" s="2766"/>
      <c r="F36" s="2767"/>
      <c r="G36" s="2767"/>
      <c r="H36" s="2767"/>
      <c r="I36" s="2767"/>
      <c r="J36" s="3746"/>
    </row>
    <row r="37" spans="2:10" ht="18" hidden="1" customHeight="1" outlineLevel="1" collapsed="1" x14ac:dyDescent="0.25">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5">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5">
      <c r="B39" s="2829" t="s">
        <v>200</v>
      </c>
      <c r="C39" s="2828"/>
      <c r="D39" s="2792"/>
      <c r="E39" s="2792"/>
      <c r="F39" s="2792"/>
      <c r="G39" s="2792"/>
      <c r="H39" s="2792"/>
      <c r="I39" s="2792"/>
      <c r="J39" s="3742"/>
    </row>
    <row r="40" spans="2:10" ht="18" hidden="1" customHeight="1" outlineLevel="2" x14ac:dyDescent="0.25">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5">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5">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5">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5">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5">
      <c r="B45" s="2829" t="s">
        <v>200</v>
      </c>
      <c r="C45" s="2828"/>
      <c r="D45" s="2766"/>
      <c r="E45" s="2766"/>
      <c r="F45" s="2767"/>
      <c r="G45" s="2767"/>
      <c r="H45" s="2767"/>
      <c r="I45" s="2767"/>
      <c r="J45" s="3746"/>
    </row>
    <row r="46" spans="2:10" ht="18" hidden="1" customHeight="1" outlineLevel="2" x14ac:dyDescent="0.25">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5">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5">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5">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5">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5">
      <c r="B51" s="2829" t="s">
        <v>200</v>
      </c>
      <c r="C51" s="2828"/>
      <c r="D51" s="2792"/>
      <c r="E51" s="2792"/>
      <c r="F51" s="2792"/>
      <c r="G51" s="2792"/>
      <c r="H51" s="2792"/>
      <c r="I51" s="2792"/>
      <c r="J51" s="3742"/>
    </row>
    <row r="52" spans="2:10" ht="18" hidden="1" customHeight="1" outlineLevel="2" x14ac:dyDescent="0.25">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5">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5">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5">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5">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5">
      <c r="B57" s="2829" t="s">
        <v>200</v>
      </c>
      <c r="C57" s="2828"/>
      <c r="D57" s="2766"/>
      <c r="E57" s="2766"/>
      <c r="F57" s="2767"/>
      <c r="G57" s="2767"/>
      <c r="H57" s="2767"/>
      <c r="I57" s="2767"/>
      <c r="J57" s="3746"/>
    </row>
    <row r="58" spans="2:10" ht="18" hidden="1" customHeight="1" outlineLevel="2" x14ac:dyDescent="0.25">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5">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5">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5">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5">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5">
      <c r="B63" s="2829" t="s">
        <v>200</v>
      </c>
      <c r="C63" s="2828"/>
      <c r="D63" s="2792"/>
      <c r="E63" s="2792"/>
      <c r="F63" s="2792"/>
      <c r="G63" s="2792"/>
      <c r="H63" s="2792"/>
      <c r="I63" s="2792"/>
      <c r="J63" s="3742"/>
    </row>
    <row r="64" spans="2:10" ht="18" hidden="1" customHeight="1" outlineLevel="2" x14ac:dyDescent="0.25">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5">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5">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5">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5">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5">
      <c r="B69" s="2829" t="s">
        <v>200</v>
      </c>
      <c r="C69" s="2828"/>
      <c r="D69" s="2766"/>
      <c r="E69" s="2766"/>
      <c r="F69" s="2767"/>
      <c r="G69" s="2767"/>
      <c r="H69" s="2767"/>
      <c r="I69" s="2767"/>
      <c r="J69" s="3746"/>
    </row>
    <row r="70" spans="2:10" ht="18" hidden="1" customHeight="1" outlineLevel="2" x14ac:dyDescent="0.25">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5">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5">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5">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5">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5">
      <c r="B75" s="2829" t="s">
        <v>200</v>
      </c>
      <c r="C75" s="2828"/>
      <c r="D75" s="2792"/>
      <c r="E75" s="2792"/>
      <c r="F75" s="2792"/>
      <c r="G75" s="2792"/>
      <c r="H75" s="2792"/>
      <c r="I75" s="2792"/>
      <c r="J75" s="3742"/>
    </row>
    <row r="76" spans="2:10" ht="18" hidden="1" customHeight="1" outlineLevel="2" x14ac:dyDescent="0.25">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5">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5">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5">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5">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5">
      <c r="B81" s="2829" t="s">
        <v>200</v>
      </c>
      <c r="C81" s="2828"/>
      <c r="D81" s="2766"/>
      <c r="E81" s="2766"/>
      <c r="F81" s="2767"/>
      <c r="G81" s="2767"/>
      <c r="H81" s="2767"/>
      <c r="I81" s="2767"/>
      <c r="J81" s="3746"/>
    </row>
    <row r="82" spans="2:10" ht="18" hidden="1" customHeight="1" outlineLevel="2" x14ac:dyDescent="0.25">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5">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5">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3">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5">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5">
      <c r="B87" s="2829" t="s">
        <v>200</v>
      </c>
      <c r="C87" s="2828"/>
      <c r="D87" s="2792"/>
      <c r="E87" s="2792"/>
      <c r="F87" s="2792"/>
      <c r="G87" s="2792"/>
      <c r="H87" s="2792"/>
      <c r="I87" s="2792"/>
      <c r="J87" s="3742"/>
    </row>
    <row r="88" spans="2:10" ht="18" hidden="1" customHeight="1" outlineLevel="2" x14ac:dyDescent="0.25">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5">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5">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5">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5">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5">
      <c r="B93" s="2829" t="s">
        <v>200</v>
      </c>
      <c r="C93" s="2828"/>
      <c r="D93" s="2766"/>
      <c r="E93" s="2766"/>
      <c r="F93" s="2767"/>
      <c r="G93" s="2767"/>
      <c r="H93" s="2767"/>
      <c r="I93" s="2767"/>
      <c r="J93" s="3746"/>
    </row>
    <row r="94" spans="2:10" ht="18" hidden="1" customHeight="1" outlineLevel="2" x14ac:dyDescent="0.25">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5">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3">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5">
      <c r="B97" s="1440" t="s">
        <v>1979</v>
      </c>
      <c r="C97" s="2838"/>
      <c r="D97" s="2769"/>
      <c r="E97" s="2770"/>
      <c r="F97" s="2771"/>
      <c r="G97" s="2772"/>
      <c r="H97" s="2818" t="s">
        <v>2238</v>
      </c>
      <c r="I97" s="2813" t="s">
        <v>2154</v>
      </c>
      <c r="J97" s="3740" t="s">
        <v>2154</v>
      </c>
    </row>
    <row r="98" spans="2:10" ht="18" customHeight="1" collapsed="1" x14ac:dyDescent="0.25">
      <c r="B98" s="909" t="s">
        <v>1171</v>
      </c>
      <c r="C98" s="2826"/>
      <c r="D98" s="2787"/>
      <c r="E98" s="2788"/>
      <c r="F98" s="2789"/>
      <c r="G98" s="2787"/>
      <c r="H98" s="2791" t="s">
        <v>2238</v>
      </c>
      <c r="I98" s="2801"/>
      <c r="J98" s="3741" t="s">
        <v>2154</v>
      </c>
    </row>
    <row r="99" spans="2:10" ht="18" hidden="1" customHeight="1" outlineLevel="1" x14ac:dyDescent="0.25">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5">
      <c r="B100" s="2829" t="s">
        <v>200</v>
      </c>
      <c r="C100" s="2828"/>
      <c r="D100" s="2792"/>
      <c r="E100" s="2792"/>
      <c r="F100" s="2792"/>
      <c r="G100" s="2792"/>
      <c r="H100" s="2792"/>
      <c r="I100" s="2792"/>
      <c r="J100" s="3742"/>
    </row>
    <row r="101" spans="2:10" ht="18" hidden="1" customHeight="1" outlineLevel="1" x14ac:dyDescent="0.25">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5">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5">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5">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5">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5">
      <c r="B106" s="2829" t="s">
        <v>200</v>
      </c>
      <c r="C106" s="2828"/>
      <c r="D106" s="2766"/>
      <c r="E106" s="2766"/>
      <c r="F106" s="2767"/>
      <c r="G106" s="2767"/>
      <c r="H106" s="2767"/>
      <c r="I106" s="2792"/>
      <c r="J106" s="3746"/>
    </row>
    <row r="107" spans="2:10" ht="18" hidden="1" customHeight="1" outlineLevel="1" x14ac:dyDescent="0.25">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5">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5">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3">
      <c r="B110" s="909" t="s">
        <v>1172</v>
      </c>
      <c r="C110" s="2826"/>
      <c r="D110" s="2787"/>
      <c r="E110" s="2788"/>
      <c r="F110" s="2789"/>
      <c r="G110" s="2787"/>
      <c r="H110" s="2819" t="s">
        <v>2238</v>
      </c>
      <c r="I110" s="2815" t="s">
        <v>2154</v>
      </c>
      <c r="J110" s="3741" t="s">
        <v>2154</v>
      </c>
    </row>
    <row r="111" spans="2:10" ht="18" hidden="1" customHeight="1" outlineLevel="1" x14ac:dyDescent="0.25">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5">
      <c r="B112" s="2829" t="s">
        <v>200</v>
      </c>
      <c r="C112" s="2828"/>
      <c r="D112" s="2792"/>
      <c r="E112" s="2792"/>
      <c r="F112" s="2792"/>
      <c r="G112" s="2792"/>
      <c r="H112" s="2792"/>
      <c r="I112" s="2792"/>
      <c r="J112" s="3742"/>
    </row>
    <row r="113" spans="2:10" ht="18" hidden="1" customHeight="1" outlineLevel="1" x14ac:dyDescent="0.25">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5">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5">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5">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5">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5">
      <c r="B118" s="2829" t="s">
        <v>200</v>
      </c>
      <c r="C118" s="2828"/>
      <c r="D118" s="2766"/>
      <c r="E118" s="2766"/>
      <c r="F118" s="2767"/>
      <c r="G118" s="2767"/>
      <c r="H118" s="2767"/>
      <c r="I118" s="2767"/>
      <c r="J118" s="3746"/>
    </row>
    <row r="119" spans="2:10" ht="18" hidden="1" customHeight="1" outlineLevel="1" x14ac:dyDescent="0.25">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5">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5">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5">
      <c r="B122" s="2829" t="s">
        <v>200</v>
      </c>
      <c r="C122" s="2828"/>
      <c r="D122" s="2766"/>
      <c r="E122" s="2766"/>
      <c r="F122" s="2767"/>
      <c r="G122" s="2767"/>
      <c r="H122" s="2767"/>
      <c r="I122" s="2767"/>
      <c r="J122" s="3746"/>
    </row>
    <row r="123" spans="2:10" ht="18" hidden="1" customHeight="1" outlineLevel="1" collapsed="1" x14ac:dyDescent="0.25">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5">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5">
      <c r="B125" s="2829" t="s">
        <v>200</v>
      </c>
      <c r="C125" s="2828"/>
      <c r="D125" s="2792"/>
      <c r="E125" s="2792"/>
      <c r="F125" s="2792"/>
      <c r="G125" s="2792"/>
      <c r="H125" s="2792"/>
      <c r="I125" s="2792"/>
      <c r="J125" s="3742"/>
    </row>
    <row r="126" spans="2:10" ht="18" hidden="1" customHeight="1" outlineLevel="2" x14ac:dyDescent="0.25">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5">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5">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5">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5">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5">
      <c r="B131" s="2829" t="s">
        <v>200</v>
      </c>
      <c r="C131" s="2828"/>
      <c r="D131" s="2766"/>
      <c r="E131" s="2766"/>
      <c r="F131" s="2767"/>
      <c r="G131" s="2767"/>
      <c r="H131" s="2767"/>
      <c r="I131" s="2767"/>
      <c r="J131" s="3746"/>
    </row>
    <row r="132" spans="2:10" ht="18" hidden="1" customHeight="1" outlineLevel="2" x14ac:dyDescent="0.25">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5">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5">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5">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5">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5">
      <c r="B137" s="2829" t="s">
        <v>200</v>
      </c>
      <c r="C137" s="2828"/>
      <c r="D137" s="2792"/>
      <c r="E137" s="2792"/>
      <c r="F137" s="2792"/>
      <c r="G137" s="2792"/>
      <c r="H137" s="2792"/>
      <c r="I137" s="2792"/>
      <c r="J137" s="3742"/>
    </row>
    <row r="138" spans="2:10" ht="18" hidden="1" customHeight="1" outlineLevel="2" x14ac:dyDescent="0.25">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5">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5">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5">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5">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5">
      <c r="B143" s="2829" t="s">
        <v>200</v>
      </c>
      <c r="C143" s="2828"/>
      <c r="D143" s="2766"/>
      <c r="E143" s="2766"/>
      <c r="F143" s="2767"/>
      <c r="G143" s="2767"/>
      <c r="H143" s="2767"/>
      <c r="I143" s="2767"/>
      <c r="J143" s="3746"/>
    </row>
    <row r="144" spans="2:10" ht="18" hidden="1" customHeight="1" outlineLevel="2" x14ac:dyDescent="0.25">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5">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5">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5">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5">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5">
      <c r="B149" s="2829" t="s">
        <v>200</v>
      </c>
      <c r="C149" s="2828"/>
      <c r="D149" s="2792"/>
      <c r="E149" s="2792"/>
      <c r="F149" s="2792"/>
      <c r="G149" s="2792"/>
      <c r="H149" s="2792"/>
      <c r="I149" s="2792"/>
      <c r="J149" s="3742"/>
    </row>
    <row r="150" spans="2:10" ht="18" hidden="1" customHeight="1" outlineLevel="2" x14ac:dyDescent="0.25">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5">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5">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5">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5">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5">
      <c r="B155" s="2829" t="s">
        <v>200</v>
      </c>
      <c r="C155" s="2828"/>
      <c r="D155" s="2766"/>
      <c r="E155" s="2766"/>
      <c r="F155" s="2767"/>
      <c r="G155" s="2767"/>
      <c r="H155" s="2767"/>
      <c r="I155" s="2767"/>
      <c r="J155" s="3746"/>
    </row>
    <row r="156" spans="2:10" ht="18" hidden="1" customHeight="1" outlineLevel="2" x14ac:dyDescent="0.25">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5">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5">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5">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5">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5">
      <c r="B161" s="2829" t="s">
        <v>200</v>
      </c>
      <c r="C161" s="2828"/>
      <c r="D161" s="2792"/>
      <c r="E161" s="2792"/>
      <c r="F161" s="2792"/>
      <c r="G161" s="2792"/>
      <c r="H161" s="2792"/>
      <c r="I161" s="2792"/>
      <c r="J161" s="3742"/>
    </row>
    <row r="162" spans="2:10" ht="18" hidden="1" customHeight="1" outlineLevel="2" x14ac:dyDescent="0.25">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5">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5">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5">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5">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5">
      <c r="B167" s="2829" t="s">
        <v>200</v>
      </c>
      <c r="C167" s="2828"/>
      <c r="D167" s="2766"/>
      <c r="E167" s="2766"/>
      <c r="F167" s="2767"/>
      <c r="G167" s="2767"/>
      <c r="H167" s="2767"/>
      <c r="I167" s="2767"/>
      <c r="J167" s="3746"/>
    </row>
    <row r="168" spans="2:10" ht="18" hidden="1" customHeight="1" outlineLevel="2" x14ac:dyDescent="0.25">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5">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5">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3">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5">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5">
      <c r="B173" s="2829" t="s">
        <v>200</v>
      </c>
      <c r="C173" s="2828"/>
      <c r="D173" s="2792"/>
      <c r="E173" s="2792"/>
      <c r="F173" s="2792"/>
      <c r="G173" s="2792"/>
      <c r="H173" s="2792"/>
      <c r="I173" s="2792"/>
      <c r="J173" s="3742"/>
    </row>
    <row r="174" spans="2:10" ht="18" hidden="1" customHeight="1" outlineLevel="2" x14ac:dyDescent="0.25">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5">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5">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5">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5">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5">
      <c r="B179" s="2829" t="s">
        <v>200</v>
      </c>
      <c r="C179" s="2828"/>
      <c r="D179" s="2766"/>
      <c r="E179" s="2766"/>
      <c r="F179" s="2767"/>
      <c r="G179" s="2767"/>
      <c r="H179" s="2767"/>
      <c r="I179" s="2767"/>
      <c r="J179" s="3746"/>
    </row>
    <row r="180" spans="2:10" ht="18" hidden="1" customHeight="1" outlineLevel="2" x14ac:dyDescent="0.25">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5">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3">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5">
      <c r="B183" s="1440" t="s">
        <v>1178</v>
      </c>
      <c r="C183" s="2839"/>
      <c r="D183" s="2802"/>
      <c r="E183" s="2803"/>
      <c r="F183" s="2773"/>
      <c r="G183" s="2769"/>
      <c r="H183" s="2818" t="s">
        <v>2238</v>
      </c>
      <c r="I183" s="2813" t="s">
        <v>2154</v>
      </c>
      <c r="J183" s="3748" t="s">
        <v>2154</v>
      </c>
    </row>
    <row r="184" spans="2:10" ht="18" customHeight="1" collapsed="1" x14ac:dyDescent="0.25">
      <c r="B184" s="909" t="s">
        <v>1179</v>
      </c>
      <c r="C184" s="2826"/>
      <c r="D184" s="2787"/>
      <c r="E184" s="2788"/>
      <c r="F184" s="2789"/>
      <c r="G184" s="2787"/>
      <c r="H184" s="2819" t="s">
        <v>2238</v>
      </c>
      <c r="I184" s="2801"/>
      <c r="J184" s="3741" t="s">
        <v>2154</v>
      </c>
    </row>
    <row r="185" spans="2:10" ht="18" hidden="1" customHeight="1" outlineLevel="1" x14ac:dyDescent="0.25">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5">
      <c r="B186" s="2829" t="s">
        <v>200</v>
      </c>
      <c r="C186" s="2828"/>
      <c r="D186" s="2792"/>
      <c r="E186" s="2792"/>
      <c r="F186" s="2792"/>
      <c r="G186" s="2792"/>
      <c r="H186" s="2792"/>
      <c r="I186" s="2792"/>
      <c r="J186" s="3742"/>
    </row>
    <row r="187" spans="2:10" ht="18" hidden="1" customHeight="1" outlineLevel="1" x14ac:dyDescent="0.25">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5">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5">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5">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5">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5">
      <c r="B192" s="2829" t="s">
        <v>200</v>
      </c>
      <c r="C192" s="2828"/>
      <c r="D192" s="2766"/>
      <c r="E192" s="2766"/>
      <c r="F192" s="2767"/>
      <c r="G192" s="2767"/>
      <c r="H192" s="2767"/>
      <c r="I192" s="2792"/>
      <c r="J192" s="3746"/>
    </row>
    <row r="193" spans="2:10" ht="18" hidden="1" customHeight="1" outlineLevel="1" x14ac:dyDescent="0.25">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5">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5">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3">
      <c r="B196" s="909" t="s">
        <v>1180</v>
      </c>
      <c r="C196" s="2826"/>
      <c r="D196" s="2787"/>
      <c r="E196" s="2788"/>
      <c r="F196" s="2789"/>
      <c r="G196" s="2787"/>
      <c r="H196" s="2819" t="s">
        <v>2238</v>
      </c>
      <c r="I196" s="2815" t="s">
        <v>2154</v>
      </c>
      <c r="J196" s="3741" t="s">
        <v>2154</v>
      </c>
    </row>
    <row r="197" spans="2:10" ht="18" hidden="1" customHeight="1" outlineLevel="1" x14ac:dyDescent="0.25">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5">
      <c r="B198" s="2829" t="s">
        <v>200</v>
      </c>
      <c r="C198" s="2828"/>
      <c r="D198" s="2792"/>
      <c r="E198" s="2792"/>
      <c r="F198" s="2792"/>
      <c r="G198" s="2792"/>
      <c r="H198" s="2792"/>
      <c r="I198" s="2792"/>
      <c r="J198" s="3742"/>
    </row>
    <row r="199" spans="2:10" ht="18" hidden="1" customHeight="1" outlineLevel="1" x14ac:dyDescent="0.25">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5">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5">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5">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5">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5">
      <c r="B204" s="2829" t="s">
        <v>200</v>
      </c>
      <c r="C204" s="2828"/>
      <c r="D204" s="2766"/>
      <c r="E204" s="2766"/>
      <c r="F204" s="2767"/>
      <c r="G204" s="2767"/>
      <c r="H204" s="2767"/>
      <c r="I204" s="2767"/>
      <c r="J204" s="3746"/>
    </row>
    <row r="205" spans="2:10" ht="18" hidden="1" customHeight="1" outlineLevel="1" x14ac:dyDescent="0.25">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5">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5">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5">
      <c r="B208" s="2829" t="s">
        <v>200</v>
      </c>
      <c r="C208" s="2828"/>
      <c r="D208" s="2766"/>
      <c r="E208" s="2766"/>
      <c r="F208" s="2767"/>
      <c r="G208" s="2767"/>
      <c r="H208" s="2767"/>
      <c r="I208" s="2767"/>
      <c r="J208" s="3746"/>
    </row>
    <row r="209" spans="2:10" ht="18" hidden="1" customHeight="1" outlineLevel="1" collapsed="1" x14ac:dyDescent="0.25">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5">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5">
      <c r="B211" s="2829" t="s">
        <v>200</v>
      </c>
      <c r="C211" s="2828"/>
      <c r="D211" s="2792"/>
      <c r="E211" s="2792"/>
      <c r="F211" s="2792"/>
      <c r="G211" s="2792"/>
      <c r="H211" s="2792"/>
      <c r="I211" s="2792"/>
      <c r="J211" s="3742"/>
    </row>
    <row r="212" spans="2:10" ht="18" hidden="1" customHeight="1" outlineLevel="2" x14ac:dyDescent="0.25">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5">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5">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5">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5">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5">
      <c r="B217" s="2829" t="s">
        <v>200</v>
      </c>
      <c r="C217" s="2828"/>
      <c r="D217" s="2766"/>
      <c r="E217" s="2766"/>
      <c r="F217" s="2767"/>
      <c r="G217" s="2767"/>
      <c r="H217" s="2767"/>
      <c r="I217" s="2767"/>
      <c r="J217" s="3746"/>
    </row>
    <row r="218" spans="2:10" ht="18" hidden="1" customHeight="1" outlineLevel="2" x14ac:dyDescent="0.25">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5">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5">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5">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5">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5">
      <c r="B223" s="2829" t="s">
        <v>200</v>
      </c>
      <c r="C223" s="2828"/>
      <c r="D223" s="2792"/>
      <c r="E223" s="2792"/>
      <c r="F223" s="2792"/>
      <c r="G223" s="2792"/>
      <c r="H223" s="2792"/>
      <c r="I223" s="2792"/>
      <c r="J223" s="3742"/>
    </row>
    <row r="224" spans="2:10" ht="18" hidden="1" customHeight="1" outlineLevel="2" x14ac:dyDescent="0.25">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5">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5">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5">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5">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5">
      <c r="B229" s="2829" t="s">
        <v>200</v>
      </c>
      <c r="C229" s="2828"/>
      <c r="D229" s="2766"/>
      <c r="E229" s="2766"/>
      <c r="F229" s="2767"/>
      <c r="G229" s="2767"/>
      <c r="H229" s="2767"/>
      <c r="I229" s="2767"/>
      <c r="J229" s="3746"/>
    </row>
    <row r="230" spans="2:10" ht="18" hidden="1" customHeight="1" outlineLevel="2" x14ac:dyDescent="0.25">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5">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5">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5">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5">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5">
      <c r="B235" s="2829" t="s">
        <v>200</v>
      </c>
      <c r="C235" s="2828"/>
      <c r="D235" s="2792"/>
      <c r="E235" s="2792"/>
      <c r="F235" s="2792"/>
      <c r="G235" s="2792"/>
      <c r="H235" s="2792"/>
      <c r="I235" s="2792"/>
      <c r="J235" s="3742"/>
    </row>
    <row r="236" spans="2:10" ht="18" hidden="1" customHeight="1" outlineLevel="2" x14ac:dyDescent="0.25">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5">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5">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5">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5">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5">
      <c r="B241" s="2829" t="s">
        <v>200</v>
      </c>
      <c r="C241" s="2828"/>
      <c r="D241" s="2766"/>
      <c r="E241" s="2766"/>
      <c r="F241" s="2767"/>
      <c r="G241" s="2767"/>
      <c r="H241" s="2767"/>
      <c r="I241" s="2767"/>
      <c r="J241" s="3746"/>
    </row>
    <row r="242" spans="2:10" ht="18" hidden="1" customHeight="1" outlineLevel="2" x14ac:dyDescent="0.25">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5">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5">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5">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5">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5">
      <c r="B247" s="2829" t="s">
        <v>200</v>
      </c>
      <c r="C247" s="2828"/>
      <c r="D247" s="2792"/>
      <c r="E247" s="2792"/>
      <c r="F247" s="2792"/>
      <c r="G247" s="2792"/>
      <c r="H247" s="2792"/>
      <c r="I247" s="2792"/>
      <c r="J247" s="3742"/>
    </row>
    <row r="248" spans="2:10" ht="18" hidden="1" customHeight="1" outlineLevel="2" x14ac:dyDescent="0.25">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5">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5">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5">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5">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5">
      <c r="B253" s="2829" t="s">
        <v>200</v>
      </c>
      <c r="C253" s="2828"/>
      <c r="D253" s="2766"/>
      <c r="E253" s="2766"/>
      <c r="F253" s="2767"/>
      <c r="G253" s="2767"/>
      <c r="H253" s="2767"/>
      <c r="I253" s="2767"/>
      <c r="J253" s="3746"/>
    </row>
    <row r="254" spans="2:10" ht="18" hidden="1" customHeight="1" outlineLevel="2" x14ac:dyDescent="0.25">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5">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5">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3">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5">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5">
      <c r="B259" s="2829" t="s">
        <v>200</v>
      </c>
      <c r="C259" s="2828"/>
      <c r="D259" s="2792"/>
      <c r="E259" s="2792"/>
      <c r="F259" s="2792"/>
      <c r="G259" s="2792"/>
      <c r="H259" s="2792"/>
      <c r="I259" s="2792"/>
      <c r="J259" s="3742"/>
    </row>
    <row r="260" spans="2:10" ht="18" hidden="1" customHeight="1" outlineLevel="2" x14ac:dyDescent="0.25">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5">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5">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5">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5">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5">
      <c r="B265" s="2829" t="s">
        <v>200</v>
      </c>
      <c r="C265" s="2828"/>
      <c r="D265" s="2766"/>
      <c r="E265" s="2766"/>
      <c r="F265" s="2767"/>
      <c r="G265" s="2767"/>
      <c r="H265" s="2767"/>
      <c r="I265" s="2767"/>
      <c r="J265" s="3746"/>
    </row>
    <row r="266" spans="2:10" ht="18" hidden="1" customHeight="1" outlineLevel="2" x14ac:dyDescent="0.25">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5">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3">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5">
      <c r="B269" s="1440" t="s">
        <v>1186</v>
      </c>
      <c r="C269" s="2840"/>
      <c r="D269" s="2804"/>
      <c r="E269" s="2805"/>
      <c r="F269" s="2806"/>
      <c r="G269" s="2807"/>
      <c r="H269" s="2818" t="s">
        <v>2238</v>
      </c>
      <c r="I269" s="2813" t="s">
        <v>2154</v>
      </c>
      <c r="J269" s="3748">
        <f>SUM(J270,J320)</f>
        <v>77.949069442985376</v>
      </c>
    </row>
    <row r="270" spans="2:10" ht="18" customHeight="1" x14ac:dyDescent="0.25">
      <c r="B270" s="2827" t="s">
        <v>1187</v>
      </c>
      <c r="C270" s="2828"/>
      <c r="D270" s="2808"/>
      <c r="E270" s="2809"/>
      <c r="F270" s="2810"/>
      <c r="G270" s="2811"/>
      <c r="H270" s="2819" t="s">
        <v>2154</v>
      </c>
      <c r="I270" s="2815" t="s">
        <v>2154</v>
      </c>
      <c r="J270" s="3741">
        <f>J277</f>
        <v>37.922109368052148</v>
      </c>
    </row>
    <row r="271" spans="2:10" ht="18" customHeight="1" outlineLevel="1" x14ac:dyDescent="0.25">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5">
      <c r="B272" s="2829" t="s">
        <v>200</v>
      </c>
      <c r="C272" s="2833"/>
      <c r="D272" s="3728"/>
      <c r="E272" s="2766"/>
      <c r="F272" s="2766"/>
      <c r="G272" s="2766"/>
      <c r="H272" s="2766"/>
      <c r="I272" s="2766"/>
      <c r="J272" s="3749"/>
    </row>
    <row r="273" spans="2:10" ht="18" customHeight="1" outlineLevel="1" x14ac:dyDescent="0.25">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5">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5">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5">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5">
      <c r="B277" s="2827" t="s">
        <v>1162</v>
      </c>
      <c r="C277" s="2841"/>
      <c r="D277" s="3727">
        <f t="shared" ref="D277" si="0">D302</f>
        <v>403.42006351395298</v>
      </c>
      <c r="E277" s="2755" t="s">
        <v>2147</v>
      </c>
      <c r="F277" s="2753" t="s">
        <v>2147</v>
      </c>
      <c r="G277" s="3735">
        <f>IF(SUM(D277)=0,"NA",J277*1000/D277)</f>
        <v>94.001545281945411</v>
      </c>
      <c r="H277" s="2778" t="str">
        <f t="shared" ref="H277:J277" si="1">H302</f>
        <v>NE</v>
      </c>
      <c r="I277" s="2777" t="str">
        <f t="shared" si="1"/>
        <v>NE</v>
      </c>
      <c r="J277" s="3734">
        <f t="shared" si="1"/>
        <v>37.922109368052148</v>
      </c>
    </row>
    <row r="278" spans="2:10" ht="18" customHeight="1" outlineLevel="1" x14ac:dyDescent="0.25">
      <c r="B278" s="2829" t="s">
        <v>200</v>
      </c>
      <c r="C278" s="2833"/>
      <c r="D278" s="3728"/>
      <c r="E278" s="2766"/>
      <c r="F278" s="2766"/>
      <c r="G278" s="3736"/>
      <c r="H278" s="2766"/>
      <c r="I278" s="2766"/>
      <c r="J278" s="3749"/>
    </row>
    <row r="279" spans="2:10" ht="18" customHeight="1" outlineLevel="1" x14ac:dyDescent="0.25">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5">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5">
      <c r="B281" s="2844" t="str">
        <f>B306</f>
        <v>Reservoirs</v>
      </c>
      <c r="C281" s="2835" t="str">
        <f t="shared" ref="C281:G282" si="2">C306</f>
        <v>Established Reservoirs</v>
      </c>
      <c r="D281" s="3729">
        <f t="shared" si="2"/>
        <v>169.96073385262798</v>
      </c>
      <c r="E281" s="2755" t="str">
        <f t="shared" si="2"/>
        <v>NA</v>
      </c>
      <c r="F281" s="2753" t="str">
        <f t="shared" si="2"/>
        <v>NA</v>
      </c>
      <c r="G281" s="3735">
        <f t="shared" si="2"/>
        <v>112.54201762283945</v>
      </c>
      <c r="H281" s="2780" t="str">
        <f t="shared" ref="H281" si="3">H306</f>
        <v>NA</v>
      </c>
      <c r="I281" s="2758" t="str">
        <f t="shared" ref="I281:J281" si="4">I306</f>
        <v>NA</v>
      </c>
      <c r="J281" s="3744">
        <f t="shared" si="4"/>
        <v>19.127723904433182</v>
      </c>
    </row>
    <row r="282" spans="2:10" ht="18" customHeight="1" outlineLevel="1" x14ac:dyDescent="0.25">
      <c r="B282" s="2847" t="str">
        <f>B307</f>
        <v>Other Constructed Water Bodies</v>
      </c>
      <c r="C282" s="2835" t="str">
        <f t="shared" si="2"/>
        <v>Other Constructed Water Bodies</v>
      </c>
      <c r="D282" s="3729">
        <f t="shared" si="2"/>
        <v>233.45932966132503</v>
      </c>
      <c r="E282" s="2755" t="str">
        <f t="shared" si="2"/>
        <v>NA</v>
      </c>
      <c r="F282" s="2753" t="str">
        <f t="shared" si="2"/>
        <v>NA</v>
      </c>
      <c r="G282" s="3735">
        <f t="shared" si="2"/>
        <v>80.503895436021423</v>
      </c>
      <c r="H282" s="2845" t="str">
        <f t="shared" ref="H282" si="5">H307</f>
        <v>NA</v>
      </c>
      <c r="I282" s="2846" t="str">
        <f t="shared" ref="I282:J282" si="6">I307</f>
        <v>NA</v>
      </c>
      <c r="J282" s="3744">
        <f t="shared" si="6"/>
        <v>18.794385463618966</v>
      </c>
    </row>
    <row r="283" spans="2:10" ht="18" customHeight="1" outlineLevel="1" collapsed="1" x14ac:dyDescent="0.25">
      <c r="B283" s="2573" t="s">
        <v>1188</v>
      </c>
      <c r="C283" s="2828"/>
      <c r="D283" s="3731"/>
      <c r="E283" s="2809"/>
      <c r="F283" s="2810"/>
      <c r="G283" s="3738"/>
      <c r="H283" s="2819" t="s">
        <v>2146</v>
      </c>
      <c r="I283" s="2815" t="s">
        <v>2146</v>
      </c>
      <c r="J283" s="3741" t="s">
        <v>2146</v>
      </c>
    </row>
    <row r="284" spans="2:10" ht="18" hidden="1" customHeight="1" outlineLevel="2" x14ac:dyDescent="0.25">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5">
      <c r="B285" s="2829" t="s">
        <v>200</v>
      </c>
      <c r="C285" s="2833"/>
      <c r="D285" s="3728"/>
      <c r="E285" s="2766"/>
      <c r="F285" s="2766"/>
      <c r="G285" s="3736"/>
      <c r="H285" s="2766"/>
      <c r="I285" s="2766"/>
      <c r="J285" s="3749"/>
    </row>
    <row r="286" spans="2:10" ht="18" hidden="1" customHeight="1" outlineLevel="2" x14ac:dyDescent="0.25">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5">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5">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5">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5">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5">
      <c r="B291" s="2829" t="s">
        <v>200</v>
      </c>
      <c r="C291" s="2833"/>
      <c r="D291" s="3728"/>
      <c r="E291" s="2766"/>
      <c r="F291" s="2766"/>
      <c r="G291" s="3736"/>
      <c r="H291" s="2766"/>
      <c r="I291" s="2766"/>
      <c r="J291" s="3749"/>
    </row>
    <row r="292" spans="2:10" ht="18" hidden="1" customHeight="1" outlineLevel="2" x14ac:dyDescent="0.25">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5">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5">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5">
      <c r="B295" s="2573" t="s">
        <v>1189</v>
      </c>
      <c r="C295" s="2828"/>
      <c r="D295" s="3731"/>
      <c r="E295" s="2809"/>
      <c r="F295" s="2810"/>
      <c r="G295" s="3738"/>
      <c r="H295" s="2819" t="s">
        <v>2154</v>
      </c>
      <c r="I295" s="2815" t="s">
        <v>2154</v>
      </c>
      <c r="J295" s="3741">
        <f>J302</f>
        <v>37.922109368052148</v>
      </c>
    </row>
    <row r="296" spans="2:10" ht="18" customHeight="1" outlineLevel="2" x14ac:dyDescent="0.25">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5">
      <c r="B297" s="2829" t="s">
        <v>200</v>
      </c>
      <c r="C297" s="2833"/>
      <c r="D297" s="3728"/>
      <c r="E297" s="2766"/>
      <c r="F297" s="2766"/>
      <c r="G297" s="3736"/>
      <c r="H297" s="2766"/>
      <c r="I297" s="2766"/>
      <c r="J297" s="3749"/>
    </row>
    <row r="298" spans="2:10" ht="18" customHeight="1" outlineLevel="2" x14ac:dyDescent="0.25">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5">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5">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5">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5">
      <c r="B302" s="2827" t="s">
        <v>1162</v>
      </c>
      <c r="C302" s="2841"/>
      <c r="D302" s="3727">
        <f>IF(SUM(D306:D307)=0,"NO",SUM(D306:D307))</f>
        <v>403.42006351395298</v>
      </c>
      <c r="E302" s="2755" t="s">
        <v>2147</v>
      </c>
      <c r="F302" s="2753" t="s">
        <v>2147</v>
      </c>
      <c r="G302" s="3735">
        <f>IF(SUM(D302)=0,"NA",J302*1000/D302)</f>
        <v>94.001545281945411</v>
      </c>
      <c r="H302" s="2778" t="s">
        <v>2154</v>
      </c>
      <c r="I302" s="2777" t="s">
        <v>2154</v>
      </c>
      <c r="J302" s="3734">
        <f t="shared" ref="J302" si="7">IF(SUM(J306:J307)=0,"NO",SUM(J306:J307))</f>
        <v>37.922109368052148</v>
      </c>
    </row>
    <row r="303" spans="2:10" ht="18" customHeight="1" outlineLevel="2" x14ac:dyDescent="0.25">
      <c r="B303" s="2829" t="s">
        <v>200</v>
      </c>
      <c r="C303" s="2833"/>
      <c r="D303" s="3728"/>
      <c r="E303" s="2766"/>
      <c r="F303" s="2766"/>
      <c r="G303" s="3736"/>
      <c r="H303" s="2766"/>
      <c r="I303" s="2766"/>
      <c r="J303" s="3749"/>
    </row>
    <row r="304" spans="2:10" ht="18" customHeight="1" outlineLevel="2" x14ac:dyDescent="0.25">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5">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5">
      <c r="B306" s="2844" t="s">
        <v>2230</v>
      </c>
      <c r="C306" s="2835" t="s">
        <v>2246</v>
      </c>
      <c r="D306" s="3732">
        <v>169.96073385262798</v>
      </c>
      <c r="E306" s="2755" t="s">
        <v>2147</v>
      </c>
      <c r="F306" s="2753" t="s">
        <v>2147</v>
      </c>
      <c r="G306" s="3735">
        <f>IF(SUM(D306)=0,"NA",J306*1000/D306)</f>
        <v>112.54201762283945</v>
      </c>
      <c r="H306" s="2780" t="s">
        <v>2147</v>
      </c>
      <c r="I306" s="2758" t="s">
        <v>2147</v>
      </c>
      <c r="J306" s="3744">
        <v>19.127723904433182</v>
      </c>
    </row>
    <row r="307" spans="2:10" ht="18" customHeight="1" outlineLevel="2" x14ac:dyDescent="0.25">
      <c r="B307" s="2847" t="s">
        <v>2245</v>
      </c>
      <c r="C307" s="2835" t="s">
        <v>2245</v>
      </c>
      <c r="D307" s="3732">
        <v>233.45932966132503</v>
      </c>
      <c r="E307" s="2755" t="s">
        <v>2147</v>
      </c>
      <c r="F307" s="2753" t="s">
        <v>2147</v>
      </c>
      <c r="G307" s="3735">
        <f>IF(SUM(D307)=0,"NA",J307*1000/D307)</f>
        <v>80.503895436021423</v>
      </c>
      <c r="H307" s="2780" t="s">
        <v>2147</v>
      </c>
      <c r="I307" s="2758" t="s">
        <v>2147</v>
      </c>
      <c r="J307" s="3744">
        <v>18.794385463618966</v>
      </c>
    </row>
    <row r="308" spans="2:10" ht="18" customHeight="1" outlineLevel="1" collapsed="1" x14ac:dyDescent="0.25">
      <c r="B308" s="2573" t="s">
        <v>1190</v>
      </c>
      <c r="C308" s="2828"/>
      <c r="D308" s="3731"/>
      <c r="E308" s="2809"/>
      <c r="F308" s="2810"/>
      <c r="G308" s="3738"/>
      <c r="H308" s="2778" t="s">
        <v>2154</v>
      </c>
      <c r="I308" s="2777" t="s">
        <v>2154</v>
      </c>
      <c r="J308" s="3734" t="s">
        <v>2154</v>
      </c>
    </row>
    <row r="309" spans="2:10" ht="18" hidden="1" customHeight="1" outlineLevel="2" x14ac:dyDescent="0.25">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5">
      <c r="B310" s="2829" t="s">
        <v>200</v>
      </c>
      <c r="C310" s="2833"/>
      <c r="D310" s="3728"/>
      <c r="E310" s="2766"/>
      <c r="F310" s="2766"/>
      <c r="G310" s="3736"/>
      <c r="H310" s="2766"/>
      <c r="I310" s="2766"/>
      <c r="J310" s="3749"/>
    </row>
    <row r="311" spans="2:10" ht="18" hidden="1" customHeight="1" outlineLevel="2" x14ac:dyDescent="0.25">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5">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5">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5">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5">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5">
      <c r="B316" s="2829" t="s">
        <v>200</v>
      </c>
      <c r="C316" s="2833"/>
      <c r="D316" s="3728"/>
      <c r="E316" s="2766"/>
      <c r="F316" s="2766"/>
      <c r="G316" s="3736"/>
      <c r="H316" s="2766"/>
      <c r="I316" s="2766"/>
      <c r="J316" s="3749"/>
    </row>
    <row r="317" spans="2:10" ht="18" hidden="1" customHeight="1" outlineLevel="2" x14ac:dyDescent="0.25">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5">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5">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5">
      <c r="B320" s="2827" t="s">
        <v>1191</v>
      </c>
      <c r="C320" s="2833"/>
      <c r="D320" s="3731"/>
      <c r="E320" s="2809"/>
      <c r="F320" s="2810"/>
      <c r="G320" s="3738"/>
      <c r="H320" s="2819" t="str">
        <f>H327</f>
        <v>IE</v>
      </c>
      <c r="I320" s="2815" t="s">
        <v>2154</v>
      </c>
      <c r="J320" s="3741">
        <f>J327</f>
        <v>40.026960074933235</v>
      </c>
    </row>
    <row r="321" spans="2:10" ht="18" customHeight="1" outlineLevel="1" x14ac:dyDescent="0.25">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5">
      <c r="B322" s="2829" t="s">
        <v>200</v>
      </c>
      <c r="C322" s="2833"/>
      <c r="D322" s="3728"/>
      <c r="E322" s="2766"/>
      <c r="F322" s="2766"/>
      <c r="G322" s="3736"/>
      <c r="H322" s="2766"/>
      <c r="I322" s="2766"/>
      <c r="J322" s="3749"/>
    </row>
    <row r="323" spans="2:10" ht="18" customHeight="1" outlineLevel="1" x14ac:dyDescent="0.25">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5">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5">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5">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5">
      <c r="B327" s="2827" t="s">
        <v>1162</v>
      </c>
      <c r="C327" s="2841"/>
      <c r="D327" s="3727">
        <f>D331</f>
        <v>203.3066536973443</v>
      </c>
      <c r="E327" s="2776" t="str">
        <f t="shared" ref="E327:J327" si="8">E331</f>
        <v>NA</v>
      </c>
      <c r="F327" s="2777" t="str">
        <f t="shared" si="8"/>
        <v>NA</v>
      </c>
      <c r="G327" s="3737">
        <f t="shared" si="8"/>
        <v>196.87973485865353</v>
      </c>
      <c r="H327" s="2778" t="str">
        <f t="shared" si="8"/>
        <v>IE</v>
      </c>
      <c r="I327" s="2777" t="str">
        <f t="shared" si="8"/>
        <v>NA</v>
      </c>
      <c r="J327" s="3734">
        <f t="shared" si="8"/>
        <v>40.026960074933235</v>
      </c>
    </row>
    <row r="328" spans="2:10" ht="18" customHeight="1" outlineLevel="1" x14ac:dyDescent="0.25">
      <c r="B328" s="2829" t="s">
        <v>200</v>
      </c>
      <c r="C328" s="2833"/>
      <c r="D328" s="3728"/>
      <c r="E328" s="2766"/>
      <c r="F328" s="2766"/>
      <c r="G328" s="3736"/>
      <c r="H328" s="2766"/>
      <c r="I328" s="2766"/>
      <c r="J328" s="3749"/>
    </row>
    <row r="329" spans="2:10" ht="18" customHeight="1" outlineLevel="1" x14ac:dyDescent="0.25">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5">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5">
      <c r="B331" s="2844" t="str">
        <f>B415</f>
        <v>Reservoirs</v>
      </c>
      <c r="C331" s="2835" t="str">
        <f t="shared" ref="C331:J331" si="9">C415</f>
        <v>New Reservoirs</v>
      </c>
      <c r="D331" s="3729">
        <f t="shared" si="9"/>
        <v>203.3066536973443</v>
      </c>
      <c r="E331" s="2755" t="str">
        <f t="shared" si="9"/>
        <v>NA</v>
      </c>
      <c r="F331" s="2753" t="str">
        <f t="shared" si="9"/>
        <v>NA</v>
      </c>
      <c r="G331" s="3735">
        <f t="shared" si="9"/>
        <v>196.87973485865353</v>
      </c>
      <c r="H331" s="2765" t="str">
        <f t="shared" si="9"/>
        <v>IE</v>
      </c>
      <c r="I331" s="2758" t="str">
        <f t="shared" si="9"/>
        <v>NA</v>
      </c>
      <c r="J331" s="3744">
        <f t="shared" si="9"/>
        <v>40.026960074933235</v>
      </c>
    </row>
    <row r="332" spans="2:10" ht="18" customHeight="1" outlineLevel="1" collapsed="1" x14ac:dyDescent="0.25">
      <c r="B332" s="2573" t="s">
        <v>1192</v>
      </c>
      <c r="C332" s="2828"/>
      <c r="D332" s="3731"/>
      <c r="E332" s="2809"/>
      <c r="F332" s="2810"/>
      <c r="G332" s="3738"/>
      <c r="H332" s="2819" t="s">
        <v>2146</v>
      </c>
      <c r="I332" s="2815" t="s">
        <v>2146</v>
      </c>
      <c r="J332" s="3741" t="s">
        <v>2146</v>
      </c>
    </row>
    <row r="333" spans="2:10" ht="18" hidden="1" customHeight="1" outlineLevel="2" x14ac:dyDescent="0.25">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5">
      <c r="B334" s="2829" t="s">
        <v>200</v>
      </c>
      <c r="C334" s="2833"/>
      <c r="D334" s="3728"/>
      <c r="E334" s="2766"/>
      <c r="F334" s="2766"/>
      <c r="G334" s="3736"/>
      <c r="H334" s="2766"/>
      <c r="I334" s="2766"/>
      <c r="J334" s="3749"/>
    </row>
    <row r="335" spans="2:10" ht="18" hidden="1" customHeight="1" outlineLevel="2" x14ac:dyDescent="0.25">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5">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5">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5">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5">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5">
      <c r="B340" s="2829" t="s">
        <v>200</v>
      </c>
      <c r="C340" s="2833"/>
      <c r="D340" s="3728"/>
      <c r="E340" s="2766"/>
      <c r="F340" s="2766"/>
      <c r="G340" s="3736"/>
      <c r="H340" s="2766"/>
      <c r="I340" s="2766"/>
      <c r="J340" s="3749"/>
    </row>
    <row r="341" spans="2:10" ht="18" hidden="1" customHeight="1" outlineLevel="2" x14ac:dyDescent="0.25">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5">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5">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5">
      <c r="B344" s="2842" t="s">
        <v>1193</v>
      </c>
      <c r="C344" s="2828"/>
      <c r="D344" s="3731"/>
      <c r="E344" s="2809"/>
      <c r="F344" s="2810"/>
      <c r="G344" s="3738"/>
      <c r="H344" s="2819" t="s">
        <v>2146</v>
      </c>
      <c r="I344" s="2815" t="s">
        <v>2146</v>
      </c>
      <c r="J344" s="3741" t="s">
        <v>2146</v>
      </c>
    </row>
    <row r="345" spans="2:10" ht="18" hidden="1" customHeight="1" outlineLevel="3" x14ac:dyDescent="0.25">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5">
      <c r="B346" s="2829" t="s">
        <v>200</v>
      </c>
      <c r="C346" s="2833"/>
      <c r="D346" s="3728"/>
      <c r="E346" s="2766"/>
      <c r="F346" s="2766"/>
      <c r="G346" s="3736"/>
      <c r="H346" s="2766"/>
      <c r="I346" s="2766"/>
      <c r="J346" s="3749"/>
    </row>
    <row r="347" spans="2:10" ht="18" hidden="1" customHeight="1" outlineLevel="3" x14ac:dyDescent="0.25">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5">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5">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5">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5">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5">
      <c r="B352" s="2829" t="s">
        <v>200</v>
      </c>
      <c r="C352" s="2833"/>
      <c r="D352" s="3728"/>
      <c r="E352" s="2766"/>
      <c r="F352" s="2766"/>
      <c r="G352" s="3736"/>
      <c r="H352" s="2766"/>
      <c r="I352" s="2766"/>
      <c r="J352" s="3749"/>
    </row>
    <row r="353" spans="2:10" ht="18" hidden="1" customHeight="1" outlineLevel="3" x14ac:dyDescent="0.25">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5">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5">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5">
      <c r="B356" s="2842" t="s">
        <v>1194</v>
      </c>
      <c r="C356" s="2828"/>
      <c r="D356" s="3731"/>
      <c r="E356" s="2809"/>
      <c r="F356" s="2810"/>
      <c r="G356" s="3738"/>
      <c r="H356" s="2819" t="s">
        <v>2146</v>
      </c>
      <c r="I356" s="2815" t="s">
        <v>2146</v>
      </c>
      <c r="J356" s="3741" t="s">
        <v>2146</v>
      </c>
    </row>
    <row r="357" spans="2:10" ht="18" hidden="1" customHeight="1" outlineLevel="3" x14ac:dyDescent="0.25">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5">
      <c r="B358" s="2829" t="s">
        <v>200</v>
      </c>
      <c r="C358" s="2833"/>
      <c r="D358" s="3728"/>
      <c r="E358" s="2766"/>
      <c r="F358" s="2766"/>
      <c r="G358" s="3736"/>
      <c r="H358" s="2766"/>
      <c r="I358" s="2766"/>
      <c r="J358" s="3749"/>
    </row>
    <row r="359" spans="2:10" ht="18" hidden="1" customHeight="1" outlineLevel="3" x14ac:dyDescent="0.25">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5">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5">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5">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5">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5">
      <c r="B364" s="2829" t="s">
        <v>200</v>
      </c>
      <c r="C364" s="2833"/>
      <c r="D364" s="3728"/>
      <c r="E364" s="2766"/>
      <c r="F364" s="2766"/>
      <c r="G364" s="3736"/>
      <c r="H364" s="2766"/>
      <c r="I364" s="2766"/>
      <c r="J364" s="3749"/>
    </row>
    <row r="365" spans="2:10" ht="18" hidden="1" customHeight="1" outlineLevel="3" x14ac:dyDescent="0.25">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5">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5">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5">
      <c r="B368" s="2842" t="s">
        <v>1195</v>
      </c>
      <c r="C368" s="2828"/>
      <c r="D368" s="3731"/>
      <c r="E368" s="2809"/>
      <c r="F368" s="2810"/>
      <c r="G368" s="3738"/>
      <c r="H368" s="2819" t="s">
        <v>2146</v>
      </c>
      <c r="I368" s="2815" t="s">
        <v>2146</v>
      </c>
      <c r="J368" s="3741" t="s">
        <v>2146</v>
      </c>
    </row>
    <row r="369" spans="2:10" ht="18" hidden="1" customHeight="1" outlineLevel="3" x14ac:dyDescent="0.25">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5">
      <c r="B370" s="2829" t="s">
        <v>200</v>
      </c>
      <c r="C370" s="2833"/>
      <c r="D370" s="3728"/>
      <c r="E370" s="2766"/>
      <c r="F370" s="2766"/>
      <c r="G370" s="3736"/>
      <c r="H370" s="2766"/>
      <c r="I370" s="2766"/>
      <c r="J370" s="3749"/>
    </row>
    <row r="371" spans="2:10" ht="18" hidden="1" customHeight="1" outlineLevel="3" x14ac:dyDescent="0.25">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5">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5">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5">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5">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5">
      <c r="B376" s="2829" t="s">
        <v>200</v>
      </c>
      <c r="C376" s="2833"/>
      <c r="D376" s="3728"/>
      <c r="E376" s="2766"/>
      <c r="F376" s="2766"/>
      <c r="G376" s="3736"/>
      <c r="H376" s="2766"/>
      <c r="I376" s="2766"/>
      <c r="J376" s="3749"/>
    </row>
    <row r="377" spans="2:10" ht="18" hidden="1" customHeight="1" outlineLevel="3" x14ac:dyDescent="0.25">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5">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5">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5">
      <c r="B380" s="2842" t="s">
        <v>1196</v>
      </c>
      <c r="C380" s="2828"/>
      <c r="D380" s="3731"/>
      <c r="E380" s="2809"/>
      <c r="F380" s="2810"/>
      <c r="G380" s="3738"/>
      <c r="H380" s="2819" t="s">
        <v>2146</v>
      </c>
      <c r="I380" s="2815" t="s">
        <v>2146</v>
      </c>
      <c r="J380" s="3741" t="s">
        <v>2146</v>
      </c>
    </row>
    <row r="381" spans="2:10" ht="18" hidden="1" customHeight="1" outlineLevel="3" x14ac:dyDescent="0.25">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5">
      <c r="B382" s="2829" t="s">
        <v>200</v>
      </c>
      <c r="C382" s="2833"/>
      <c r="D382" s="3728"/>
      <c r="E382" s="2766"/>
      <c r="F382" s="2766"/>
      <c r="G382" s="3736"/>
      <c r="H382" s="2766"/>
      <c r="I382" s="2766"/>
      <c r="J382" s="3749"/>
    </row>
    <row r="383" spans="2:10" ht="18" hidden="1" customHeight="1" outlineLevel="3" x14ac:dyDescent="0.25">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5">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5">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5">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5">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5">
      <c r="B388" s="2829" t="s">
        <v>200</v>
      </c>
      <c r="C388" s="2833"/>
      <c r="D388" s="3728"/>
      <c r="E388" s="2766"/>
      <c r="F388" s="2766"/>
      <c r="G388" s="3736"/>
      <c r="H388" s="2766"/>
      <c r="I388" s="2766"/>
      <c r="J388" s="3749"/>
    </row>
    <row r="389" spans="2:10" ht="18" hidden="1" customHeight="1" outlineLevel="3" x14ac:dyDescent="0.25">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5">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5">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5">
      <c r="B392" s="2842" t="s">
        <v>1197</v>
      </c>
      <c r="C392" s="2828"/>
      <c r="D392" s="3731"/>
      <c r="E392" s="2809"/>
      <c r="F392" s="2810"/>
      <c r="G392" s="3738"/>
      <c r="H392" s="2819" t="s">
        <v>2146</v>
      </c>
      <c r="I392" s="2815" t="s">
        <v>2146</v>
      </c>
      <c r="J392" s="3741" t="s">
        <v>2146</v>
      </c>
    </row>
    <row r="393" spans="2:10" ht="18" hidden="1" customHeight="1" outlineLevel="3" x14ac:dyDescent="0.25">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5">
      <c r="B394" s="2829" t="s">
        <v>200</v>
      </c>
      <c r="C394" s="2833"/>
      <c r="D394" s="3728"/>
      <c r="E394" s="2766"/>
      <c r="F394" s="2766"/>
      <c r="G394" s="3736"/>
      <c r="H394" s="2766"/>
      <c r="I394" s="2766"/>
      <c r="J394" s="3749"/>
    </row>
    <row r="395" spans="2:10" ht="18" hidden="1" customHeight="1" outlineLevel="3" x14ac:dyDescent="0.25">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5">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5">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5">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5">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5">
      <c r="B400" s="2829" t="s">
        <v>200</v>
      </c>
      <c r="C400" s="2833"/>
      <c r="D400" s="3728"/>
      <c r="E400" s="2766"/>
      <c r="F400" s="2766"/>
      <c r="G400" s="3736"/>
      <c r="H400" s="2766"/>
      <c r="I400" s="2766"/>
      <c r="J400" s="3749"/>
    </row>
    <row r="401" spans="2:10" ht="18" hidden="1" customHeight="1" outlineLevel="3" x14ac:dyDescent="0.25">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5">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5">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5">
      <c r="B404" s="2573" t="s">
        <v>1198</v>
      </c>
      <c r="C404" s="2828"/>
      <c r="D404" s="3731"/>
      <c r="E404" s="2809"/>
      <c r="F404" s="2810"/>
      <c r="G404" s="3738"/>
      <c r="H404" s="2819" t="str">
        <f>H411</f>
        <v>IE</v>
      </c>
      <c r="I404" s="2815" t="s">
        <v>2154</v>
      </c>
      <c r="J404" s="3741">
        <f>J411</f>
        <v>40.026960074933235</v>
      </c>
    </row>
    <row r="405" spans="2:10" ht="18" customHeight="1" outlineLevel="2" x14ac:dyDescent="0.25">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5">
      <c r="B406" s="2829" t="s">
        <v>200</v>
      </c>
      <c r="C406" s="2833"/>
      <c r="D406" s="3728"/>
      <c r="E406" s="2766"/>
      <c r="F406" s="2766"/>
      <c r="G406" s="3736"/>
      <c r="H406" s="2766"/>
      <c r="I406" s="2766"/>
      <c r="J406" s="3749"/>
    </row>
    <row r="407" spans="2:10" ht="18" customHeight="1" outlineLevel="2" x14ac:dyDescent="0.25">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5">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5">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5">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5">
      <c r="B411" s="2827" t="s">
        <v>1162</v>
      </c>
      <c r="C411" s="2841"/>
      <c r="D411" s="3727">
        <f>D415</f>
        <v>203.3066536973443</v>
      </c>
      <c r="E411" s="2776" t="str">
        <f t="shared" ref="E411:J411" si="10">E415</f>
        <v>NA</v>
      </c>
      <c r="F411" s="2777" t="str">
        <f t="shared" si="10"/>
        <v>NA</v>
      </c>
      <c r="G411" s="3737">
        <f t="shared" si="10"/>
        <v>196.87973485865353</v>
      </c>
      <c r="H411" s="2778" t="str">
        <f t="shared" si="10"/>
        <v>IE</v>
      </c>
      <c r="I411" s="2777" t="str">
        <f t="shared" si="10"/>
        <v>NA</v>
      </c>
      <c r="J411" s="3734">
        <f t="shared" si="10"/>
        <v>40.026960074933235</v>
      </c>
    </row>
    <row r="412" spans="2:10" ht="18" customHeight="1" outlineLevel="2" x14ac:dyDescent="0.25">
      <c r="B412" s="2829" t="s">
        <v>200</v>
      </c>
      <c r="C412" s="2833"/>
      <c r="D412" s="3728"/>
      <c r="E412" s="2766"/>
      <c r="F412" s="2766"/>
      <c r="G412" s="3736"/>
      <c r="H412" s="2766"/>
      <c r="I412" s="2766"/>
      <c r="J412" s="3749"/>
    </row>
    <row r="413" spans="2:10" ht="18" customHeight="1" outlineLevel="2" x14ac:dyDescent="0.25">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5">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5">
      <c r="B415" s="2844" t="str">
        <f>B427</f>
        <v>Reservoirs</v>
      </c>
      <c r="C415" s="2835" t="str">
        <f>C427</f>
        <v>New Reservoirs</v>
      </c>
      <c r="D415" s="3729">
        <f>D427</f>
        <v>203.3066536973443</v>
      </c>
      <c r="E415" s="2755" t="str">
        <f>E427</f>
        <v>NA</v>
      </c>
      <c r="F415" s="2753" t="str">
        <f>F427</f>
        <v>NA</v>
      </c>
      <c r="G415" s="3735">
        <f t="shared" ref="G415:J415" si="11">G427</f>
        <v>196.87973485865353</v>
      </c>
      <c r="H415" s="2780" t="str">
        <f t="shared" si="11"/>
        <v>IE</v>
      </c>
      <c r="I415" s="2758" t="str">
        <f t="shared" si="11"/>
        <v>NA</v>
      </c>
      <c r="J415" s="3744">
        <f t="shared" si="11"/>
        <v>40.026960074933235</v>
      </c>
    </row>
    <row r="416" spans="2:10" ht="18" customHeight="1" outlineLevel="2" x14ac:dyDescent="0.25">
      <c r="B416" s="2842" t="s">
        <v>1199</v>
      </c>
      <c r="C416" s="2828"/>
      <c r="D416" s="3731"/>
      <c r="E416" s="2809"/>
      <c r="F416" s="2810"/>
      <c r="G416" s="3738"/>
      <c r="H416" s="2819" t="s">
        <v>2154</v>
      </c>
      <c r="I416" s="2815" t="s">
        <v>2154</v>
      </c>
      <c r="J416" s="3741">
        <f>J423</f>
        <v>40.026960074933235</v>
      </c>
    </row>
    <row r="417" spans="2:10" ht="18" customHeight="1" outlineLevel="3" x14ac:dyDescent="0.25">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5">
      <c r="B418" s="2829" t="s">
        <v>200</v>
      </c>
      <c r="C418" s="2833"/>
      <c r="D418" s="3728"/>
      <c r="E418" s="2766"/>
      <c r="F418" s="2766"/>
      <c r="G418" s="3736"/>
      <c r="H418" s="2766"/>
      <c r="I418" s="2766"/>
      <c r="J418" s="3749"/>
    </row>
    <row r="419" spans="2:10" ht="18" customHeight="1" outlineLevel="3" x14ac:dyDescent="0.25">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5">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5">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5">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5">
      <c r="B423" s="2830" t="s">
        <v>1162</v>
      </c>
      <c r="C423" s="2841"/>
      <c r="D423" s="3727">
        <f>D427</f>
        <v>203.3066536973443</v>
      </c>
      <c r="E423" s="2776" t="str">
        <f t="shared" ref="E423:J423" si="12">E427</f>
        <v>NA</v>
      </c>
      <c r="F423" s="2777" t="str">
        <f t="shared" si="12"/>
        <v>NA</v>
      </c>
      <c r="G423" s="3737">
        <f t="shared" si="12"/>
        <v>196.87973485865353</v>
      </c>
      <c r="H423" s="2778" t="str">
        <f t="shared" si="12"/>
        <v>IE</v>
      </c>
      <c r="I423" s="2777" t="str">
        <f t="shared" si="12"/>
        <v>NA</v>
      </c>
      <c r="J423" s="3734">
        <f t="shared" si="12"/>
        <v>40.026960074933235</v>
      </c>
    </row>
    <row r="424" spans="2:10" ht="18" customHeight="1" outlineLevel="3" x14ac:dyDescent="0.25">
      <c r="B424" s="2829" t="s">
        <v>200</v>
      </c>
      <c r="C424" s="2833"/>
      <c r="D424" s="3728"/>
      <c r="E424" s="2766"/>
      <c r="F424" s="2766"/>
      <c r="G424" s="3736"/>
      <c r="H424" s="2766"/>
      <c r="I424" s="2766"/>
      <c r="J424" s="3749"/>
    </row>
    <row r="425" spans="2:10" ht="18" customHeight="1" outlineLevel="3" x14ac:dyDescent="0.25">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5">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5">
      <c r="B427" s="2844" t="s">
        <v>2230</v>
      </c>
      <c r="C427" s="2835" t="s">
        <v>2244</v>
      </c>
      <c r="D427" s="3732">
        <v>203.3066536973443</v>
      </c>
      <c r="E427" s="2755" t="s">
        <v>2147</v>
      </c>
      <c r="F427" s="2753" t="s">
        <v>2147</v>
      </c>
      <c r="G427" s="3735">
        <f>IF(SUM(D427)=0,"NA",J427*1000/D427)</f>
        <v>196.87973485865353</v>
      </c>
      <c r="H427" s="2780" t="s">
        <v>2153</v>
      </c>
      <c r="I427" s="2758" t="s">
        <v>2147</v>
      </c>
      <c r="J427" s="3744">
        <v>40.026960074933235</v>
      </c>
    </row>
    <row r="428" spans="2:10" ht="18" customHeight="1" outlineLevel="2" collapsed="1" x14ac:dyDescent="0.25">
      <c r="B428" s="2842" t="s">
        <v>1200</v>
      </c>
      <c r="C428" s="2828"/>
      <c r="D428" s="2808"/>
      <c r="E428" s="2809"/>
      <c r="F428" s="2810"/>
      <c r="G428" s="2811"/>
      <c r="H428" s="2819" t="s">
        <v>2146</v>
      </c>
      <c r="I428" s="2815" t="s">
        <v>2146</v>
      </c>
      <c r="J428" s="2816" t="s">
        <v>2146</v>
      </c>
    </row>
    <row r="429" spans="2:10" ht="18" hidden="1" customHeight="1" outlineLevel="3" x14ac:dyDescent="0.25">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5">
      <c r="B430" s="2829" t="s">
        <v>200</v>
      </c>
      <c r="C430" s="2833"/>
      <c r="D430" s="2766"/>
      <c r="E430" s="2766"/>
      <c r="F430" s="2766"/>
      <c r="G430" s="2766"/>
      <c r="H430" s="2766"/>
      <c r="I430" s="2766"/>
      <c r="J430" s="2779"/>
    </row>
    <row r="431" spans="2:10" ht="18" hidden="1" customHeight="1" outlineLevel="3" x14ac:dyDescent="0.25">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5">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5">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5">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5">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5">
      <c r="B436" s="2829" t="s">
        <v>200</v>
      </c>
      <c r="C436" s="2833"/>
      <c r="D436" s="2766"/>
      <c r="E436" s="2766"/>
      <c r="F436" s="2766"/>
      <c r="G436" s="2766"/>
      <c r="H436" s="2766"/>
      <c r="I436" s="2766"/>
      <c r="J436" s="2779"/>
    </row>
    <row r="437" spans="2:10" ht="18" hidden="1" customHeight="1" outlineLevel="3" x14ac:dyDescent="0.25">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5">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5">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5">
      <c r="B440" s="2842" t="s">
        <v>1201</v>
      </c>
      <c r="C440" s="2828"/>
      <c r="D440" s="2808"/>
      <c r="E440" s="2809"/>
      <c r="F440" s="2810"/>
      <c r="G440" s="2811"/>
      <c r="H440" s="2819" t="s">
        <v>2146</v>
      </c>
      <c r="I440" s="2815" t="s">
        <v>2146</v>
      </c>
      <c r="J440" s="2816" t="s">
        <v>2146</v>
      </c>
    </row>
    <row r="441" spans="2:10" ht="18" hidden="1" customHeight="1" outlineLevel="3" x14ac:dyDescent="0.25">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5">
      <c r="B442" s="2829" t="s">
        <v>200</v>
      </c>
      <c r="C442" s="2833"/>
      <c r="D442" s="2766"/>
      <c r="E442" s="2766"/>
      <c r="F442" s="2766"/>
      <c r="G442" s="2766"/>
      <c r="H442" s="2766"/>
      <c r="I442" s="2766"/>
      <c r="J442" s="2779"/>
    </row>
    <row r="443" spans="2:10" ht="18" hidden="1" customHeight="1" outlineLevel="3" x14ac:dyDescent="0.25">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5">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5">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5">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5">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5">
      <c r="B448" s="2829" t="s">
        <v>200</v>
      </c>
      <c r="C448" s="2833"/>
      <c r="D448" s="2766"/>
      <c r="E448" s="2766"/>
      <c r="F448" s="2766"/>
      <c r="G448" s="2766"/>
      <c r="H448" s="2766"/>
      <c r="I448" s="2766"/>
      <c r="J448" s="2779"/>
    </row>
    <row r="449" spans="2:10" ht="18" hidden="1" customHeight="1" outlineLevel="3" x14ac:dyDescent="0.25">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5">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5">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5">
      <c r="B452" s="2842" t="s">
        <v>1202</v>
      </c>
      <c r="C452" s="2828"/>
      <c r="D452" s="2808"/>
      <c r="E452" s="2809"/>
      <c r="F452" s="2810"/>
      <c r="G452" s="2811"/>
      <c r="H452" s="2819" t="s">
        <v>2146</v>
      </c>
      <c r="I452" s="2815" t="s">
        <v>2146</v>
      </c>
      <c r="J452" s="2816" t="s">
        <v>2146</v>
      </c>
    </row>
    <row r="453" spans="2:10" ht="18" hidden="1" customHeight="1" outlineLevel="3" x14ac:dyDescent="0.25">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5">
      <c r="B454" s="2829" t="s">
        <v>200</v>
      </c>
      <c r="C454" s="2833"/>
      <c r="D454" s="2766"/>
      <c r="E454" s="2766"/>
      <c r="F454" s="2766"/>
      <c r="G454" s="2766"/>
      <c r="H454" s="2766"/>
      <c r="I454" s="2766"/>
      <c r="J454" s="2779"/>
    </row>
    <row r="455" spans="2:10" ht="18" hidden="1" customHeight="1" outlineLevel="3" x14ac:dyDescent="0.25">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5">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5">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5">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5">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5">
      <c r="B460" s="2829" t="s">
        <v>200</v>
      </c>
      <c r="C460" s="2833"/>
      <c r="D460" s="2766"/>
      <c r="E460" s="2766"/>
      <c r="F460" s="2766"/>
      <c r="G460" s="2766"/>
      <c r="H460" s="2766"/>
      <c r="I460" s="2766"/>
      <c r="J460" s="2779"/>
    </row>
    <row r="461" spans="2:10" ht="18" hidden="1" customHeight="1" outlineLevel="3" x14ac:dyDescent="0.25">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5">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5">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5">
      <c r="B464" s="2842" t="s">
        <v>1203</v>
      </c>
      <c r="C464" s="2828"/>
      <c r="D464" s="2808"/>
      <c r="E464" s="2809"/>
      <c r="F464" s="2810"/>
      <c r="G464" s="2811"/>
      <c r="H464" s="2819" t="s">
        <v>2146</v>
      </c>
      <c r="I464" s="2815" t="s">
        <v>2146</v>
      </c>
      <c r="J464" s="2816" t="s">
        <v>2146</v>
      </c>
    </row>
    <row r="465" spans="2:10" ht="18" hidden="1" customHeight="1" outlineLevel="3" x14ac:dyDescent="0.25">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5">
      <c r="B466" s="2829" t="s">
        <v>200</v>
      </c>
      <c r="C466" s="2833"/>
      <c r="D466" s="2766"/>
      <c r="E466" s="2766"/>
      <c r="F466" s="2766"/>
      <c r="G466" s="2766"/>
      <c r="H466" s="2766"/>
      <c r="I466" s="2766"/>
      <c r="J466" s="2779"/>
    </row>
    <row r="467" spans="2:10" ht="18" hidden="1" customHeight="1" outlineLevel="3" x14ac:dyDescent="0.25">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5">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5">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5">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5">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5">
      <c r="B472" s="2829" t="s">
        <v>200</v>
      </c>
      <c r="C472" s="2833"/>
      <c r="D472" s="2766"/>
      <c r="E472" s="2766"/>
      <c r="F472" s="2766"/>
      <c r="G472" s="2766"/>
      <c r="H472" s="2766"/>
      <c r="I472" s="2766"/>
      <c r="J472" s="2779"/>
    </row>
    <row r="473" spans="2:10" ht="18" hidden="1" customHeight="1" outlineLevel="3" x14ac:dyDescent="0.25">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5">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5">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3">
      <c r="B476" s="2573" t="s">
        <v>1204</v>
      </c>
      <c r="C476" s="2828"/>
      <c r="D476" s="2808"/>
      <c r="E476" s="2809"/>
      <c r="F476" s="2810"/>
      <c r="G476" s="2811"/>
      <c r="H476" s="2819" t="s">
        <v>2146</v>
      </c>
      <c r="I476" s="2815" t="s">
        <v>2146</v>
      </c>
      <c r="J476" s="2816" t="s">
        <v>2146</v>
      </c>
    </row>
    <row r="477" spans="2:10" ht="18" hidden="1" customHeight="1" outlineLevel="2" x14ac:dyDescent="0.25">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5">
      <c r="B478" s="2829" t="s">
        <v>200</v>
      </c>
      <c r="C478" s="2833"/>
      <c r="D478" s="2766"/>
      <c r="E478" s="2766"/>
      <c r="F478" s="2766"/>
      <c r="G478" s="2766"/>
      <c r="H478" s="2766"/>
      <c r="I478" s="2766"/>
      <c r="J478" s="2779"/>
    </row>
    <row r="479" spans="2:10" ht="18" hidden="1" customHeight="1" outlineLevel="2" x14ac:dyDescent="0.25">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5">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5">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5">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5">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5">
      <c r="B484" s="2829" t="s">
        <v>200</v>
      </c>
      <c r="C484" s="2833"/>
      <c r="D484" s="2766"/>
      <c r="E484" s="2766"/>
      <c r="F484" s="2766"/>
      <c r="G484" s="2766"/>
      <c r="H484" s="2766"/>
      <c r="I484" s="2766"/>
      <c r="J484" s="2779"/>
    </row>
    <row r="485" spans="2:10" ht="18" hidden="1" customHeight="1" outlineLevel="2" x14ac:dyDescent="0.25">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5">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5">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5">
      <c r="B488" s="2842" t="s">
        <v>1205</v>
      </c>
      <c r="C488" s="2828"/>
      <c r="D488" s="2808"/>
      <c r="E488" s="2809"/>
      <c r="F488" s="2810"/>
      <c r="G488" s="2811"/>
      <c r="H488" s="2819" t="s">
        <v>2154</v>
      </c>
      <c r="I488" s="2815" t="s">
        <v>2154</v>
      </c>
      <c r="J488" s="2816" t="s">
        <v>2154</v>
      </c>
    </row>
    <row r="489" spans="2:10" ht="18" hidden="1" customHeight="1" outlineLevel="3" x14ac:dyDescent="0.25">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5">
      <c r="B490" s="2829" t="s">
        <v>200</v>
      </c>
      <c r="C490" s="2833"/>
      <c r="D490" s="2766"/>
      <c r="E490" s="2766"/>
      <c r="F490" s="2766"/>
      <c r="G490" s="2766"/>
      <c r="H490" s="2766"/>
      <c r="I490" s="2766"/>
      <c r="J490" s="2779"/>
    </row>
    <row r="491" spans="2:10" ht="18" hidden="1" customHeight="1" outlineLevel="3" x14ac:dyDescent="0.25">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5">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5">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5">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5">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5">
      <c r="B496" s="2829" t="s">
        <v>200</v>
      </c>
      <c r="C496" s="2833"/>
      <c r="D496" s="2766"/>
      <c r="E496" s="2766"/>
      <c r="F496" s="2766"/>
      <c r="G496" s="2766"/>
      <c r="H496" s="2766"/>
      <c r="I496" s="2766"/>
      <c r="J496" s="2779"/>
    </row>
    <row r="497" spans="2:10" ht="18" hidden="1" customHeight="1" outlineLevel="3" x14ac:dyDescent="0.25">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5">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5">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5">
      <c r="B500" s="2842" t="s">
        <v>1206</v>
      </c>
      <c r="C500" s="2828"/>
      <c r="D500" s="2808"/>
      <c r="E500" s="2809"/>
      <c r="F500" s="2810"/>
      <c r="G500" s="2811"/>
      <c r="H500" s="2819" t="s">
        <v>2146</v>
      </c>
      <c r="I500" s="2815" t="s">
        <v>2146</v>
      </c>
      <c r="J500" s="2816" t="s">
        <v>2146</v>
      </c>
    </row>
    <row r="501" spans="2:10" ht="18" hidden="1" customHeight="1" outlineLevel="3" x14ac:dyDescent="0.25">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5">
      <c r="B502" s="2829" t="s">
        <v>200</v>
      </c>
      <c r="C502" s="2833"/>
      <c r="D502" s="2766"/>
      <c r="E502" s="2766"/>
      <c r="F502" s="2766"/>
      <c r="G502" s="2766"/>
      <c r="H502" s="2766"/>
      <c r="I502" s="2766"/>
      <c r="J502" s="2779"/>
    </row>
    <row r="503" spans="2:10" ht="18" hidden="1" customHeight="1" outlineLevel="3" x14ac:dyDescent="0.25">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5">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5">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5">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5">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5">
      <c r="B508" s="2829" t="s">
        <v>200</v>
      </c>
      <c r="C508" s="2833"/>
      <c r="D508" s="2766"/>
      <c r="E508" s="2766"/>
      <c r="F508" s="2766"/>
      <c r="G508" s="2766"/>
      <c r="H508" s="2766"/>
      <c r="I508" s="2766"/>
      <c r="J508" s="2779"/>
    </row>
    <row r="509" spans="2:10" ht="18" hidden="1" customHeight="1" outlineLevel="3" x14ac:dyDescent="0.25">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5">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5">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5">
      <c r="B512" s="2842" t="s">
        <v>1207</v>
      </c>
      <c r="C512" s="2828"/>
      <c r="D512" s="2808"/>
      <c r="E512" s="2809"/>
      <c r="F512" s="2810"/>
      <c r="G512" s="2811"/>
      <c r="H512" s="2819" t="s">
        <v>2146</v>
      </c>
      <c r="I512" s="2815" t="s">
        <v>2146</v>
      </c>
      <c r="J512" s="2816" t="s">
        <v>2146</v>
      </c>
    </row>
    <row r="513" spans="2:10" ht="18" hidden="1" customHeight="1" outlineLevel="3" x14ac:dyDescent="0.25">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5">
      <c r="B514" s="2829" t="s">
        <v>200</v>
      </c>
      <c r="C514" s="2833"/>
      <c r="D514" s="2766"/>
      <c r="E514" s="2766"/>
      <c r="F514" s="2766"/>
      <c r="G514" s="2766"/>
      <c r="H514" s="2766"/>
      <c r="I514" s="2766"/>
      <c r="J514" s="2779"/>
    </row>
    <row r="515" spans="2:10" ht="18" hidden="1" customHeight="1" outlineLevel="3" x14ac:dyDescent="0.25">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5">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5">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5">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5">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5">
      <c r="B520" s="2829" t="s">
        <v>200</v>
      </c>
      <c r="C520" s="2833"/>
      <c r="D520" s="2766"/>
      <c r="E520" s="2766"/>
      <c r="F520" s="2766"/>
      <c r="G520" s="2766"/>
      <c r="H520" s="2766"/>
      <c r="I520" s="2766"/>
      <c r="J520" s="2779"/>
    </row>
    <row r="521" spans="2:10" ht="18" hidden="1" customHeight="1" outlineLevel="3" x14ac:dyDescent="0.25">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5">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5">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5">
      <c r="B524" s="2842" t="s">
        <v>1208</v>
      </c>
      <c r="C524" s="2828"/>
      <c r="D524" s="2808"/>
      <c r="E524" s="2809"/>
      <c r="F524" s="2810"/>
      <c r="G524" s="2811"/>
      <c r="H524" s="2819" t="s">
        <v>2146</v>
      </c>
      <c r="I524" s="2815" t="s">
        <v>2146</v>
      </c>
      <c r="J524" s="2816" t="s">
        <v>2146</v>
      </c>
    </row>
    <row r="525" spans="2:10" ht="18" hidden="1" customHeight="1" outlineLevel="3" x14ac:dyDescent="0.25">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5">
      <c r="B526" s="2829" t="s">
        <v>200</v>
      </c>
      <c r="C526" s="2833"/>
      <c r="D526" s="2766"/>
      <c r="E526" s="2766"/>
      <c r="F526" s="2766"/>
      <c r="G526" s="2766"/>
      <c r="H526" s="2766"/>
      <c r="I526" s="2766"/>
      <c r="J526" s="2779"/>
    </row>
    <row r="527" spans="2:10" ht="18" hidden="1" customHeight="1" outlineLevel="3" x14ac:dyDescent="0.25">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5">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5">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5">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5">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5">
      <c r="B532" s="2829" t="s">
        <v>200</v>
      </c>
      <c r="C532" s="2833"/>
      <c r="D532" s="2766"/>
      <c r="E532" s="2766"/>
      <c r="F532" s="2766"/>
      <c r="G532" s="2766"/>
      <c r="H532" s="2766"/>
      <c r="I532" s="2766"/>
      <c r="J532" s="2779"/>
    </row>
    <row r="533" spans="2:10" ht="18" hidden="1" customHeight="1" outlineLevel="3" x14ac:dyDescent="0.25">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5">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5">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3">
      <c r="B536" s="2842" t="s">
        <v>1209</v>
      </c>
      <c r="C536" s="2828"/>
      <c r="D536" s="2808"/>
      <c r="E536" s="2809"/>
      <c r="F536" s="2810"/>
      <c r="G536" s="2811"/>
      <c r="H536" s="2819" t="s">
        <v>2146</v>
      </c>
      <c r="I536" s="2815" t="s">
        <v>2146</v>
      </c>
      <c r="J536" s="2816" t="s">
        <v>2146</v>
      </c>
    </row>
    <row r="537" spans="2:10" ht="18" hidden="1" customHeight="1" outlineLevel="3" x14ac:dyDescent="0.25">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5">
      <c r="B538" s="2829" t="s">
        <v>200</v>
      </c>
      <c r="C538" s="2833"/>
      <c r="D538" s="2766"/>
      <c r="E538" s="2766"/>
      <c r="F538" s="2766"/>
      <c r="G538" s="2766"/>
      <c r="H538" s="2766"/>
      <c r="I538" s="2766"/>
      <c r="J538" s="2779"/>
    </row>
    <row r="539" spans="2:10" ht="18" hidden="1" customHeight="1" outlineLevel="3" x14ac:dyDescent="0.25">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5">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5">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5">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5">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5">
      <c r="B544" s="2829" t="s">
        <v>200</v>
      </c>
      <c r="C544" s="2833"/>
      <c r="D544" s="2766"/>
      <c r="E544" s="2766"/>
      <c r="F544" s="2766"/>
      <c r="G544" s="2766"/>
      <c r="H544" s="2766"/>
      <c r="I544" s="2766"/>
      <c r="J544" s="2779"/>
    </row>
    <row r="545" spans="2:10" ht="18" hidden="1" customHeight="1" outlineLevel="3" x14ac:dyDescent="0.25">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5">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3">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5">
      <c r="B548" s="1440" t="s">
        <v>1900</v>
      </c>
      <c r="C548" s="2839"/>
      <c r="D548" s="2802"/>
      <c r="E548" s="2803"/>
      <c r="F548" s="2773"/>
      <c r="G548" s="2769"/>
      <c r="H548" s="2818" t="s">
        <v>2154</v>
      </c>
      <c r="I548" s="2813" t="s">
        <v>2154</v>
      </c>
      <c r="J548" s="2774" t="s">
        <v>2154</v>
      </c>
    </row>
    <row r="549" spans="2:10" ht="18" customHeight="1" collapsed="1" x14ac:dyDescent="0.25">
      <c r="B549" s="909" t="s">
        <v>1210</v>
      </c>
      <c r="C549" s="2826"/>
      <c r="D549" s="2808"/>
      <c r="E549" s="2809"/>
      <c r="F549" s="2810"/>
      <c r="G549" s="2811"/>
      <c r="H549" s="2819" t="s">
        <v>2154</v>
      </c>
      <c r="I549" s="2815" t="s">
        <v>2154</v>
      </c>
      <c r="J549" s="2816" t="s">
        <v>2154</v>
      </c>
    </row>
    <row r="550" spans="2:10" ht="18" hidden="1" customHeight="1" outlineLevel="1" x14ac:dyDescent="0.25">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5">
      <c r="B551" s="2829" t="s">
        <v>200</v>
      </c>
      <c r="C551" s="2833"/>
      <c r="D551" s="2766"/>
      <c r="E551" s="2766"/>
      <c r="F551" s="2766"/>
      <c r="G551" s="2766"/>
      <c r="H551" s="2766"/>
      <c r="I551" s="2766"/>
      <c r="J551" s="2779"/>
    </row>
    <row r="552" spans="2:10" ht="18" hidden="1" customHeight="1" outlineLevel="1" x14ac:dyDescent="0.25">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5">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5">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5">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5">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5">
      <c r="B557" s="2829" t="s">
        <v>200</v>
      </c>
      <c r="C557" s="2833"/>
      <c r="D557" s="2766"/>
      <c r="E557" s="2766"/>
      <c r="F557" s="2766"/>
      <c r="G557" s="2766"/>
      <c r="H557" s="2766"/>
      <c r="I557" s="2766"/>
      <c r="J557" s="2779"/>
    </row>
    <row r="558" spans="2:10" ht="18" hidden="1" customHeight="1" outlineLevel="1" x14ac:dyDescent="0.25">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5">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5">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3">
      <c r="B561" s="909" t="s">
        <v>1211</v>
      </c>
      <c r="C561" s="2826"/>
      <c r="D561" s="2808"/>
      <c r="E561" s="2809"/>
      <c r="F561" s="2810"/>
      <c r="G561" s="2811"/>
      <c r="H561" s="2819" t="s">
        <v>2154</v>
      </c>
      <c r="I561" s="2815" t="s">
        <v>2154</v>
      </c>
      <c r="J561" s="2816" t="s">
        <v>2154</v>
      </c>
    </row>
    <row r="562" spans="2:10" ht="18" hidden="1" customHeight="1" outlineLevel="1" x14ac:dyDescent="0.25">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5">
      <c r="B563" s="2829" t="s">
        <v>200</v>
      </c>
      <c r="C563" s="2833"/>
      <c r="D563" s="2766"/>
      <c r="E563" s="2766"/>
      <c r="F563" s="2766"/>
      <c r="G563" s="2766"/>
      <c r="H563" s="2766"/>
      <c r="I563" s="2766"/>
      <c r="J563" s="2779"/>
    </row>
    <row r="564" spans="2:10" ht="18" hidden="1" customHeight="1" outlineLevel="1" x14ac:dyDescent="0.25">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5">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5">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5">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5">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5">
      <c r="B569" s="2829" t="s">
        <v>200</v>
      </c>
      <c r="C569" s="2833"/>
      <c r="D569" s="2766"/>
      <c r="E569" s="2766"/>
      <c r="F569" s="2766"/>
      <c r="G569" s="2766"/>
      <c r="H569" s="2766"/>
      <c r="I569" s="2766"/>
      <c r="J569" s="2779"/>
    </row>
    <row r="570" spans="2:10" ht="18" hidden="1" customHeight="1" outlineLevel="1" x14ac:dyDescent="0.25">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5">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5">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5">
      <c r="B573" s="2829" t="s">
        <v>200</v>
      </c>
      <c r="C573" s="2833"/>
      <c r="D573" s="2766"/>
      <c r="E573" s="2766"/>
      <c r="F573" s="2766"/>
      <c r="G573" s="2766"/>
      <c r="H573" s="2766"/>
      <c r="I573" s="2766"/>
      <c r="J573" s="2779"/>
    </row>
    <row r="574" spans="2:10" ht="18" hidden="1" customHeight="1" outlineLevel="1" collapsed="1" x14ac:dyDescent="0.25">
      <c r="B574" s="2827" t="s">
        <v>1212</v>
      </c>
      <c r="C574" s="2828"/>
      <c r="D574" s="2808"/>
      <c r="E574" s="2809"/>
      <c r="F574" s="2810"/>
      <c r="G574" s="2811"/>
      <c r="H574" s="2819" t="s">
        <v>2154</v>
      </c>
      <c r="I574" s="2815" t="s">
        <v>2154</v>
      </c>
      <c r="J574" s="2816" t="s">
        <v>2154</v>
      </c>
    </row>
    <row r="575" spans="2:10" ht="18" hidden="1" customHeight="1" outlineLevel="2" x14ac:dyDescent="0.25">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5">
      <c r="B576" s="2829" t="s">
        <v>200</v>
      </c>
      <c r="C576" s="2833"/>
      <c r="D576" s="2766"/>
      <c r="E576" s="2766"/>
      <c r="F576" s="2766"/>
      <c r="G576" s="2766"/>
      <c r="H576" s="2766"/>
      <c r="I576" s="2766"/>
      <c r="J576" s="2779"/>
    </row>
    <row r="577" spans="2:10" ht="18" hidden="1" customHeight="1" outlineLevel="2" x14ac:dyDescent="0.25">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5">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5">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5">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5">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5">
      <c r="B582" s="2829" t="s">
        <v>200</v>
      </c>
      <c r="C582" s="2833"/>
      <c r="D582" s="2766"/>
      <c r="E582" s="2766"/>
      <c r="F582" s="2766"/>
      <c r="G582" s="2766"/>
      <c r="H582" s="2766"/>
      <c r="I582" s="2766"/>
      <c r="J582" s="2779"/>
    </row>
    <row r="583" spans="2:10" ht="18" hidden="1" customHeight="1" outlineLevel="2" x14ac:dyDescent="0.25">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5">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5">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5">
      <c r="B586" s="2836" t="s">
        <v>1213</v>
      </c>
      <c r="C586" s="2837"/>
      <c r="D586" s="2808"/>
      <c r="E586" s="2809"/>
      <c r="F586" s="2810"/>
      <c r="G586" s="2811"/>
      <c r="H586" s="2819" t="s">
        <v>2154</v>
      </c>
      <c r="I586" s="2815" t="s">
        <v>2154</v>
      </c>
      <c r="J586" s="2816" t="s">
        <v>2154</v>
      </c>
    </row>
    <row r="587" spans="2:10" ht="18" hidden="1" customHeight="1" outlineLevel="2" x14ac:dyDescent="0.25">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5">
      <c r="B588" s="2829" t="s">
        <v>200</v>
      </c>
      <c r="C588" s="2833"/>
      <c r="D588" s="2766"/>
      <c r="E588" s="2766"/>
      <c r="F588" s="2766"/>
      <c r="G588" s="2766"/>
      <c r="H588" s="2766"/>
      <c r="I588" s="2766"/>
      <c r="J588" s="2779"/>
    </row>
    <row r="589" spans="2:10" ht="18" hidden="1" customHeight="1" outlineLevel="2" x14ac:dyDescent="0.25">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5">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5">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5">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5">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5">
      <c r="B594" s="2829" t="s">
        <v>200</v>
      </c>
      <c r="C594" s="2833"/>
      <c r="D594" s="2766"/>
      <c r="E594" s="2766"/>
      <c r="F594" s="2766"/>
      <c r="G594" s="2766"/>
      <c r="H594" s="2766"/>
      <c r="I594" s="2766"/>
      <c r="J594" s="2779"/>
    </row>
    <row r="595" spans="2:10" ht="18" hidden="1" customHeight="1" outlineLevel="2" x14ac:dyDescent="0.25">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5">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5">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5">
      <c r="B598" s="2836" t="s">
        <v>2239</v>
      </c>
      <c r="C598" s="2837"/>
      <c r="D598" s="2808"/>
      <c r="E598" s="2809"/>
      <c r="F598" s="2810"/>
      <c r="G598" s="2811"/>
      <c r="H598" s="2819" t="s">
        <v>2154</v>
      </c>
      <c r="I598" s="2815" t="s">
        <v>2154</v>
      </c>
      <c r="J598" s="2816" t="s">
        <v>2154</v>
      </c>
    </row>
    <row r="599" spans="2:10" ht="18" hidden="1" customHeight="1" outlineLevel="2" x14ac:dyDescent="0.25">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5">
      <c r="B600" s="2829" t="s">
        <v>200</v>
      </c>
      <c r="C600" s="2833"/>
      <c r="D600" s="2766"/>
      <c r="E600" s="2766"/>
      <c r="F600" s="2766"/>
      <c r="G600" s="2766"/>
      <c r="H600" s="2766"/>
      <c r="I600" s="2766"/>
      <c r="J600" s="2779"/>
    </row>
    <row r="601" spans="2:10" ht="18" hidden="1" customHeight="1" outlineLevel="2" x14ac:dyDescent="0.25">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5">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5">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5">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5">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5">
      <c r="B606" s="2829" t="s">
        <v>200</v>
      </c>
      <c r="C606" s="2833"/>
      <c r="D606" s="2766"/>
      <c r="E606" s="2766"/>
      <c r="F606" s="2766"/>
      <c r="G606" s="2766"/>
      <c r="H606" s="2766"/>
      <c r="I606" s="2766"/>
      <c r="J606" s="2779"/>
    </row>
    <row r="607" spans="2:10" ht="18" hidden="1" customHeight="1" outlineLevel="2" x14ac:dyDescent="0.25">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5">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5">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5">
      <c r="B610" s="2836" t="s">
        <v>2240</v>
      </c>
      <c r="C610" s="2837"/>
      <c r="D610" s="2808"/>
      <c r="E610" s="2809"/>
      <c r="F610" s="2810"/>
      <c r="G610" s="2811"/>
      <c r="H610" s="2819" t="s">
        <v>2154</v>
      </c>
      <c r="I610" s="2815" t="s">
        <v>2154</v>
      </c>
      <c r="J610" s="2816" t="s">
        <v>2154</v>
      </c>
    </row>
    <row r="611" spans="2:10" ht="18" hidden="1" customHeight="1" outlineLevel="2" x14ac:dyDescent="0.25">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5">
      <c r="B612" s="2829" t="s">
        <v>200</v>
      </c>
      <c r="C612" s="2833"/>
      <c r="D612" s="2766"/>
      <c r="E612" s="2766"/>
      <c r="F612" s="2766"/>
      <c r="G612" s="2766"/>
      <c r="H612" s="2766"/>
      <c r="I612" s="2766"/>
      <c r="J612" s="2779"/>
    </row>
    <row r="613" spans="2:10" ht="18" hidden="1" customHeight="1" outlineLevel="2" x14ac:dyDescent="0.25">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5">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5">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5">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5">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5">
      <c r="B618" s="2829" t="s">
        <v>200</v>
      </c>
      <c r="C618" s="2833"/>
      <c r="D618" s="2766"/>
      <c r="E618" s="2766"/>
      <c r="F618" s="2766"/>
      <c r="G618" s="2766"/>
      <c r="H618" s="2766"/>
      <c r="I618" s="2766"/>
      <c r="J618" s="2779"/>
    </row>
    <row r="619" spans="2:10" ht="18" hidden="1" customHeight="1" outlineLevel="2" x14ac:dyDescent="0.25">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5">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5">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3">
      <c r="B622" s="2836" t="s">
        <v>1214</v>
      </c>
      <c r="C622" s="2837"/>
      <c r="D622" s="2808"/>
      <c r="E622" s="2809"/>
      <c r="F622" s="2810"/>
      <c r="G622" s="2811"/>
      <c r="H622" s="2819" t="s">
        <v>2146</v>
      </c>
      <c r="I622" s="2815" t="s">
        <v>2146</v>
      </c>
      <c r="J622" s="2816" t="s">
        <v>2146</v>
      </c>
    </row>
    <row r="623" spans="2:10" ht="18" hidden="1" customHeight="1" outlineLevel="2" x14ac:dyDescent="0.25">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5">
      <c r="B624" s="2829" t="s">
        <v>200</v>
      </c>
      <c r="C624" s="2833"/>
      <c r="D624" s="2766"/>
      <c r="E624" s="2766"/>
      <c r="F624" s="2766"/>
      <c r="G624" s="2766"/>
      <c r="H624" s="2766"/>
      <c r="I624" s="2766"/>
      <c r="J624" s="2779"/>
    </row>
    <row r="625" spans="2:10" ht="18" hidden="1" customHeight="1" outlineLevel="2" x14ac:dyDescent="0.25">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5">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5">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5">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5">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5">
      <c r="B630" s="2829" t="s">
        <v>200</v>
      </c>
      <c r="C630" s="2833"/>
      <c r="D630" s="2766"/>
      <c r="E630" s="2766"/>
      <c r="F630" s="2766"/>
      <c r="G630" s="2766"/>
      <c r="H630" s="2766"/>
      <c r="I630" s="2766"/>
      <c r="J630" s="2779"/>
    </row>
    <row r="631" spans="2:10" ht="18" hidden="1" customHeight="1" outlineLevel="2" x14ac:dyDescent="0.25">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5">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3">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5">
      <c r="B634" s="1440" t="s">
        <v>1980</v>
      </c>
      <c r="C634" s="2839"/>
      <c r="D634" s="2802"/>
      <c r="E634" s="2803"/>
      <c r="F634" s="2773"/>
      <c r="G634" s="2769"/>
      <c r="H634" s="2818" t="s">
        <v>2146</v>
      </c>
      <c r="I634" s="2813" t="s">
        <v>2146</v>
      </c>
      <c r="J634" s="2774" t="s">
        <v>2146</v>
      </c>
    </row>
    <row r="635" spans="2:10" ht="18" customHeight="1" collapsed="1" thickBot="1" x14ac:dyDescent="0.3">
      <c r="B635" s="909" t="s">
        <v>1215</v>
      </c>
      <c r="C635" s="2826"/>
      <c r="D635" s="2808"/>
      <c r="E635" s="2809"/>
      <c r="F635" s="2810"/>
      <c r="G635" s="2811"/>
      <c r="H635" s="2819" t="s">
        <v>2146</v>
      </c>
      <c r="I635" s="2815" t="s">
        <v>2146</v>
      </c>
      <c r="J635" s="2816" t="s">
        <v>2146</v>
      </c>
    </row>
    <row r="636" spans="2:10" ht="18" hidden="1" customHeight="1" outlineLevel="1" x14ac:dyDescent="0.25">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5">
      <c r="B637" s="2829" t="s">
        <v>200</v>
      </c>
      <c r="C637" s="2833"/>
      <c r="D637" s="2766"/>
      <c r="E637" s="2766"/>
      <c r="F637" s="2766"/>
      <c r="G637" s="2766"/>
      <c r="H637" s="2766"/>
      <c r="I637" s="2766"/>
      <c r="J637" s="2779"/>
    </row>
    <row r="638" spans="2:10" ht="18" hidden="1" customHeight="1" outlineLevel="1" x14ac:dyDescent="0.25">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5">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5">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5">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5">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5">
      <c r="B643" s="2829" t="s">
        <v>200</v>
      </c>
      <c r="C643" s="2833"/>
      <c r="D643" s="2766"/>
      <c r="E643" s="2766"/>
      <c r="F643" s="2766"/>
      <c r="G643" s="2766"/>
      <c r="H643" s="2766"/>
      <c r="I643" s="2766"/>
      <c r="J643" s="2779"/>
    </row>
    <row r="644" spans="2:10" ht="18" hidden="1" customHeight="1" outlineLevel="1" x14ac:dyDescent="0.25">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5">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5">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5">
      <c r="B647" s="2829" t="s">
        <v>200</v>
      </c>
      <c r="C647" s="2833"/>
      <c r="D647" s="2766"/>
      <c r="E647" s="2766"/>
      <c r="F647" s="2766"/>
      <c r="G647" s="2766"/>
      <c r="H647" s="2766"/>
      <c r="I647" s="2766"/>
      <c r="J647" s="2779"/>
    </row>
    <row r="648" spans="2:10" ht="18" hidden="1" customHeight="1" outlineLevel="1" collapsed="1" x14ac:dyDescent="0.25">
      <c r="B648" s="2827" t="s">
        <v>1216</v>
      </c>
      <c r="C648" s="2828"/>
      <c r="D648" s="2808"/>
      <c r="E648" s="2809"/>
      <c r="F648" s="2810"/>
      <c r="G648" s="2811"/>
      <c r="H648" s="2819" t="s">
        <v>2146</v>
      </c>
      <c r="I648" s="2815" t="s">
        <v>2146</v>
      </c>
      <c r="J648" s="2816" t="s">
        <v>2146</v>
      </c>
    </row>
    <row r="649" spans="2:10" ht="18" hidden="1" customHeight="1" outlineLevel="2" x14ac:dyDescent="0.25">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5">
      <c r="B650" s="2829" t="s">
        <v>200</v>
      </c>
      <c r="C650" s="2833"/>
      <c r="D650" s="2766"/>
      <c r="E650" s="2766"/>
      <c r="F650" s="2766"/>
      <c r="G650" s="2766"/>
      <c r="H650" s="2766"/>
      <c r="I650" s="2766"/>
      <c r="J650" s="2779"/>
    </row>
    <row r="651" spans="2:10" ht="18" hidden="1" customHeight="1" outlineLevel="2" x14ac:dyDescent="0.25">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5">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5">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5">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5">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5">
      <c r="B656" s="2829" t="s">
        <v>200</v>
      </c>
      <c r="C656" s="2833"/>
      <c r="D656" s="2766"/>
      <c r="E656" s="2766"/>
      <c r="F656" s="2766"/>
      <c r="G656" s="2766"/>
      <c r="H656" s="2766"/>
      <c r="I656" s="2766"/>
      <c r="J656" s="2779"/>
    </row>
    <row r="657" spans="2:10" ht="18" hidden="1" customHeight="1" outlineLevel="2" x14ac:dyDescent="0.25">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5">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5">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5">
      <c r="B660" s="2836" t="s">
        <v>1217</v>
      </c>
      <c r="C660" s="2837"/>
      <c r="D660" s="2808"/>
      <c r="E660" s="2809"/>
      <c r="F660" s="2810"/>
      <c r="G660" s="2811"/>
      <c r="H660" s="2819" t="s">
        <v>2146</v>
      </c>
      <c r="I660" s="2815" t="s">
        <v>2146</v>
      </c>
      <c r="J660" s="2816" t="s">
        <v>2146</v>
      </c>
    </row>
    <row r="661" spans="2:10" ht="18" hidden="1" customHeight="1" outlineLevel="2" x14ac:dyDescent="0.25">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5">
      <c r="B662" s="2829" t="s">
        <v>200</v>
      </c>
      <c r="C662" s="2833"/>
      <c r="D662" s="2766"/>
      <c r="E662" s="2766"/>
      <c r="F662" s="2766"/>
      <c r="G662" s="2766"/>
      <c r="H662" s="2766"/>
      <c r="I662" s="2766"/>
      <c r="J662" s="2779"/>
    </row>
    <row r="663" spans="2:10" ht="18" hidden="1" customHeight="1" outlineLevel="2" x14ac:dyDescent="0.25">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5">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5">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5">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5">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5">
      <c r="B668" s="2829" t="s">
        <v>200</v>
      </c>
      <c r="C668" s="2833"/>
      <c r="D668" s="2766"/>
      <c r="E668" s="2766"/>
      <c r="F668" s="2766"/>
      <c r="G668" s="2766"/>
      <c r="H668" s="2766"/>
      <c r="I668" s="2766"/>
      <c r="J668" s="2779"/>
    </row>
    <row r="669" spans="2:10" ht="18" hidden="1" customHeight="1" outlineLevel="2" x14ac:dyDescent="0.25">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5">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5">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5">
      <c r="B672" s="2836" t="s">
        <v>2241</v>
      </c>
      <c r="C672" s="2837"/>
      <c r="D672" s="2808"/>
      <c r="E672" s="2809"/>
      <c r="F672" s="2810"/>
      <c r="G672" s="2811"/>
      <c r="H672" s="2819" t="s">
        <v>2146</v>
      </c>
      <c r="I672" s="2815" t="s">
        <v>2146</v>
      </c>
      <c r="J672" s="2816" t="s">
        <v>2146</v>
      </c>
    </row>
    <row r="673" spans="2:10" ht="18" hidden="1" customHeight="1" outlineLevel="2" x14ac:dyDescent="0.25">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5">
      <c r="B674" s="2829" t="s">
        <v>200</v>
      </c>
      <c r="C674" s="2833"/>
      <c r="D674" s="2766"/>
      <c r="E674" s="2766"/>
      <c r="F674" s="2766"/>
      <c r="G674" s="2766"/>
      <c r="H674" s="2766"/>
      <c r="I674" s="2766"/>
      <c r="J674" s="2779"/>
    </row>
    <row r="675" spans="2:10" ht="18" hidden="1" customHeight="1" outlineLevel="2" x14ac:dyDescent="0.25">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5">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5">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5">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5">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5">
      <c r="B680" s="2829" t="s">
        <v>200</v>
      </c>
      <c r="C680" s="2833"/>
      <c r="D680" s="2766"/>
      <c r="E680" s="2766"/>
      <c r="F680" s="2766"/>
      <c r="G680" s="2766"/>
      <c r="H680" s="2766"/>
      <c r="I680" s="2766"/>
      <c r="J680" s="2779"/>
    </row>
    <row r="681" spans="2:10" ht="18" hidden="1" customHeight="1" outlineLevel="2" x14ac:dyDescent="0.25">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5">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5">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5">
      <c r="B684" s="2836" t="s">
        <v>2242</v>
      </c>
      <c r="C684" s="2837"/>
      <c r="D684" s="2808"/>
      <c r="E684" s="2809"/>
      <c r="F684" s="2810"/>
      <c r="G684" s="2811"/>
      <c r="H684" s="2819" t="s">
        <v>2146</v>
      </c>
      <c r="I684" s="2815" t="s">
        <v>2146</v>
      </c>
      <c r="J684" s="2816" t="s">
        <v>2146</v>
      </c>
    </row>
    <row r="685" spans="2:10" ht="18" hidden="1" customHeight="1" outlineLevel="2" x14ac:dyDescent="0.25">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5">
      <c r="B686" s="2829" t="s">
        <v>200</v>
      </c>
      <c r="C686" s="2833"/>
      <c r="D686" s="2766"/>
      <c r="E686" s="2766"/>
      <c r="F686" s="2766"/>
      <c r="G686" s="2766"/>
      <c r="H686" s="2766"/>
      <c r="I686" s="2766"/>
      <c r="J686" s="2779"/>
    </row>
    <row r="687" spans="2:10" ht="18" hidden="1" customHeight="1" outlineLevel="2" x14ac:dyDescent="0.25">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5">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5">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5">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5">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5">
      <c r="B692" s="2829" t="s">
        <v>200</v>
      </c>
      <c r="C692" s="2833"/>
      <c r="D692" s="2766"/>
      <c r="E692" s="2766"/>
      <c r="F692" s="2766"/>
      <c r="G692" s="2766"/>
      <c r="H692" s="2766"/>
      <c r="I692" s="2766"/>
      <c r="J692" s="2779"/>
    </row>
    <row r="693" spans="2:10" ht="18" hidden="1" customHeight="1" outlineLevel="2" x14ac:dyDescent="0.25">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5">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5">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3">
      <c r="B696" s="2836" t="s">
        <v>2243</v>
      </c>
      <c r="C696" s="2837"/>
      <c r="D696" s="2808"/>
      <c r="E696" s="2809"/>
      <c r="F696" s="2810"/>
      <c r="G696" s="2811"/>
      <c r="H696" s="2819" t="s">
        <v>2146</v>
      </c>
      <c r="I696" s="2815" t="s">
        <v>2146</v>
      </c>
      <c r="J696" s="2816" t="s">
        <v>2146</v>
      </c>
    </row>
    <row r="697" spans="2:10" ht="18" hidden="1" customHeight="1" outlineLevel="2" x14ac:dyDescent="0.25">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5">
      <c r="B698" s="2829" t="s">
        <v>200</v>
      </c>
      <c r="C698" s="2833"/>
      <c r="D698" s="2766"/>
      <c r="E698" s="2766"/>
      <c r="F698" s="2766"/>
      <c r="G698" s="2766"/>
      <c r="H698" s="2766"/>
      <c r="I698" s="2766"/>
      <c r="J698" s="2779"/>
    </row>
    <row r="699" spans="2:10" ht="18" hidden="1" customHeight="1" outlineLevel="2" x14ac:dyDescent="0.25">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5">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5">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5">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5">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5">
      <c r="B704" s="2829" t="s">
        <v>200</v>
      </c>
      <c r="C704" s="2833"/>
      <c r="D704" s="2766"/>
      <c r="E704" s="2766"/>
      <c r="F704" s="2766"/>
      <c r="G704" s="2766"/>
      <c r="H704" s="2766"/>
      <c r="I704" s="2766"/>
      <c r="J704" s="2779"/>
    </row>
    <row r="705" spans="2:10" ht="18" hidden="1" customHeight="1" outlineLevel="2" x14ac:dyDescent="0.25">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5">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3">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3">
      <c r="B708" s="1440" t="s">
        <v>1981</v>
      </c>
      <c r="C708" s="2840"/>
      <c r="D708" s="2804"/>
      <c r="E708" s="2805"/>
      <c r="F708" s="2812"/>
      <c r="G708" s="2804"/>
      <c r="H708" s="2818" t="s">
        <v>2146</v>
      </c>
      <c r="I708" s="2813" t="s">
        <v>2146</v>
      </c>
      <c r="J708" s="2814" t="s">
        <v>2146</v>
      </c>
    </row>
    <row r="709" spans="2:10" ht="18" hidden="1" customHeight="1" outlineLevel="1" x14ac:dyDescent="0.25">
      <c r="B709" s="2834" t="s">
        <v>2147</v>
      </c>
      <c r="C709" s="2826"/>
      <c r="D709" s="2787"/>
      <c r="E709" s="2788"/>
      <c r="F709" s="2789"/>
      <c r="G709" s="2787"/>
      <c r="H709" s="2819" t="s">
        <v>2146</v>
      </c>
      <c r="I709" s="2815" t="s">
        <v>2146</v>
      </c>
      <c r="J709" s="2816" t="s">
        <v>2146</v>
      </c>
    </row>
    <row r="710" spans="2:10" ht="18" hidden="1" customHeight="1" outlineLevel="1" x14ac:dyDescent="0.25">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5">
      <c r="B711" s="2829" t="s">
        <v>200</v>
      </c>
      <c r="C711" s="2833"/>
      <c r="D711" s="2766"/>
      <c r="E711" s="2766"/>
      <c r="F711" s="2766"/>
      <c r="G711" s="2766"/>
      <c r="H711" s="2766"/>
      <c r="I711" s="2766"/>
      <c r="J711" s="2779"/>
    </row>
    <row r="712" spans="2:10" ht="18" hidden="1" customHeight="1" outlineLevel="1" x14ac:dyDescent="0.25">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5">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5">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5">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5">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5">
      <c r="B717" s="2829" t="s">
        <v>200</v>
      </c>
      <c r="C717" s="2833"/>
      <c r="D717" s="2766"/>
      <c r="E717" s="2766"/>
      <c r="F717" s="2766"/>
      <c r="G717" s="2766"/>
      <c r="H717" s="2766"/>
      <c r="I717" s="2766"/>
      <c r="J717" s="2779"/>
    </row>
    <row r="718" spans="2:10" ht="18" hidden="1" customHeight="1" outlineLevel="1" x14ac:dyDescent="0.25">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5">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3">
      <c r="B720" s="2834" t="s">
        <v>2147</v>
      </c>
      <c r="C720" s="2835" t="s">
        <v>2147</v>
      </c>
      <c r="D720" s="2757" t="s">
        <v>2147</v>
      </c>
      <c r="E720" s="2755" t="s">
        <v>2147</v>
      </c>
      <c r="F720" s="2753" t="s">
        <v>2147</v>
      </c>
      <c r="G720" s="2754" t="s">
        <v>2147</v>
      </c>
      <c r="H720" s="2780" t="s">
        <v>2147</v>
      </c>
      <c r="I720" s="2758" t="s">
        <v>2147</v>
      </c>
      <c r="J720" s="2759" t="s">
        <v>2147</v>
      </c>
    </row>
    <row r="721" spans="2:10" x14ac:dyDescent="0.25">
      <c r="B721" s="85"/>
      <c r="C721" s="85"/>
      <c r="D721" s="85"/>
      <c r="E721" s="85"/>
      <c r="F721" s="85"/>
      <c r="G721" s="85"/>
      <c r="H721" s="85"/>
      <c r="I721" s="85"/>
      <c r="J721" s="85"/>
    </row>
    <row r="722" spans="2:10" ht="14.4" x14ac:dyDescent="0.25">
      <c r="B722" s="787"/>
      <c r="C722" s="787"/>
      <c r="D722" s="787"/>
      <c r="E722" s="787"/>
      <c r="F722" s="787"/>
      <c r="G722" s="514"/>
      <c r="H722" s="514"/>
      <c r="I722" s="514"/>
      <c r="J722" s="514"/>
    </row>
    <row r="723" spans="2:10" ht="14.4" x14ac:dyDescent="0.25">
      <c r="B723" s="788"/>
      <c r="C723" s="788"/>
      <c r="D723" s="788"/>
      <c r="E723" s="788"/>
      <c r="F723" s="788"/>
      <c r="G723" s="788"/>
      <c r="H723" s="788"/>
      <c r="I723" s="788"/>
      <c r="J723" s="788"/>
    </row>
    <row r="724" spans="2:10" ht="14.4" x14ac:dyDescent="0.25">
      <c r="B724" s="911"/>
      <c r="C724" s="788"/>
      <c r="D724" s="788"/>
      <c r="E724" s="788"/>
      <c r="F724" s="788"/>
      <c r="G724" s="788"/>
      <c r="H724" s="788"/>
      <c r="I724" s="788"/>
      <c r="J724" s="788"/>
    </row>
    <row r="725" spans="2:10" ht="14.4" x14ac:dyDescent="0.25">
      <c r="B725" s="787"/>
      <c r="C725" s="787"/>
      <c r="D725" s="787"/>
      <c r="E725" s="787"/>
      <c r="F725" s="514"/>
      <c r="G725" s="514"/>
      <c r="H725" s="514"/>
      <c r="I725" s="514"/>
      <c r="J725" s="514"/>
    </row>
    <row r="726" spans="2:10" ht="14.4" x14ac:dyDescent="0.25">
      <c r="B726" s="787"/>
      <c r="C726"/>
      <c r="D726"/>
      <c r="E726"/>
      <c r="F726"/>
      <c r="G726"/>
      <c r="H726"/>
      <c r="I726" s="514"/>
      <c r="J726" s="514"/>
    </row>
    <row r="727" spans="2:10" ht="14.4" x14ac:dyDescent="0.25">
      <c r="B727" s="787"/>
      <c r="C727"/>
      <c r="D727"/>
      <c r="E727"/>
      <c r="F727"/>
      <c r="G727"/>
      <c r="H727"/>
      <c r="I727" s="514"/>
      <c r="J727" s="514"/>
    </row>
    <row r="728" spans="2:10" x14ac:dyDescent="0.25">
      <c r="B728" s="911"/>
      <c r="C728"/>
      <c r="D728"/>
      <c r="E728"/>
      <c r="F728"/>
      <c r="G728"/>
      <c r="H728"/>
      <c r="I728" s="514"/>
      <c r="J728" s="514"/>
    </row>
    <row r="729" spans="2:10" x14ac:dyDescent="0.25">
      <c r="B729" s="911"/>
      <c r="C729"/>
      <c r="D729"/>
      <c r="E729"/>
      <c r="F729"/>
      <c r="G729"/>
      <c r="H729"/>
      <c r="I729" s="514"/>
      <c r="J729" s="514"/>
    </row>
    <row r="730" spans="2:10" ht="14.4" x14ac:dyDescent="0.25">
      <c r="B730" s="787"/>
      <c r="C730" s="787"/>
      <c r="D730" s="787"/>
      <c r="E730"/>
      <c r="F730"/>
      <c r="G730"/>
      <c r="H730"/>
      <c r="I730"/>
      <c r="J730"/>
    </row>
    <row r="731" spans="2:10" ht="13.8" thickBot="1" x14ac:dyDescent="0.3">
      <c r="B731" s="84"/>
      <c r="C731" s="84"/>
      <c r="D731" s="84"/>
      <c r="E731" s="84"/>
      <c r="F731" s="84"/>
      <c r="G731" s="84"/>
      <c r="H731" s="84"/>
      <c r="I731" s="84"/>
      <c r="J731" s="84"/>
    </row>
    <row r="732" spans="2:10" x14ac:dyDescent="0.25">
      <c r="B732" s="849" t="s">
        <v>390</v>
      </c>
      <c r="C732" s="900"/>
      <c r="D732" s="900"/>
      <c r="E732" s="900"/>
      <c r="F732" s="901"/>
      <c r="G732" s="901"/>
      <c r="H732" s="901"/>
      <c r="I732" s="901"/>
      <c r="J732" s="902"/>
    </row>
    <row r="733" spans="2:10" x14ac:dyDescent="0.25">
      <c r="B733" s="1329"/>
      <c r="C733" s="1342"/>
      <c r="D733" s="1342"/>
      <c r="E733" s="1342"/>
      <c r="F733" s="1347"/>
      <c r="G733" s="1347"/>
      <c r="H733" s="1347"/>
      <c r="I733" s="1347"/>
      <c r="J733" s="1348"/>
    </row>
    <row r="734" spans="2:10" x14ac:dyDescent="0.25">
      <c r="B734" s="1329"/>
      <c r="C734" s="1342"/>
      <c r="D734" s="1342"/>
      <c r="E734" s="1342"/>
      <c r="F734" s="1347"/>
      <c r="G734" s="1347"/>
      <c r="H734" s="1347"/>
      <c r="I734" s="1347"/>
      <c r="J734" s="1348"/>
    </row>
    <row r="735" spans="2:10" x14ac:dyDescent="0.25">
      <c r="B735" s="1344"/>
      <c r="C735" s="1345"/>
      <c r="D735" s="1345"/>
      <c r="E735" s="1345"/>
      <c r="F735" s="1345"/>
      <c r="G735" s="1345"/>
      <c r="H735" s="1345"/>
      <c r="I735" s="1345"/>
      <c r="J735" s="1346"/>
    </row>
    <row r="736" spans="2:10" ht="26.4" customHeight="1" thickBot="1" x14ac:dyDescent="0.3">
      <c r="B736" s="4446" t="s">
        <v>2293</v>
      </c>
      <c r="C736" s="4447"/>
      <c r="D736" s="4447"/>
      <c r="E736" s="4447"/>
      <c r="F736" s="4447"/>
      <c r="G736" s="4447"/>
      <c r="H736" s="4447"/>
      <c r="I736" s="4447"/>
      <c r="J736" s="4448"/>
    </row>
    <row r="737" spans="2:10" x14ac:dyDescent="0.25">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3.2" x14ac:dyDescent="0.25"/>
  <cols>
    <col min="1" max="1" width="1.88671875" style="83" customWidth="1"/>
    <col min="2" max="2" width="43.44140625" style="83" bestFit="1" customWidth="1"/>
    <col min="3" max="3" width="22.5546875" style="83" customWidth="1"/>
    <col min="4" max="4" width="24.5546875" style="83" customWidth="1"/>
    <col min="5" max="5" width="15.5546875" style="83" customWidth="1"/>
    <col min="6" max="6" width="22.5546875" style="83" customWidth="1"/>
    <col min="7" max="9" width="14.5546875" style="83" customWidth="1"/>
    <col min="10" max="12" width="11" style="83" customWidth="1"/>
    <col min="13" max="16384" width="8" style="83"/>
  </cols>
  <sheetData>
    <row r="1" spans="2:10" ht="15.6" x14ac:dyDescent="0.3">
      <c r="B1" s="215" t="s">
        <v>1218</v>
      </c>
      <c r="H1" s="226"/>
      <c r="I1" s="14" t="s">
        <v>2521</v>
      </c>
      <c r="J1" s="2"/>
    </row>
    <row r="2" spans="2:10" ht="18" x14ac:dyDescent="0.25">
      <c r="B2" s="917" t="s">
        <v>1219</v>
      </c>
      <c r="C2" s="896"/>
      <c r="D2" s="896"/>
      <c r="E2" s="896"/>
      <c r="F2" s="896"/>
      <c r="H2" s="226"/>
      <c r="I2" s="14" t="s">
        <v>2522</v>
      </c>
      <c r="J2" s="2"/>
    </row>
    <row r="3" spans="2:10" ht="18.600000000000001" x14ac:dyDescent="0.25">
      <c r="B3" s="525" t="s">
        <v>1220</v>
      </c>
      <c r="C3" s="896"/>
      <c r="D3" s="896"/>
      <c r="E3" s="896"/>
      <c r="F3" s="896"/>
      <c r="H3" s="226"/>
      <c r="I3" s="14" t="s">
        <v>2144</v>
      </c>
      <c r="J3" s="2"/>
    </row>
    <row r="4" spans="2:10" ht="15.6" hidden="1" x14ac:dyDescent="0.25">
      <c r="B4" s="525"/>
      <c r="C4" s="896"/>
      <c r="D4" s="896"/>
      <c r="E4" s="896"/>
      <c r="F4" s="896"/>
      <c r="H4" s="226"/>
      <c r="I4" s="226"/>
      <c r="J4" s="2"/>
    </row>
    <row r="5" spans="2:10" hidden="1" x14ac:dyDescent="0.25">
      <c r="B5" s="2234"/>
      <c r="H5" s="226"/>
      <c r="I5" s="226"/>
      <c r="J5" s="2"/>
    </row>
    <row r="6" spans="2:10" ht="13.8" thickBot="1" x14ac:dyDescent="0.3">
      <c r="B6" s="2446" t="s">
        <v>64</v>
      </c>
    </row>
    <row r="7" spans="2:10" ht="24" customHeight="1" x14ac:dyDescent="0.25">
      <c r="B7" s="527" t="s">
        <v>65</v>
      </c>
      <c r="C7" s="1486" t="s">
        <v>727</v>
      </c>
      <c r="D7" s="1487"/>
      <c r="E7" s="1486" t="s">
        <v>123</v>
      </c>
      <c r="F7" s="1487"/>
      <c r="G7" s="1803" t="s">
        <v>1119</v>
      </c>
      <c r="H7" s="1804"/>
      <c r="I7" s="1805"/>
    </row>
    <row r="8" spans="2:10" ht="56.25" customHeight="1" x14ac:dyDescent="0.25">
      <c r="B8" s="807" t="s">
        <v>1124</v>
      </c>
      <c r="C8" s="1485" t="s">
        <v>1221</v>
      </c>
      <c r="D8" s="879" t="s">
        <v>1222</v>
      </c>
      <c r="E8" s="881" t="s">
        <v>1223</v>
      </c>
      <c r="F8" s="801" t="s">
        <v>1130</v>
      </c>
      <c r="G8" s="1489" t="s">
        <v>1120</v>
      </c>
      <c r="H8" s="81" t="s">
        <v>1982</v>
      </c>
      <c r="I8" s="172" t="s">
        <v>1224</v>
      </c>
    </row>
    <row r="9" spans="2:10" ht="14.4" thickBot="1" x14ac:dyDescent="0.3">
      <c r="B9" s="808"/>
      <c r="C9" s="1474" t="s">
        <v>1036</v>
      </c>
      <c r="D9" s="401" t="s">
        <v>1225</v>
      </c>
      <c r="E9" s="863" t="s">
        <v>1226</v>
      </c>
      <c r="F9" s="401" t="s">
        <v>1227</v>
      </c>
      <c r="G9" s="1482" t="s">
        <v>73</v>
      </c>
      <c r="H9" s="1483"/>
      <c r="I9" s="1484"/>
    </row>
    <row r="10" spans="2:10" ht="18" customHeight="1" thickTop="1" thickBot="1" x14ac:dyDescent="0.3">
      <c r="B10" s="2848" t="s">
        <v>2084</v>
      </c>
      <c r="C10" s="4322">
        <f>IF(SUM(C11,C20,C28,C37,C46,C55)=0,"NO",SUM(C11,C20,C28,C37,C46,C55))</f>
        <v>657019.60680345923</v>
      </c>
      <c r="D10" s="4323">
        <f>IF(SUM(D11,D20,D28,D37,D46,D55)=0,"NO",SUM(D11,D20,D28,D37,D46,D55))</f>
        <v>55818.797320217876</v>
      </c>
      <c r="E10" s="4324">
        <f t="shared" ref="E10:E12" si="0">IF(SUM(C10)=0,"NA",G10/C10*1000/(44/28))</f>
        <v>1.9246004965977111E-3</v>
      </c>
      <c r="F10" s="4323">
        <f t="shared" ref="F10:F11" si="1">IF(SUM(D10)=0,"NA",H10/D10*1000/(44/28))</f>
        <v>7.4999999999999997E-3</v>
      </c>
      <c r="G10" s="4322">
        <f>IF(SUM(G11,G20,G28,G37,G46,G55)=0,"NO",SUM(G11,G20,G28,G37,G46,G55))</f>
        <v>1.9870718395445826</v>
      </c>
      <c r="H10" s="4325">
        <f>IF(SUM(H11,H20,H28,H37,H46,H55)=0,"NO",SUM(H11,H20,H28,H37,H46,H55))</f>
        <v>0.65786439698828203</v>
      </c>
      <c r="I10" s="4326">
        <f t="shared" ref="I10:I11" si="2">IF(SUM(G10:H10)=0,"NO",SUM(G10:H10))</f>
        <v>2.6449362365328648</v>
      </c>
    </row>
    <row r="11" spans="2:10" ht="18" customHeight="1" x14ac:dyDescent="0.25">
      <c r="B11" s="2848" t="s">
        <v>1901</v>
      </c>
      <c r="C11" s="4327">
        <f>IF(SUM(C12:C13)=0,"NO",SUM(C12:C13))</f>
        <v>134845.43007243628</v>
      </c>
      <c r="D11" s="4328">
        <f>IF(SUM(D12:D13)=0,"NO",SUM(D12:D13))</f>
        <v>14819.11649005151</v>
      </c>
      <c r="E11" s="4327">
        <f t="shared" si="0"/>
        <v>1.7959321253296983E-3</v>
      </c>
      <c r="F11" s="4328">
        <f t="shared" si="1"/>
        <v>7.4999999999999997E-3</v>
      </c>
      <c r="G11" s="4327">
        <f>IF(SUM(G12:G13)=0,"NO",SUM(G12:G13))</f>
        <v>0.38055794829012357</v>
      </c>
      <c r="H11" s="4329">
        <f>IF(SUM(H12:H13)=0,"NO",SUM(H12:H13))</f>
        <v>0.17465387291846424</v>
      </c>
      <c r="I11" s="4328">
        <f t="shared" si="2"/>
        <v>0.55521182120858781</v>
      </c>
    </row>
    <row r="12" spans="2:10" ht="18" customHeight="1" x14ac:dyDescent="0.25">
      <c r="B12" s="914" t="s">
        <v>1228</v>
      </c>
      <c r="C12" s="4330">
        <f>Table4.A!E11</f>
        <v>131689.13107058901</v>
      </c>
      <c r="D12" s="4331">
        <f>H12/F12*1000/(44/28)</f>
        <v>6391.2192641075117</v>
      </c>
      <c r="E12" s="4332">
        <f t="shared" si="0"/>
        <v>5.7162031308061775E-4</v>
      </c>
      <c r="F12" s="4333">
        <v>7.4999999999999997E-3</v>
      </c>
      <c r="G12" s="4330">
        <v>0.11829114366439007</v>
      </c>
      <c r="H12" s="4334">
        <v>7.5325084184124244E-2</v>
      </c>
      <c r="I12" s="4335">
        <f>IF(SUM(G12:H12)=0,"NO",SUM(G12:H12))</f>
        <v>0.19361622784851432</v>
      </c>
    </row>
    <row r="13" spans="2:10" ht="18" customHeight="1" x14ac:dyDescent="0.25">
      <c r="B13" s="914" t="s">
        <v>1902</v>
      </c>
      <c r="C13" s="4336">
        <f>IF(SUM(C15:C19)=0,"NO",SUM(C15:C19))</f>
        <v>3156.2990018472692</v>
      </c>
      <c r="D13" s="4335">
        <f>IF(SUM(D15:D19)=0,"NO",SUM(D15:D19))</f>
        <v>8427.8972259439979</v>
      </c>
      <c r="E13" s="4336">
        <f>IF(SUM(C13)=0,"NA",G13/C13*1000/(44/28))</f>
        <v>5.2877454699768373E-2</v>
      </c>
      <c r="F13" s="4335">
        <f>IF(SUM(D13)=0,"NA",H13/D13*1000/(44/28))</f>
        <v>7.4999999999999997E-3</v>
      </c>
      <c r="G13" s="4336">
        <f>IF(SUM(G15:G19)=0,"NO",SUM(G15:G19))</f>
        <v>0.26226680462573349</v>
      </c>
      <c r="H13" s="4337">
        <f>IF(SUM(H15:H19)=0,"NO",SUM(H15:H19))</f>
        <v>9.9328788734339979E-2</v>
      </c>
      <c r="I13" s="4335">
        <f>IF(SUM(G13:H13)=0,"NO",SUM(G13:H13))</f>
        <v>0.36159559336007346</v>
      </c>
    </row>
    <row r="14" spans="2:10" ht="18" customHeight="1" x14ac:dyDescent="0.25">
      <c r="B14" s="1488" t="s">
        <v>345</v>
      </c>
      <c r="C14" s="4338"/>
      <c r="D14" s="4339"/>
      <c r="E14" s="4339"/>
      <c r="F14" s="4339"/>
      <c r="G14" s="4339"/>
      <c r="H14" s="4339"/>
      <c r="I14" s="4340"/>
    </row>
    <row r="15" spans="2:10" ht="18" customHeight="1" x14ac:dyDescent="0.25">
      <c r="B15" s="528" t="s">
        <v>1229</v>
      </c>
      <c r="C15" s="4341">
        <f>Table4.A!E17</f>
        <v>34.668999999999997</v>
      </c>
      <c r="D15" s="4331">
        <f>H15/F15*1000/(44/28)</f>
        <v>84.067901756123973</v>
      </c>
      <c r="E15" s="4336">
        <f>IF(SUM(C15)=0,"NA",G15/C15*1000/(44/28))</f>
        <v>6.3056332746834351E-2</v>
      </c>
      <c r="F15" s="4333">
        <v>7.4999999999999997E-3</v>
      </c>
      <c r="G15" s="4341">
        <v>3.4352999999999996E-3</v>
      </c>
      <c r="H15" s="4342">
        <v>9.9080027069717541E-4</v>
      </c>
      <c r="I15" s="4335">
        <f>IF(SUM(G15:H15)=0,"NO",SUM(G15:H15))</f>
        <v>4.4261002706971753E-3</v>
      </c>
    </row>
    <row r="16" spans="2:10" ht="18" customHeight="1" x14ac:dyDescent="0.25">
      <c r="B16" s="528" t="s">
        <v>1230</v>
      </c>
      <c r="C16" s="4341">
        <f>Table4.A!E19</f>
        <v>3107.8040018472693</v>
      </c>
      <c r="D16" s="4331">
        <f>H16/F16*1000/(44/28)</f>
        <v>8275.223847050469</v>
      </c>
      <c r="E16" s="4336">
        <f t="shared" ref="E16:E21" si="3">IF(SUM(C16)=0,"NA",G16/C16*1000/(44/28))</f>
        <v>5.2458608734291041E-2</v>
      </c>
      <c r="F16" s="4333">
        <v>7.4999999999999997E-3</v>
      </c>
      <c r="G16" s="4341">
        <v>0.25619168795906683</v>
      </c>
      <c r="H16" s="4342">
        <v>9.7529423911666233E-2</v>
      </c>
      <c r="I16" s="4335">
        <f t="shared" ref="I16:I21" si="4">IF(SUM(G16:H16)=0,"NO",SUM(G16:H16))</f>
        <v>0.35372111187073307</v>
      </c>
    </row>
    <row r="17" spans="2:9" ht="18" customHeight="1" x14ac:dyDescent="0.25">
      <c r="B17" s="528" t="s">
        <v>1231</v>
      </c>
      <c r="C17" s="4341" t="s">
        <v>2146</v>
      </c>
      <c r="D17" s="4343" t="s">
        <v>2146</v>
      </c>
      <c r="E17" s="4336" t="str">
        <f t="shared" si="3"/>
        <v>NA</v>
      </c>
      <c r="F17" s="4335" t="str">
        <f t="shared" ref="F17:F21" si="5">IF(SUM(D17)=0,"NA",H17/D17*1000/(44/28))</f>
        <v>NA</v>
      </c>
      <c r="G17" s="4341" t="s">
        <v>2146</v>
      </c>
      <c r="H17" s="4342" t="s">
        <v>2146</v>
      </c>
      <c r="I17" s="4335" t="str">
        <f t="shared" si="4"/>
        <v>NO</v>
      </c>
    </row>
    <row r="18" spans="2:9" ht="18" customHeight="1" x14ac:dyDescent="0.25">
      <c r="B18" s="528" t="s">
        <v>1232</v>
      </c>
      <c r="C18" s="4341">
        <f>Table4.A!E25</f>
        <v>13.826000000000001</v>
      </c>
      <c r="D18" s="4331">
        <f>H18/F18*1000/(44/28)</f>
        <v>68.605477137405728</v>
      </c>
      <c r="E18" s="4336">
        <f t="shared" si="3"/>
        <v>0.12150175996914027</v>
      </c>
      <c r="F18" s="4333">
        <v>7.4999999999999997E-3</v>
      </c>
      <c r="G18" s="4341">
        <v>2.6398166666666669E-3</v>
      </c>
      <c r="H18" s="4342">
        <v>8.0856455197656754E-4</v>
      </c>
      <c r="I18" s="4335">
        <f t="shared" si="4"/>
        <v>3.4483812186432345E-3</v>
      </c>
    </row>
    <row r="19" spans="2:9" ht="18" customHeight="1" thickBot="1" x14ac:dyDescent="0.3">
      <c r="B19" s="529" t="s">
        <v>1233</v>
      </c>
      <c r="C19" s="4344" t="s">
        <v>2146</v>
      </c>
      <c r="D19" s="4345" t="s">
        <v>2146</v>
      </c>
      <c r="E19" s="4346" t="str">
        <f t="shared" si="3"/>
        <v>NA</v>
      </c>
      <c r="F19" s="4347" t="str">
        <f t="shared" si="5"/>
        <v>NA</v>
      </c>
      <c r="G19" s="4344" t="s">
        <v>2146</v>
      </c>
      <c r="H19" s="4348" t="s">
        <v>2146</v>
      </c>
      <c r="I19" s="4349" t="str">
        <f t="shared" si="4"/>
        <v>NO</v>
      </c>
    </row>
    <row r="20" spans="2:9" ht="18" customHeight="1" x14ac:dyDescent="0.25">
      <c r="B20" s="544" t="s">
        <v>1903</v>
      </c>
      <c r="C20" s="4350">
        <f>C21</f>
        <v>1923.87</v>
      </c>
      <c r="D20" s="4351">
        <f>D21</f>
        <v>2894.9293911895529</v>
      </c>
      <c r="E20" s="4350">
        <f t="shared" si="3"/>
        <v>3.2450442770734687E-2</v>
      </c>
      <c r="F20" s="4351">
        <f t="shared" si="5"/>
        <v>7.4999999999999997E-3</v>
      </c>
      <c r="G20" s="4350">
        <f>G21</f>
        <v>9.8104966666666668E-2</v>
      </c>
      <c r="H20" s="4352">
        <f>H21</f>
        <v>3.4118810681876874E-2</v>
      </c>
      <c r="I20" s="4351">
        <f t="shared" si="4"/>
        <v>0.13222377734854354</v>
      </c>
    </row>
    <row r="21" spans="2:9" ht="18" customHeight="1" x14ac:dyDescent="0.25">
      <c r="B21" s="914" t="s">
        <v>1904</v>
      </c>
      <c r="C21" s="4336">
        <f>IF(SUM(C23:C27)=0,"NO",SUM(C23:C27))</f>
        <v>1923.87</v>
      </c>
      <c r="D21" s="4335">
        <f>IF(SUM(D23:D27)=0,"NO",SUM(D23:D27))</f>
        <v>2894.9293911895529</v>
      </c>
      <c r="E21" s="4336">
        <f t="shared" si="3"/>
        <v>3.2450442770734687E-2</v>
      </c>
      <c r="F21" s="4335">
        <f t="shared" si="5"/>
        <v>7.4999999999999997E-3</v>
      </c>
      <c r="G21" s="4336">
        <f>IF(SUM(G23:G27)=0,"NO",SUM(G23:G27))</f>
        <v>9.8104966666666668E-2</v>
      </c>
      <c r="H21" s="4337">
        <f>IF(SUM(H23:H27)=0,"NO",SUM(H23:H27))</f>
        <v>3.4118810681876874E-2</v>
      </c>
      <c r="I21" s="4335">
        <f t="shared" si="4"/>
        <v>0.13222377734854354</v>
      </c>
    </row>
    <row r="22" spans="2:9" ht="18" customHeight="1" x14ac:dyDescent="0.25">
      <c r="B22" s="1488" t="s">
        <v>345</v>
      </c>
      <c r="C22" s="4338"/>
      <c r="D22" s="4339"/>
      <c r="E22" s="4339"/>
      <c r="F22" s="4339"/>
      <c r="G22" s="4339"/>
      <c r="H22" s="4339"/>
      <c r="I22" s="4340"/>
    </row>
    <row r="23" spans="2:9" ht="18" customHeight="1" x14ac:dyDescent="0.25">
      <c r="B23" s="528" t="s">
        <v>1234</v>
      </c>
      <c r="C23" s="4341">
        <f>Table4.B!E14</f>
        <v>1923.87</v>
      </c>
      <c r="D23" s="4331">
        <f>H23/F23*1000/(44/28)</f>
        <v>2894.9293911895529</v>
      </c>
      <c r="E23" s="4336">
        <f>IF(SUM(C23)=0,"NA",G23/C23*1000/(44/28))</f>
        <v>3.2450442770734687E-2</v>
      </c>
      <c r="F23" s="4333">
        <v>7.4999999999999997E-3</v>
      </c>
      <c r="G23" s="4341">
        <v>9.8104966666666668E-2</v>
      </c>
      <c r="H23" s="4342">
        <v>3.4118810681876874E-2</v>
      </c>
      <c r="I23" s="4335">
        <f>IF(SUM(G23:H23)=0,"NO",SUM(G23:H23))</f>
        <v>0.13222377734854354</v>
      </c>
    </row>
    <row r="24" spans="2:9" ht="18" customHeight="1" x14ac:dyDescent="0.25">
      <c r="B24" s="528" t="s">
        <v>1235</v>
      </c>
      <c r="C24" s="4341" t="s">
        <v>2153</v>
      </c>
      <c r="D24" s="4343" t="s">
        <v>2153</v>
      </c>
      <c r="E24" s="4336" t="str">
        <f t="shared" ref="E24:E29" si="6">IF(SUM(C24)=0,"NA",G24/C24*1000/(44/28))</f>
        <v>NA</v>
      </c>
      <c r="F24" s="4335" t="str">
        <f t="shared" ref="F24:F28" si="7">IF(SUM(D24)=0,"NA",H24/D24*1000/(44/28))</f>
        <v>NA</v>
      </c>
      <c r="G24" s="4341" t="s">
        <v>2153</v>
      </c>
      <c r="H24" s="4342" t="s">
        <v>2153</v>
      </c>
      <c r="I24" s="4335" t="str">
        <f t="shared" ref="I24:I62" si="8">IF(SUM(G24:H24)=0,"NO",SUM(G24:H24))</f>
        <v>NO</v>
      </c>
    </row>
    <row r="25" spans="2:9" ht="18" customHeight="1" x14ac:dyDescent="0.25">
      <c r="B25" s="528" t="s">
        <v>1236</v>
      </c>
      <c r="C25" s="4341" t="s">
        <v>2146</v>
      </c>
      <c r="D25" s="4343" t="s">
        <v>2146</v>
      </c>
      <c r="E25" s="4336" t="str">
        <f t="shared" si="6"/>
        <v>NA</v>
      </c>
      <c r="F25" s="4335" t="str">
        <f t="shared" si="7"/>
        <v>NA</v>
      </c>
      <c r="G25" s="4341" t="s">
        <v>2146</v>
      </c>
      <c r="H25" s="4342" t="s">
        <v>2146</v>
      </c>
      <c r="I25" s="4335" t="str">
        <f t="shared" si="8"/>
        <v>NO</v>
      </c>
    </row>
    <row r="26" spans="2:9" ht="18" customHeight="1" x14ac:dyDescent="0.25">
      <c r="B26" s="528" t="s">
        <v>1237</v>
      </c>
      <c r="C26" s="4341" t="s">
        <v>2146</v>
      </c>
      <c r="D26" s="4343" t="s">
        <v>2146</v>
      </c>
      <c r="E26" s="4336" t="str">
        <f t="shared" si="6"/>
        <v>NA</v>
      </c>
      <c r="F26" s="4335" t="str">
        <f t="shared" si="7"/>
        <v>NA</v>
      </c>
      <c r="G26" s="4341" t="s">
        <v>2146</v>
      </c>
      <c r="H26" s="4342" t="s">
        <v>2146</v>
      </c>
      <c r="I26" s="4335" t="str">
        <f t="shared" si="8"/>
        <v>NO</v>
      </c>
    </row>
    <row r="27" spans="2:9" ht="18" customHeight="1" thickBot="1" x14ac:dyDescent="0.3">
      <c r="B27" s="529" t="s">
        <v>1238</v>
      </c>
      <c r="C27" s="4344" t="s">
        <v>2146</v>
      </c>
      <c r="D27" s="4345" t="s">
        <v>2146</v>
      </c>
      <c r="E27" s="4346" t="str">
        <f t="shared" si="6"/>
        <v>NA</v>
      </c>
      <c r="F27" s="4347" t="str">
        <f t="shared" si="7"/>
        <v>NA</v>
      </c>
      <c r="G27" s="4344" t="s">
        <v>2146</v>
      </c>
      <c r="H27" s="4348" t="s">
        <v>2146</v>
      </c>
      <c r="I27" s="4349" t="str">
        <f t="shared" si="8"/>
        <v>NO</v>
      </c>
    </row>
    <row r="28" spans="2:9" ht="18" customHeight="1" x14ac:dyDescent="0.25">
      <c r="B28" s="544" t="s">
        <v>1905</v>
      </c>
      <c r="C28" s="4327">
        <f>IF(SUM(C29:C30)=0,"NO",SUM(C29:C30))</f>
        <v>519171.76988245198</v>
      </c>
      <c r="D28" s="4328">
        <f>IF(SUM(D29:D30)=0,"NO",SUM(D29:D30))</f>
        <v>37651.870296384077</v>
      </c>
      <c r="E28" s="4327">
        <f t="shared" si="6"/>
        <v>1.8258614060711995E-3</v>
      </c>
      <c r="F28" s="4328">
        <f t="shared" si="7"/>
        <v>7.4999999999999997E-3</v>
      </c>
      <c r="G28" s="4327">
        <f>IF(SUM(G29:G30)=0,"NO",SUM(G29:G30))</f>
        <v>1.4896132393215025</v>
      </c>
      <c r="H28" s="4329">
        <f>IF(SUM(H29:H30)=0,"NO",SUM(H29:H30))</f>
        <v>0.44375418563595515</v>
      </c>
      <c r="I28" s="4351">
        <f t="shared" si="8"/>
        <v>1.9333674249574577</v>
      </c>
    </row>
    <row r="29" spans="2:9" ht="18" customHeight="1" x14ac:dyDescent="0.25">
      <c r="B29" s="914" t="s">
        <v>1239</v>
      </c>
      <c r="C29" s="4330">
        <f>Table4.C!E11</f>
        <v>512184.22088245198</v>
      </c>
      <c r="D29" s="4331">
        <f>H29/F29*1000/(44/28)</f>
        <v>29511.272740818455</v>
      </c>
      <c r="E29" s="4332">
        <f t="shared" si="6"/>
        <v>1.2766268875356705E-3</v>
      </c>
      <c r="F29" s="4333">
        <v>7.4999999999999997E-3</v>
      </c>
      <c r="G29" s="4330">
        <v>1.0275070893215024</v>
      </c>
      <c r="H29" s="4334">
        <v>0.34781142873107462</v>
      </c>
      <c r="I29" s="4335">
        <f t="shared" si="8"/>
        <v>1.3753185180525769</v>
      </c>
    </row>
    <row r="30" spans="2:9" ht="18" customHeight="1" x14ac:dyDescent="0.25">
      <c r="B30" s="914" t="s">
        <v>1906</v>
      </c>
      <c r="C30" s="4336">
        <f>IF(SUM(C32:C36)=0,"NO",SUM(C32:C36))</f>
        <v>6987.549</v>
      </c>
      <c r="D30" s="4335">
        <f>IF(SUM(D32:D36)=0,"NO",SUM(D32:D36))</f>
        <v>8140.5975555656205</v>
      </c>
      <c r="E30" s="4336">
        <f>IF(SUM(C30)=0,"NA",G30/C30*1000/(44/28))</f>
        <v>4.2084506312585437E-2</v>
      </c>
      <c r="F30" s="4335">
        <f>IF(SUM(D30)=0,"NA",H30/D30*1000/(44/28))</f>
        <v>7.4999999999999997E-3</v>
      </c>
      <c r="G30" s="4336">
        <f>IF(SUM(G32:G36)=0,"NO",SUM(G32:G36))</f>
        <v>0.46210614999999999</v>
      </c>
      <c r="H30" s="4337">
        <f>IF(SUM(H32:H36)=0,"NO",SUM(H32:H36))</f>
        <v>9.5942756904880522E-2</v>
      </c>
      <c r="I30" s="4335">
        <f t="shared" si="8"/>
        <v>0.55804890690488052</v>
      </c>
    </row>
    <row r="31" spans="2:9" ht="18" customHeight="1" x14ac:dyDescent="0.25">
      <c r="B31" s="1488" t="s">
        <v>345</v>
      </c>
      <c r="C31" s="4338"/>
      <c r="D31" s="4339"/>
      <c r="E31" s="4339"/>
      <c r="F31" s="4339"/>
      <c r="G31" s="4339"/>
      <c r="H31" s="4339"/>
      <c r="I31" s="4340"/>
    </row>
    <row r="32" spans="2:9" ht="18" customHeight="1" x14ac:dyDescent="0.25">
      <c r="B32" s="528" t="s">
        <v>1240</v>
      </c>
      <c r="C32" s="4341">
        <f>Table4.C!E16</f>
        <v>6987.549</v>
      </c>
      <c r="D32" s="4331">
        <f>H32/F32*1000/(44/28)</f>
        <v>8140.5975555656205</v>
      </c>
      <c r="E32" s="4336">
        <f>IF(SUM(C32)=0,"NA",G32/C32*1000/(44/28))</f>
        <v>4.2084506312585437E-2</v>
      </c>
      <c r="F32" s="4333">
        <v>7.4999999999999997E-3</v>
      </c>
      <c r="G32" s="4341">
        <v>0.46210614999999999</v>
      </c>
      <c r="H32" s="4342">
        <v>9.5942756904880522E-2</v>
      </c>
      <c r="I32" s="4335">
        <f t="shared" si="8"/>
        <v>0.55804890690488052</v>
      </c>
    </row>
    <row r="33" spans="2:9" ht="18" customHeight="1" x14ac:dyDescent="0.25">
      <c r="B33" s="528" t="s">
        <v>1241</v>
      </c>
      <c r="C33" s="4341" t="s">
        <v>2153</v>
      </c>
      <c r="D33" s="4343" t="s">
        <v>2153</v>
      </c>
      <c r="E33" s="4336" t="str">
        <f t="shared" ref="E33:E38" si="9">IF(SUM(C33)=0,"NA",G33/C33*1000/(44/28))</f>
        <v>NA</v>
      </c>
      <c r="F33" s="4335" t="str">
        <f t="shared" ref="F33:F38" si="10">IF(SUM(D33)=0,"NA",H33/D33*1000/(44/28))</f>
        <v>NA</v>
      </c>
      <c r="G33" s="4341" t="s">
        <v>2153</v>
      </c>
      <c r="H33" s="4342" t="s">
        <v>2153</v>
      </c>
      <c r="I33" s="4335" t="str">
        <f t="shared" si="8"/>
        <v>NO</v>
      </c>
    </row>
    <row r="34" spans="2:9" ht="18" customHeight="1" x14ac:dyDescent="0.25">
      <c r="B34" s="528" t="s">
        <v>1242</v>
      </c>
      <c r="C34" s="4341" t="s">
        <v>2146</v>
      </c>
      <c r="D34" s="4343" t="s">
        <v>2146</v>
      </c>
      <c r="E34" s="4336" t="str">
        <f t="shared" si="9"/>
        <v>NA</v>
      </c>
      <c r="F34" s="4335" t="str">
        <f t="shared" si="10"/>
        <v>NA</v>
      </c>
      <c r="G34" s="4341" t="s">
        <v>2146</v>
      </c>
      <c r="H34" s="4342" t="s">
        <v>2146</v>
      </c>
      <c r="I34" s="4335" t="str">
        <f t="shared" si="8"/>
        <v>NO</v>
      </c>
    </row>
    <row r="35" spans="2:9" ht="18" customHeight="1" x14ac:dyDescent="0.25">
      <c r="B35" s="528" t="s">
        <v>1243</v>
      </c>
      <c r="C35" s="4341" t="s">
        <v>2146</v>
      </c>
      <c r="D35" s="4343" t="s">
        <v>2146</v>
      </c>
      <c r="E35" s="4336" t="str">
        <f t="shared" si="9"/>
        <v>NA</v>
      </c>
      <c r="F35" s="4335" t="str">
        <f t="shared" si="10"/>
        <v>NA</v>
      </c>
      <c r="G35" s="4341" t="s">
        <v>2146</v>
      </c>
      <c r="H35" s="4342" t="s">
        <v>2146</v>
      </c>
      <c r="I35" s="4335" t="str">
        <f t="shared" si="8"/>
        <v>NO</v>
      </c>
    </row>
    <row r="36" spans="2:9" ht="18" customHeight="1" thickBot="1" x14ac:dyDescent="0.3">
      <c r="B36" s="529" t="s">
        <v>1244</v>
      </c>
      <c r="C36" s="4344" t="s">
        <v>2146</v>
      </c>
      <c r="D36" s="4345" t="s">
        <v>2146</v>
      </c>
      <c r="E36" s="4346" t="str">
        <f t="shared" si="9"/>
        <v>NA</v>
      </c>
      <c r="F36" s="4347" t="str">
        <f t="shared" si="10"/>
        <v>NA</v>
      </c>
      <c r="G36" s="4344" t="s">
        <v>2146</v>
      </c>
      <c r="H36" s="4348" t="s">
        <v>2146</v>
      </c>
      <c r="I36" s="4349" t="str">
        <f t="shared" si="8"/>
        <v>NO</v>
      </c>
    </row>
    <row r="37" spans="2:9" ht="18" customHeight="1" x14ac:dyDescent="0.25">
      <c r="B37" s="544" t="s">
        <v>1907</v>
      </c>
      <c r="C37" s="4327" t="str">
        <f>IF(SUM(C38:C39)=0,"NO",SUM(C38:C39))</f>
        <v>NO</v>
      </c>
      <c r="D37" s="4328" t="str">
        <f>IF(SUM(D38:D39)=0,"NO",SUM(D38:D39))</f>
        <v>NO</v>
      </c>
      <c r="E37" s="4327" t="str">
        <f t="shared" si="9"/>
        <v>NA</v>
      </c>
      <c r="F37" s="4328" t="str">
        <f t="shared" si="10"/>
        <v>NA</v>
      </c>
      <c r="G37" s="4327" t="str">
        <f>IF(SUM(G38:G39)=0,"NO",SUM(G38:G39))</f>
        <v>NO</v>
      </c>
      <c r="H37" s="4329" t="str">
        <f>IF(SUM(H38:H39)=0,"NO",SUM(H38:H39))</f>
        <v>NO</v>
      </c>
      <c r="I37" s="4328" t="str">
        <f t="shared" si="8"/>
        <v>NO</v>
      </c>
    </row>
    <row r="38" spans="2:9" ht="18" customHeight="1" x14ac:dyDescent="0.25">
      <c r="B38" s="914" t="s">
        <v>1245</v>
      </c>
      <c r="C38" s="4330" t="s">
        <v>2146</v>
      </c>
      <c r="D38" s="4331" t="s">
        <v>2146</v>
      </c>
      <c r="E38" s="4332" t="str">
        <f t="shared" si="9"/>
        <v>NA</v>
      </c>
      <c r="F38" s="4333" t="str">
        <f t="shared" si="10"/>
        <v>NA</v>
      </c>
      <c r="G38" s="4330" t="s">
        <v>2146</v>
      </c>
      <c r="H38" s="4334" t="s">
        <v>2146</v>
      </c>
      <c r="I38" s="4335" t="str">
        <f t="shared" si="8"/>
        <v>NO</v>
      </c>
    </row>
    <row r="39" spans="2:9" ht="18" customHeight="1" x14ac:dyDescent="0.25">
      <c r="B39" s="914" t="s">
        <v>1908</v>
      </c>
      <c r="C39" s="4336" t="str">
        <f>IF(SUM(C41:C45)=0,"NO",SUM(C41:C45))</f>
        <v>NO</v>
      </c>
      <c r="D39" s="4335" t="str">
        <f>IF(SUM(D41:D45)=0,"NO",SUM(D41:D45))</f>
        <v>NO</v>
      </c>
      <c r="E39" s="4336" t="str">
        <f>IF(SUM(C39)=0,"NA",G39/C39*1000/(44/28))</f>
        <v>NA</v>
      </c>
      <c r="F39" s="4335" t="str">
        <f>IF(SUM(D39)=0,"NA",H39/D39*1000/(44/28))</f>
        <v>NA</v>
      </c>
      <c r="G39" s="4336" t="str">
        <f>IF(SUM(G41:G45)=0,"NO",SUM(G41:G45))</f>
        <v>NO</v>
      </c>
      <c r="H39" s="4337" t="str">
        <f>IF(SUM(H41:H45)=0,"NO",SUM(H41:H45))</f>
        <v>NO</v>
      </c>
      <c r="I39" s="4335" t="str">
        <f t="shared" si="8"/>
        <v>NO</v>
      </c>
    </row>
    <row r="40" spans="2:9" ht="18" customHeight="1" x14ac:dyDescent="0.25">
      <c r="B40" s="1488" t="s">
        <v>345</v>
      </c>
      <c r="C40" s="4338"/>
      <c r="D40" s="4339"/>
      <c r="E40" s="4339"/>
      <c r="F40" s="4339"/>
      <c r="G40" s="4339"/>
      <c r="H40" s="4339"/>
      <c r="I40" s="4340"/>
    </row>
    <row r="41" spans="2:9" ht="18" customHeight="1" x14ac:dyDescent="0.25">
      <c r="B41" s="528" t="s">
        <v>1246</v>
      </c>
      <c r="C41" s="4341" t="s">
        <v>2146</v>
      </c>
      <c r="D41" s="4343" t="s">
        <v>2146</v>
      </c>
      <c r="E41" s="4336" t="str">
        <f>IF(SUM(C41)=0,"NA",G41/C41*1000/(44/28))</f>
        <v>NA</v>
      </c>
      <c r="F41" s="4335" t="str">
        <f>IF(SUM(D41)=0,"NA",H41/D41*1000/(44/28))</f>
        <v>NA</v>
      </c>
      <c r="G41" s="4341" t="s">
        <v>2146</v>
      </c>
      <c r="H41" s="4342" t="s">
        <v>2146</v>
      </c>
      <c r="I41" s="4335" t="str">
        <f t="shared" si="8"/>
        <v>NO</v>
      </c>
    </row>
    <row r="42" spans="2:9" ht="18" customHeight="1" x14ac:dyDescent="0.25">
      <c r="B42" s="528" t="s">
        <v>1247</v>
      </c>
      <c r="C42" s="4341" t="s">
        <v>2146</v>
      </c>
      <c r="D42" s="4343" t="s">
        <v>2146</v>
      </c>
      <c r="E42" s="4336" t="str">
        <f t="shared" ref="E42:E47" si="11">IF(SUM(C42)=0,"NA",G42/C42*1000/(44/28))</f>
        <v>NA</v>
      </c>
      <c r="F42" s="4335" t="str">
        <f t="shared" ref="F42:F46" si="12">IF(SUM(D42)=0,"NA",H42/D42*1000/(44/28))</f>
        <v>NA</v>
      </c>
      <c r="G42" s="4341" t="s">
        <v>2146</v>
      </c>
      <c r="H42" s="4342" t="s">
        <v>2146</v>
      </c>
      <c r="I42" s="4335" t="str">
        <f t="shared" si="8"/>
        <v>NO</v>
      </c>
    </row>
    <row r="43" spans="2:9" ht="18" customHeight="1" x14ac:dyDescent="0.25">
      <c r="B43" s="528" t="s">
        <v>1248</v>
      </c>
      <c r="C43" s="4341" t="s">
        <v>2146</v>
      </c>
      <c r="D43" s="4343" t="s">
        <v>2146</v>
      </c>
      <c r="E43" s="4336" t="str">
        <f t="shared" si="11"/>
        <v>NA</v>
      </c>
      <c r="F43" s="4335" t="str">
        <f t="shared" si="12"/>
        <v>NA</v>
      </c>
      <c r="G43" s="4341" t="s">
        <v>2146</v>
      </c>
      <c r="H43" s="4342" t="s">
        <v>2146</v>
      </c>
      <c r="I43" s="4335" t="str">
        <f t="shared" si="8"/>
        <v>NO</v>
      </c>
    </row>
    <row r="44" spans="2:9" ht="18" customHeight="1" x14ac:dyDescent="0.25">
      <c r="B44" s="528" t="s">
        <v>1249</v>
      </c>
      <c r="C44" s="4341" t="s">
        <v>2146</v>
      </c>
      <c r="D44" s="4343" t="s">
        <v>2146</v>
      </c>
      <c r="E44" s="4336" t="str">
        <f t="shared" si="11"/>
        <v>NA</v>
      </c>
      <c r="F44" s="4335" t="str">
        <f t="shared" si="12"/>
        <v>NA</v>
      </c>
      <c r="G44" s="4341" t="s">
        <v>2146</v>
      </c>
      <c r="H44" s="4342" t="s">
        <v>2146</v>
      </c>
      <c r="I44" s="4335" t="str">
        <f t="shared" si="8"/>
        <v>NO</v>
      </c>
    </row>
    <row r="45" spans="2:9" ht="18" customHeight="1" thickBot="1" x14ac:dyDescent="0.3">
      <c r="B45" s="529" t="s">
        <v>1250</v>
      </c>
      <c r="C45" s="4344" t="s">
        <v>2146</v>
      </c>
      <c r="D45" s="4345" t="s">
        <v>2146</v>
      </c>
      <c r="E45" s="4346" t="str">
        <f t="shared" si="11"/>
        <v>NA</v>
      </c>
      <c r="F45" s="4347" t="str">
        <f t="shared" si="12"/>
        <v>NA</v>
      </c>
      <c r="G45" s="4344" t="s">
        <v>2146</v>
      </c>
      <c r="H45" s="4348" t="s">
        <v>2146</v>
      </c>
      <c r="I45" s="4349" t="str">
        <f t="shared" si="8"/>
        <v>NO</v>
      </c>
    </row>
    <row r="46" spans="2:9" ht="18" customHeight="1" x14ac:dyDescent="0.25">
      <c r="B46" s="915" t="s">
        <v>1909</v>
      </c>
      <c r="C46" s="4327">
        <f>IF(SUM(C47:C48)=0,"NO",SUM(C47:C48))</f>
        <v>1078.5368485710001</v>
      </c>
      <c r="D46" s="4328">
        <f>IF(SUM(D47:D48)=0,"NO",SUM(D47:D48))</f>
        <v>452.88114259273567</v>
      </c>
      <c r="E46" s="4327">
        <f t="shared" si="11"/>
        <v>1.1089923019181099E-2</v>
      </c>
      <c r="F46" s="4328">
        <f t="shared" si="12"/>
        <v>7.4999999999999997E-3</v>
      </c>
      <c r="G46" s="4327">
        <f>IF(SUM(G47:G48)=0,"NO",SUM(G47:G48))</f>
        <v>1.8795685266289757E-2</v>
      </c>
      <c r="H46" s="4329">
        <f>IF(SUM(H47:H48)=0,"NO",SUM(H47:H48))</f>
        <v>5.3375277519858129E-3</v>
      </c>
      <c r="I46" s="4328">
        <f t="shared" si="8"/>
        <v>2.4133213018275569E-2</v>
      </c>
    </row>
    <row r="47" spans="2:9" ht="18" customHeight="1" x14ac:dyDescent="0.25">
      <c r="B47" s="914" t="s">
        <v>1251</v>
      </c>
      <c r="C47" s="4330">
        <f>Table4.E!E11</f>
        <v>928.74684857099999</v>
      </c>
      <c r="D47" s="4331">
        <f>H47/F47*1000/(44/28)</f>
        <v>9.1675516057277129</v>
      </c>
      <c r="E47" s="4332">
        <f t="shared" si="11"/>
        <v>1.4922325089534622E-4</v>
      </c>
      <c r="F47" s="4333">
        <v>7.4999999999999997E-3</v>
      </c>
      <c r="G47" s="4330">
        <v>2.177852662897567E-4</v>
      </c>
      <c r="H47" s="4334">
        <v>1.0804614392464805E-4</v>
      </c>
      <c r="I47" s="4335">
        <f t="shared" si="8"/>
        <v>3.2583141021440477E-4</v>
      </c>
    </row>
    <row r="48" spans="2:9" ht="18" customHeight="1" x14ac:dyDescent="0.25">
      <c r="B48" s="914" t="s">
        <v>1910</v>
      </c>
      <c r="C48" s="4336">
        <f>IF(SUM(C50:C54)=0,"NO",SUM(C50:C54))</f>
        <v>149.79</v>
      </c>
      <c r="D48" s="4335">
        <f>IF(SUM(D50:D54)=0,"NO",SUM(D50:D54))</f>
        <v>443.71359098700793</v>
      </c>
      <c r="E48" s="4336">
        <f>IF(SUM(C48)=0,"NA",G48/C48*1000/(44/28))</f>
        <v>7.8925829494625829E-2</v>
      </c>
      <c r="F48" s="4335">
        <f>IF(SUM(D48)=0,"NA",H48/D48*1000/(44/28))</f>
        <v>7.4999999999999997E-3</v>
      </c>
      <c r="G48" s="4336">
        <f>IF(SUM(G50:G54)=0,"NO",SUM(G50:G54))</f>
        <v>1.8577900000000001E-2</v>
      </c>
      <c r="H48" s="4337">
        <f>IF(SUM(H50:H54)=0,"NO",SUM(H50:H54))</f>
        <v>5.229481608061165E-3</v>
      </c>
      <c r="I48" s="4335">
        <f t="shared" si="8"/>
        <v>2.3807381608061166E-2</v>
      </c>
    </row>
    <row r="49" spans="2:9" ht="18" customHeight="1" x14ac:dyDescent="0.25">
      <c r="B49" s="1488" t="s">
        <v>345</v>
      </c>
      <c r="C49" s="4338"/>
      <c r="D49" s="4339"/>
      <c r="E49" s="4339"/>
      <c r="F49" s="4339"/>
      <c r="G49" s="4339"/>
      <c r="H49" s="4339"/>
      <c r="I49" s="4340"/>
    </row>
    <row r="50" spans="2:9" ht="18" customHeight="1" x14ac:dyDescent="0.25">
      <c r="B50" s="528" t="s">
        <v>1252</v>
      </c>
      <c r="C50" s="4341">
        <f>Table4.E!E14</f>
        <v>149.79</v>
      </c>
      <c r="D50" s="4331">
        <f>H50/F50*1000/(44/28)</f>
        <v>443.71359098700793</v>
      </c>
      <c r="E50" s="4336">
        <f>IF(SUM(C50)=0,"NA",G50/C50*1000/(44/28))</f>
        <v>7.8925829494625829E-2</v>
      </c>
      <c r="F50" s="4333">
        <v>7.4999999999999997E-3</v>
      </c>
      <c r="G50" s="4341">
        <v>1.8577900000000001E-2</v>
      </c>
      <c r="H50" s="4342">
        <v>5.229481608061165E-3</v>
      </c>
      <c r="I50" s="4335">
        <f t="shared" si="8"/>
        <v>2.3807381608061166E-2</v>
      </c>
    </row>
    <row r="51" spans="2:9" ht="18" customHeight="1" x14ac:dyDescent="0.25">
      <c r="B51" s="528" t="s">
        <v>1253</v>
      </c>
      <c r="C51" s="4341" t="s">
        <v>2153</v>
      </c>
      <c r="D51" s="4343" t="s">
        <v>2153</v>
      </c>
      <c r="E51" s="4336" t="str">
        <f t="shared" ref="E51:E56" si="13">IF(SUM(C51)=0,"NA",G51/C51*1000/(44/28))</f>
        <v>NA</v>
      </c>
      <c r="F51" s="4335" t="str">
        <f t="shared" ref="F51:F56" si="14">IF(SUM(D51)=0,"NA",H51/D51*1000/(44/28))</f>
        <v>NA</v>
      </c>
      <c r="G51" s="4341" t="s">
        <v>2153</v>
      </c>
      <c r="H51" s="4342" t="s">
        <v>2153</v>
      </c>
      <c r="I51" s="4335" t="s">
        <v>2153</v>
      </c>
    </row>
    <row r="52" spans="2:9" ht="18" customHeight="1" x14ac:dyDescent="0.25">
      <c r="B52" s="528" t="s">
        <v>1254</v>
      </c>
      <c r="C52" s="4341" t="s">
        <v>2153</v>
      </c>
      <c r="D52" s="4343" t="s">
        <v>2153</v>
      </c>
      <c r="E52" s="4336" t="str">
        <f t="shared" si="13"/>
        <v>NA</v>
      </c>
      <c r="F52" s="4335" t="str">
        <f t="shared" si="14"/>
        <v>NA</v>
      </c>
      <c r="G52" s="4341" t="s">
        <v>2153</v>
      </c>
      <c r="H52" s="4342" t="s">
        <v>2153</v>
      </c>
      <c r="I52" s="4335" t="s">
        <v>2153</v>
      </c>
    </row>
    <row r="53" spans="2:9" ht="18" customHeight="1" x14ac:dyDescent="0.25">
      <c r="B53" s="528" t="s">
        <v>1255</v>
      </c>
      <c r="C53" s="4341" t="s">
        <v>2146</v>
      </c>
      <c r="D53" s="4343" t="s">
        <v>2146</v>
      </c>
      <c r="E53" s="4336" t="str">
        <f t="shared" si="13"/>
        <v>NA</v>
      </c>
      <c r="F53" s="4335" t="str">
        <f t="shared" si="14"/>
        <v>NA</v>
      </c>
      <c r="G53" s="4341" t="s">
        <v>2146</v>
      </c>
      <c r="H53" s="4342" t="s">
        <v>2146</v>
      </c>
      <c r="I53" s="4335" t="str">
        <f t="shared" si="8"/>
        <v>NO</v>
      </c>
    </row>
    <row r="54" spans="2:9" ht="18" customHeight="1" thickBot="1" x14ac:dyDescent="0.3">
      <c r="B54" s="529" t="s">
        <v>1256</v>
      </c>
      <c r="C54" s="4344" t="s">
        <v>2146</v>
      </c>
      <c r="D54" s="4345" t="s">
        <v>2146</v>
      </c>
      <c r="E54" s="4346" t="str">
        <f t="shared" si="13"/>
        <v>NA</v>
      </c>
      <c r="F54" s="4347" t="str">
        <f t="shared" si="14"/>
        <v>NA</v>
      </c>
      <c r="G54" s="4344" t="s">
        <v>2146</v>
      </c>
      <c r="H54" s="4348" t="s">
        <v>2146</v>
      </c>
      <c r="I54" s="4349" t="str">
        <f t="shared" si="8"/>
        <v>NO</v>
      </c>
    </row>
    <row r="55" spans="2:9" ht="18" customHeight="1" x14ac:dyDescent="0.25">
      <c r="B55" s="916" t="s">
        <v>1983</v>
      </c>
      <c r="C55" s="4350" t="str">
        <f>C56</f>
        <v>NO</v>
      </c>
      <c r="D55" s="4351" t="str">
        <f>D56</f>
        <v>NO</v>
      </c>
      <c r="E55" s="4350" t="str">
        <f t="shared" si="13"/>
        <v>NA</v>
      </c>
      <c r="F55" s="4351" t="str">
        <f t="shared" si="14"/>
        <v>NA</v>
      </c>
      <c r="G55" s="4350" t="str">
        <f>G56</f>
        <v>NO</v>
      </c>
      <c r="H55" s="4352" t="str">
        <f>H56</f>
        <v>NO</v>
      </c>
      <c r="I55" s="4328" t="str">
        <f t="shared" si="8"/>
        <v>NO</v>
      </c>
    </row>
    <row r="56" spans="2:9" ht="18" customHeight="1" x14ac:dyDescent="0.25">
      <c r="B56" s="914" t="s">
        <v>1911</v>
      </c>
      <c r="C56" s="4336" t="str">
        <f>IF(SUM(C58:C62)=0,"NO",SUM(C58:C62))</f>
        <v>NO</v>
      </c>
      <c r="D56" s="4335" t="str">
        <f>IF(SUM(D58:D62)=0,"NO",SUM(D58:D62))</f>
        <v>NO</v>
      </c>
      <c r="E56" s="4336" t="str">
        <f t="shared" si="13"/>
        <v>NA</v>
      </c>
      <c r="F56" s="4335" t="str">
        <f t="shared" si="14"/>
        <v>NA</v>
      </c>
      <c r="G56" s="4336" t="str">
        <f>IF(SUM(G58:G62)=0,"NO",SUM(G58:G62))</f>
        <v>NO</v>
      </c>
      <c r="H56" s="4337" t="str">
        <f>IF(SUM(H58:H62)=0,"NO",SUM(H58:H62))</f>
        <v>NO</v>
      </c>
      <c r="I56" s="4335" t="str">
        <f t="shared" si="8"/>
        <v>NO</v>
      </c>
    </row>
    <row r="57" spans="2:9" ht="18" customHeight="1" x14ac:dyDescent="0.25">
      <c r="B57" s="1488" t="s">
        <v>345</v>
      </c>
      <c r="C57" s="4338"/>
      <c r="D57" s="4339"/>
      <c r="E57" s="4339"/>
      <c r="F57" s="4339"/>
      <c r="G57" s="4339"/>
      <c r="H57" s="4339"/>
      <c r="I57" s="4340"/>
    </row>
    <row r="58" spans="2:9" ht="18" customHeight="1" x14ac:dyDescent="0.25">
      <c r="B58" s="528" t="s">
        <v>1257</v>
      </c>
      <c r="C58" s="4341" t="s">
        <v>2146</v>
      </c>
      <c r="D58" s="4343" t="s">
        <v>2146</v>
      </c>
      <c r="E58" s="4336" t="str">
        <f>IF(SUM(C58)=0,"NA",G58/C58*1000/(44/28))</f>
        <v>NA</v>
      </c>
      <c r="F58" s="4335" t="str">
        <f>IF(SUM(D58)=0,"NA",H58/D58*1000/(44/28))</f>
        <v>NA</v>
      </c>
      <c r="G58" s="4341" t="s">
        <v>2146</v>
      </c>
      <c r="H58" s="4342" t="s">
        <v>2146</v>
      </c>
      <c r="I58" s="4335" t="str">
        <f t="shared" si="8"/>
        <v>NO</v>
      </c>
    </row>
    <row r="59" spans="2:9" ht="18" customHeight="1" x14ac:dyDescent="0.25">
      <c r="B59" s="528" t="s">
        <v>1258</v>
      </c>
      <c r="C59" s="4341" t="s">
        <v>2146</v>
      </c>
      <c r="D59" s="4343" t="s">
        <v>2146</v>
      </c>
      <c r="E59" s="4336" t="str">
        <f t="shared" ref="E59:E62" si="15">IF(SUM(C59)=0,"NA",G59/C59*1000/(44/28))</f>
        <v>NA</v>
      </c>
      <c r="F59" s="4335" t="str">
        <f t="shared" ref="F59:F62" si="16">IF(SUM(D59)=0,"NA",H59/D59*1000/(44/28))</f>
        <v>NA</v>
      </c>
      <c r="G59" s="4341" t="s">
        <v>2146</v>
      </c>
      <c r="H59" s="4342" t="s">
        <v>2146</v>
      </c>
      <c r="I59" s="4335" t="str">
        <f t="shared" si="8"/>
        <v>NO</v>
      </c>
    </row>
    <row r="60" spans="2:9" ht="18" customHeight="1" x14ac:dyDescent="0.25">
      <c r="B60" s="528" t="s">
        <v>1259</v>
      </c>
      <c r="C60" s="4341" t="s">
        <v>2146</v>
      </c>
      <c r="D60" s="4343" t="s">
        <v>2146</v>
      </c>
      <c r="E60" s="4336" t="str">
        <f t="shared" si="15"/>
        <v>NA</v>
      </c>
      <c r="F60" s="4335" t="str">
        <f t="shared" si="16"/>
        <v>NA</v>
      </c>
      <c r="G60" s="4341" t="s">
        <v>2146</v>
      </c>
      <c r="H60" s="4342" t="s">
        <v>2146</v>
      </c>
      <c r="I60" s="4335" t="str">
        <f t="shared" si="8"/>
        <v>NO</v>
      </c>
    </row>
    <row r="61" spans="2:9" ht="18" customHeight="1" x14ac:dyDescent="0.25">
      <c r="B61" s="528" t="s">
        <v>1260</v>
      </c>
      <c r="C61" s="4341" t="s">
        <v>2146</v>
      </c>
      <c r="D61" s="4343" t="s">
        <v>2146</v>
      </c>
      <c r="E61" s="4336" t="str">
        <f t="shared" si="15"/>
        <v>NA</v>
      </c>
      <c r="F61" s="4335" t="str">
        <f t="shared" si="16"/>
        <v>NA</v>
      </c>
      <c r="G61" s="4341" t="s">
        <v>2146</v>
      </c>
      <c r="H61" s="4342" t="s">
        <v>2146</v>
      </c>
      <c r="I61" s="4335" t="str">
        <f t="shared" si="8"/>
        <v>NO</v>
      </c>
    </row>
    <row r="62" spans="2:9" ht="18" customHeight="1" thickBot="1" x14ac:dyDescent="0.3">
      <c r="B62" s="529" t="s">
        <v>1261</v>
      </c>
      <c r="C62" s="4353" t="s">
        <v>2146</v>
      </c>
      <c r="D62" s="4354" t="s">
        <v>2146</v>
      </c>
      <c r="E62" s="4355" t="str">
        <f t="shared" si="15"/>
        <v>NA</v>
      </c>
      <c r="F62" s="4356" t="str">
        <f t="shared" si="16"/>
        <v>NA</v>
      </c>
      <c r="G62" s="4353" t="s">
        <v>2146</v>
      </c>
      <c r="H62" s="4357" t="s">
        <v>2146</v>
      </c>
      <c r="I62" s="4349" t="str">
        <f t="shared" si="8"/>
        <v>NO</v>
      </c>
    </row>
    <row r="63" spans="2:9" ht="14.4" x14ac:dyDescent="0.25">
      <c r="B63" s="912"/>
      <c r="C63" s="913"/>
      <c r="D63" s="913"/>
      <c r="E63" s="913"/>
      <c r="F63" s="913"/>
      <c r="G63" s="913"/>
    </row>
    <row r="64" spans="2:9" ht="14.4" x14ac:dyDescent="0.25">
      <c r="B64" s="788"/>
      <c r="C64" s="84"/>
      <c r="D64" s="84"/>
      <c r="E64" s="84"/>
      <c r="F64" s="84"/>
      <c r="G64" s="84"/>
    </row>
    <row r="65" spans="2:9" x14ac:dyDescent="0.25">
      <c r="B65" s="861"/>
      <c r="C65" s="84"/>
      <c r="D65" s="84"/>
      <c r="E65" s="84"/>
      <c r="F65" s="84"/>
      <c r="G65" s="84"/>
    </row>
    <row r="66" spans="2:9" x14ac:dyDescent="0.25">
      <c r="B66" s="861"/>
      <c r="C66" s="84"/>
      <c r="D66" s="84"/>
      <c r="E66" s="84"/>
      <c r="F66" s="84"/>
      <c r="G66" s="84"/>
    </row>
    <row r="67" spans="2:9" x14ac:dyDescent="0.25">
      <c r="B67" s="530"/>
      <c r="C67" s="514"/>
      <c r="D67" s="514"/>
      <c r="E67" s="514"/>
      <c r="F67" s="514"/>
      <c r="G67" s="514"/>
    </row>
    <row r="68" spans="2:9" x14ac:dyDescent="0.25">
      <c r="B68" s="530"/>
      <c r="C68"/>
      <c r="D68"/>
      <c r="E68"/>
      <c r="F68"/>
      <c r="G68"/>
    </row>
    <row r="69" spans="2:9" x14ac:dyDescent="0.25">
      <c r="B69" s="530"/>
      <c r="C69"/>
      <c r="D69"/>
      <c r="E69"/>
      <c r="F69"/>
      <c r="G69"/>
    </row>
    <row r="70" spans="2:9" x14ac:dyDescent="0.25">
      <c r="B70" s="530"/>
      <c r="C70"/>
      <c r="D70"/>
      <c r="E70"/>
      <c r="F70"/>
      <c r="G70"/>
    </row>
    <row r="71" spans="2:9" x14ac:dyDescent="0.25">
      <c r="B71" s="530"/>
      <c r="C71"/>
      <c r="D71"/>
      <c r="E71"/>
      <c r="F71"/>
      <c r="G71"/>
    </row>
    <row r="72" spans="2:9" x14ac:dyDescent="0.25">
      <c r="B72" s="861"/>
      <c r="C72"/>
      <c r="D72"/>
      <c r="E72"/>
      <c r="F72"/>
      <c r="G72"/>
    </row>
    <row r="73" spans="2:9" ht="14.4" x14ac:dyDescent="0.25">
      <c r="B73" s="787"/>
      <c r="C73" s="787"/>
      <c r="D73" s="787"/>
      <c r="E73" s="514"/>
      <c r="F73" s="514"/>
      <c r="G73" s="514"/>
    </row>
    <row r="74" spans="2:9" ht="14.4" x14ac:dyDescent="0.25">
      <c r="B74" s="787"/>
      <c r="C74" s="787"/>
      <c r="D74" s="787"/>
      <c r="E74" s="514"/>
      <c r="F74" s="514"/>
      <c r="G74" s="514"/>
    </row>
    <row r="75" spans="2:9" ht="14.4" x14ac:dyDescent="0.25">
      <c r="B75" s="787"/>
      <c r="C75" s="787"/>
      <c r="D75" s="787"/>
      <c r="E75" s="514"/>
      <c r="F75" s="514"/>
      <c r="G75" s="514"/>
    </row>
    <row r="76" spans="2:9" ht="14.4" x14ac:dyDescent="0.25">
      <c r="B76" s="787"/>
      <c r="C76"/>
      <c r="D76"/>
      <c r="E76"/>
      <c r="F76"/>
      <c r="G76"/>
    </row>
    <row r="77" spans="2:9" ht="14.4" x14ac:dyDescent="0.25">
      <c r="B77" s="787"/>
      <c r="C77"/>
      <c r="D77"/>
      <c r="E77"/>
      <c r="F77"/>
      <c r="G77"/>
    </row>
    <row r="78" spans="2:9" ht="13.8" thickBot="1" x14ac:dyDescent="0.3">
      <c r="B78" s="861"/>
      <c r="C78"/>
      <c r="D78"/>
      <c r="E78"/>
      <c r="F78"/>
      <c r="G78"/>
    </row>
    <row r="79" spans="2:9" x14ac:dyDescent="0.25">
      <c r="B79" s="531" t="s">
        <v>390</v>
      </c>
      <c r="C79" s="532"/>
      <c r="D79" s="532"/>
      <c r="E79" s="532"/>
      <c r="F79" s="532"/>
      <c r="G79" s="532"/>
      <c r="H79" s="532"/>
      <c r="I79" s="533"/>
    </row>
    <row r="80" spans="2:9" x14ac:dyDescent="0.25">
      <c r="B80" s="1351"/>
      <c r="C80" s="1352"/>
      <c r="D80" s="1352"/>
      <c r="E80" s="1352"/>
      <c r="F80" s="1352"/>
      <c r="G80" s="1352"/>
      <c r="H80" s="1352"/>
      <c r="I80" s="1353"/>
    </row>
    <row r="81" spans="2:10" x14ac:dyDescent="0.25">
      <c r="B81" s="1351"/>
      <c r="C81" s="1352"/>
      <c r="D81" s="1352"/>
      <c r="E81" s="1352"/>
      <c r="F81" s="1352"/>
      <c r="G81" s="1352"/>
      <c r="H81" s="1352"/>
      <c r="I81" s="1353"/>
    </row>
    <row r="82" spans="2:10" x14ac:dyDescent="0.25">
      <c r="B82" s="1344"/>
      <c r="C82" s="1349"/>
      <c r="D82" s="1349"/>
      <c r="E82" s="1349"/>
      <c r="F82" s="1349"/>
      <c r="G82" s="1349"/>
      <c r="H82" s="1349"/>
      <c r="I82" s="1350"/>
      <c r="J82" s="534"/>
    </row>
    <row r="83" spans="2:10" ht="13.8" thickBot="1" x14ac:dyDescent="0.3">
      <c r="B83" s="4437"/>
      <c r="C83" s="4438"/>
      <c r="D83" s="4438"/>
      <c r="E83" s="4438"/>
      <c r="F83" s="4438"/>
      <c r="G83" s="4438"/>
      <c r="H83" s="4438"/>
      <c r="I83" s="4439"/>
    </row>
    <row r="84" spans="2:10" x14ac:dyDescent="0.25">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8671875" defaultRowHeight="12" customHeight="1" x14ac:dyDescent="0.25"/>
  <cols>
    <col min="1" max="1" width="1.88671875" customWidth="1"/>
    <col min="2" max="2" width="44.5546875" bestFit="1" customWidth="1"/>
    <col min="3" max="3" width="24.109375" customWidth="1"/>
    <col min="4" max="4" width="12" customWidth="1"/>
    <col min="5" max="5" width="15.44140625" customWidth="1"/>
    <col min="6" max="6" width="15" customWidth="1"/>
    <col min="7" max="7" width="14" customWidth="1"/>
    <col min="8" max="8" width="16.109375" customWidth="1"/>
    <col min="9" max="9" width="16.88671875" customWidth="1"/>
    <col min="10" max="10" width="18.109375" customWidth="1"/>
    <col min="11" max="11" width="23.44140625" customWidth="1"/>
    <col min="12" max="12" width="10.88671875" customWidth="1"/>
  </cols>
  <sheetData>
    <row r="1" spans="2:11" ht="16.350000000000001" customHeight="1" x14ac:dyDescent="0.3">
      <c r="B1" s="987" t="s">
        <v>119</v>
      </c>
      <c r="C1" s="987"/>
      <c r="J1" s="2183"/>
      <c r="K1" s="14" t="s">
        <v>2521</v>
      </c>
    </row>
    <row r="2" spans="2:11" ht="16.350000000000001" customHeight="1" x14ac:dyDescent="0.3">
      <c r="B2" s="1021" t="s">
        <v>120</v>
      </c>
      <c r="J2" s="2183"/>
      <c r="K2" s="14" t="s">
        <v>2522</v>
      </c>
    </row>
    <row r="3" spans="2:11" ht="16.350000000000001" customHeight="1" x14ac:dyDescent="0.3">
      <c r="B3" s="1022" t="s">
        <v>121</v>
      </c>
      <c r="I3" s="2183"/>
      <c r="J3" s="2183"/>
      <c r="K3" s="14" t="s">
        <v>2144</v>
      </c>
    </row>
    <row r="4" spans="2:11" ht="12" customHeight="1" x14ac:dyDescent="0.25">
      <c r="B4" s="2235"/>
      <c r="I4" s="2183"/>
      <c r="J4" s="2183"/>
    </row>
    <row r="5" spans="2:11" ht="12" customHeight="1" x14ac:dyDescent="0.25">
      <c r="B5" s="2551"/>
      <c r="I5" s="2183"/>
      <c r="J5" s="2183"/>
    </row>
    <row r="6" spans="2:11" ht="12" customHeight="1" thickBot="1" x14ac:dyDescent="0.3">
      <c r="B6" s="2448" t="s">
        <v>64</v>
      </c>
      <c r="I6" s="2183"/>
      <c r="J6" s="2183"/>
    </row>
    <row r="7" spans="2:11" ht="12" customHeight="1" x14ac:dyDescent="0.25">
      <c r="B7" s="1860" t="s">
        <v>65</v>
      </c>
      <c r="C7" s="177" t="s">
        <v>122</v>
      </c>
      <c r="D7" s="179"/>
      <c r="E7" s="177" t="s">
        <v>123</v>
      </c>
      <c r="F7" s="178"/>
      <c r="G7" s="179"/>
      <c r="H7" s="177" t="s">
        <v>124</v>
      </c>
      <c r="I7" s="178"/>
      <c r="J7" s="178"/>
      <c r="K7" s="2157" t="s">
        <v>2114</v>
      </c>
    </row>
    <row r="8" spans="2:11" ht="12" customHeight="1" x14ac:dyDescent="0.25">
      <c r="B8" s="1861"/>
      <c r="C8" s="1863" t="s">
        <v>125</v>
      </c>
      <c r="D8" s="1859"/>
      <c r="E8" s="1721" t="s">
        <v>126</v>
      </c>
      <c r="F8" s="1721" t="s">
        <v>67</v>
      </c>
      <c r="G8" s="1859" t="s">
        <v>68</v>
      </c>
      <c r="H8" s="1859" t="s">
        <v>2010</v>
      </c>
      <c r="I8" s="1721" t="s">
        <v>67</v>
      </c>
      <c r="J8" s="1721" t="s">
        <v>68</v>
      </c>
      <c r="K8" s="263" t="s">
        <v>66</v>
      </c>
    </row>
    <row r="9" spans="2:11" ht="19.5" customHeight="1" thickBot="1" x14ac:dyDescent="0.3">
      <c r="B9" s="1862"/>
      <c r="C9" s="1846" t="s">
        <v>127</v>
      </c>
      <c r="D9" s="1747" t="s">
        <v>128</v>
      </c>
      <c r="E9" s="1747" t="s">
        <v>129</v>
      </c>
      <c r="F9" s="1748" t="s">
        <v>130</v>
      </c>
      <c r="G9" s="1772"/>
      <c r="H9" s="1748" t="s">
        <v>73</v>
      </c>
      <c r="I9" s="344"/>
      <c r="J9" s="344"/>
      <c r="K9" s="345"/>
    </row>
    <row r="10" spans="2:11" ht="18" customHeight="1" thickTop="1" x14ac:dyDescent="0.25">
      <c r="B10" s="2181" t="s">
        <v>131</v>
      </c>
      <c r="C10" s="1913">
        <f>IF(SUM(C11:C16)=0,"NO",SUM(C11:C16))</f>
        <v>3541722.4919186989</v>
      </c>
      <c r="D10" s="3076" t="s">
        <v>1814</v>
      </c>
      <c r="E10" s="628"/>
      <c r="F10" s="628"/>
      <c r="G10" s="628"/>
      <c r="H10" s="1913">
        <f>IF(SUM(H11:H15)=0,"NO",SUM(H11:H15))</f>
        <v>251679.28872254479</v>
      </c>
      <c r="I10" s="1913">
        <f t="shared" ref="I10:K10" si="0">IF(SUM(I11:I16)=0,"NO",SUM(I11:I16))</f>
        <v>131.64849530369335</v>
      </c>
      <c r="J10" s="1913">
        <f t="shared" si="0"/>
        <v>6.4471737052587219</v>
      </c>
      <c r="K10" s="3085" t="str">
        <f t="shared" si="0"/>
        <v>NO</v>
      </c>
    </row>
    <row r="11" spans="2:11" ht="18" customHeight="1" x14ac:dyDescent="0.25">
      <c r="B11" s="282" t="s">
        <v>132</v>
      </c>
      <c r="C11" s="3086">
        <f>IF(SUM(C18,'Table1.A(a)s2'!C11,'Table1.A(a)s3'!C11,'Table1.A(a)s4'!C11,'Table1.A(a)s4'!C94)=0,"NO",SUM(C18,'Table1.A(a)s2'!C11,'Table1.A(a)s3'!C11,'Table1.A(a)s4'!C11,'Table1.A(a)s4'!C94))</f>
        <v>1268310.5629154623</v>
      </c>
      <c r="D11" s="3077" t="s">
        <v>2145</v>
      </c>
      <c r="E11" s="1913">
        <f>IFERROR(H11*1000/$C11,"NA")</f>
        <v>68.072187652106777</v>
      </c>
      <c r="F11" s="1913">
        <f t="shared" ref="F11:G16" si="1">IFERROR(I11*1000000/$C11,"NA")</f>
        <v>22.165329680486707</v>
      </c>
      <c r="G11" s="1913">
        <f t="shared" si="1"/>
        <v>2.9668460858456052</v>
      </c>
      <c r="H11" s="1913">
        <f>IF(SUM(H18,'Table1.A(a)s2'!H11,'Table1.A(a)s3'!H11,'Table1.A(a)s4'!H11,'Table1.A(a)s4'!H94)=0,"NO",SUM(H18,'Table1.A(a)s2'!H11,'Table1.A(a)s3'!H11,'Table1.A(a)s4'!H11,'Table1.A(a)s4'!H94))</f>
        <v>86336.674639930527</v>
      </c>
      <c r="I11" s="1913">
        <f>IF(SUM(I18,'Table1.A(a)s2'!I11,'Table1.A(a)s3'!I11,'Table1.A(a)s4'!I11,'Table1.A(a)s4'!I94)=0,"NO",SUM(I18,'Table1.A(a)s2'!I11,'Table1.A(a)s3'!I11,'Table1.A(a)s4'!I11,'Table1.A(a)s4'!I94))</f>
        <v>28.112521764264901</v>
      </c>
      <c r="J11" s="1913">
        <f>IF(SUM(J18,'Table1.A(a)s2'!J11,'Table1.A(a)s3'!J11,'Table1.A(a)s4'!J11,'Table1.A(a)s4'!J94)=0,"NO",SUM(J18,'Table1.A(a)s2'!J11,'Table1.A(a)s3'!J11,'Table1.A(a)s4'!J11,'Table1.A(a)s4'!J94))</f>
        <v>3.7628822292223756</v>
      </c>
      <c r="K11" s="3065" t="str">
        <f>IF(SUM(K18,'Table1.A(a)s2'!K11,'Table1.A(a)s3'!K11,'Table1.A(a)s4'!K11,'Table1.A(a)s4'!K94)=0,"NO",SUM(K18,'Table1.A(a)s2'!K11,'Table1.A(a)s3'!K11,'Table1.A(a)s4'!K11,'Table1.A(a)s4'!K94))</f>
        <v>NO</v>
      </c>
    </row>
    <row r="12" spans="2:11" ht="18" customHeight="1" x14ac:dyDescent="0.25">
      <c r="B12" s="282" t="s">
        <v>133</v>
      </c>
      <c r="C12" s="3086">
        <f>IF(SUM(C19,'Table1.A(a)s2'!C12,'Table1.A(a)s3'!C12,'Table1.A(a)s4'!C12,'Table1.A(a)s4'!C95)=0,"NO",SUM(C19,'Table1.A(a)s2'!C12,'Table1.A(a)s3'!C12,'Table1.A(a)s4'!C12,'Table1.A(a)s4'!C95))</f>
        <v>1442899.8742920554</v>
      </c>
      <c r="D12" s="3077" t="s">
        <v>1814</v>
      </c>
      <c r="E12" s="1913">
        <f t="shared" ref="E12:E16" si="2">IFERROR(H12*1000/$C12,"NA")</f>
        <v>91.261578682813308</v>
      </c>
      <c r="F12" s="1913">
        <f t="shared" si="1"/>
        <v>0.69624430344713217</v>
      </c>
      <c r="G12" s="1913">
        <f t="shared" si="1"/>
        <v>0.96579756609842538</v>
      </c>
      <c r="H12" s="1913">
        <f>IF(SUM(H19,'Table1.A(a)s2'!H12,'Table1.A(a)s3'!H12,'Table1.A(a)s4'!H12,'Table1.A(a)s4'!H95)=0,"NO",SUM(H19,'Table1.A(a)s2'!H12,'Table1.A(a)s3'!H12,'Table1.A(a)s4'!H12,'Table1.A(a)s4'!H95))</f>
        <v>131681.32040912585</v>
      </c>
      <c r="I12" s="1913">
        <f>IF(SUM(I19,'Table1.A(a)s2'!I12,'Table1.A(a)s3'!I12,'Table1.A(a)s4'!I12,'Table1.A(a)s4'!I95)=0,"NO",SUM(I19,'Table1.A(a)s2'!I12,'Table1.A(a)s3'!I12,'Table1.A(a)s4'!I12,'Table1.A(a)s4'!I95))</f>
        <v>1.0046108179204267</v>
      </c>
      <c r="J12" s="1913">
        <f>IF(SUM(J19,'Table1.A(a)s2'!J12,'Table1.A(a)s3'!J12,'Table1.A(a)s4'!J12,'Table1.A(a)s4'!J95)=0,"NO",SUM(J19,'Table1.A(a)s2'!J12,'Table1.A(a)s3'!J12,'Table1.A(a)s4'!J12,'Table1.A(a)s4'!J95))</f>
        <v>1.393549186714991</v>
      </c>
      <c r="K12" s="3065" t="str">
        <f>IF(SUM(K19,'Table1.A(a)s2'!K12,'Table1.A(a)s3'!K12,'Table1.A(a)s4'!K12,'Table1.A(a)s4'!K95)=0,"NO",SUM(K19,'Table1.A(a)s2'!K12,'Table1.A(a)s3'!K12,'Table1.A(a)s4'!K12,'Table1.A(a)s4'!K95))</f>
        <v>NO</v>
      </c>
    </row>
    <row r="13" spans="2:11" ht="18" customHeight="1" x14ac:dyDescent="0.25">
      <c r="B13" s="282" t="s">
        <v>134</v>
      </c>
      <c r="C13" s="3086">
        <f>IF(SUM(C20,'Table1.A(a)s2'!C13,'Table1.A(a)s3'!C13,'Table1.A(a)s4'!C13,'Table1.A(a)s4'!C96)=0,"NO",SUM(C20,'Table1.A(a)s2'!C13,'Table1.A(a)s3'!C13,'Table1.A(a)s4'!C13,'Table1.A(a)s4'!C96))</f>
        <v>648165.03492082283</v>
      </c>
      <c r="D13" s="3077" t="s">
        <v>2145</v>
      </c>
      <c r="E13" s="1913">
        <f t="shared" si="2"/>
        <v>51.44754892545015</v>
      </c>
      <c r="F13" s="1913">
        <f t="shared" si="1"/>
        <v>8.2305380031314748</v>
      </c>
      <c r="G13" s="1913">
        <f t="shared" si="1"/>
        <v>0.74034308096557699</v>
      </c>
      <c r="H13" s="1913">
        <f>IF(SUM(H20,'Table1.A(a)s2'!H13,'Table1.A(a)s3'!H13,'Table1.A(a)s4'!H13,'Table1.A(a)s4'!H96)=0,"NO",SUM(H20,'Table1.A(a)s2'!H13,'Table1.A(a)s3'!H13,'Table1.A(a)s4'!H13,'Table1.A(a)s4'!H96))</f>
        <v>33346.502345855137</v>
      </c>
      <c r="I13" s="1913">
        <f>IF(SUM(I20,'Table1.A(a)s2'!I13,'Table1.A(a)s3'!I13,'Table1.A(a)s4'!I13,'Table1.A(a)s4'!I96)=0,"NO",SUM(I20,'Table1.A(a)s2'!I13,'Table1.A(a)s3'!I13,'Table1.A(a)s4'!I13,'Table1.A(a)s4'!I96))</f>
        <v>5.3347469522168725</v>
      </c>
      <c r="J13" s="1913">
        <f>IF(SUM(J20,'Table1.A(a)s2'!J13,'Table1.A(a)s3'!J13,'Table1.A(a)s4'!J13,'Table1.A(a)s4'!J96)=0,"NO",SUM(J20,'Table1.A(a)s2'!J13,'Table1.A(a)s3'!J13,'Table1.A(a)s4'!J13,'Table1.A(a)s4'!J96))</f>
        <v>0.47986449892744276</v>
      </c>
      <c r="K13" s="3065" t="str">
        <f>IF(SUM(K20,'Table1.A(a)s2'!K13,'Table1.A(a)s3'!K13,'Table1.A(a)s4'!K13,'Table1.A(a)s4'!K96)=0,"NO",SUM(K20,'Table1.A(a)s2'!K13,'Table1.A(a)s3'!K13,'Table1.A(a)s4'!K13,'Table1.A(a)s4'!K96))</f>
        <v>NO</v>
      </c>
    </row>
    <row r="14" spans="2:11" ht="18" customHeight="1" x14ac:dyDescent="0.25">
      <c r="B14" s="282" t="s">
        <v>135</v>
      </c>
      <c r="C14" s="3086">
        <f>IF(SUM(C21,'Table1.A(a)s2'!C14,'Table1.A(a)s3'!C14,'Table1.A(a)s4'!C14,'Table1.A(a)s4'!C97)=0,"NO",SUM(C21,'Table1.A(a)s2'!C14,'Table1.A(a)s3'!C14,'Table1.A(a)s4'!C14,'Table1.A(a)s4'!C97))</f>
        <v>3501.7097903584404</v>
      </c>
      <c r="D14" s="3077" t="s">
        <v>2145</v>
      </c>
      <c r="E14" s="1913">
        <f t="shared" si="2"/>
        <v>89.896463864600022</v>
      </c>
      <c r="F14" s="1913">
        <f t="shared" si="1"/>
        <v>31.801607405221613</v>
      </c>
      <c r="G14" s="1913">
        <f t="shared" si="1"/>
        <v>0.99380023141317542</v>
      </c>
      <c r="H14" s="1913">
        <f>IF(SUM(H21,'Table1.A(a)s2'!H14,'Table1.A(a)s3'!H14,'Table1.A(a)s4'!H14,'Table1.A(a)s4'!H97)=0,"NO",SUM(H21,'Table1.A(a)s2'!H14,'Table1.A(a)s3'!H14,'Table1.A(a)s4'!H14,'Table1.A(a)s4'!H97))</f>
        <v>314.79132763327368</v>
      </c>
      <c r="I14" s="1913">
        <f>IF(SUM(I21,'Table1.A(a)s2'!I14,'Table1.A(a)s3'!I14,'Table1.A(a)s4'!I14,'Table1.A(a)s4'!I97)=0,"NO",SUM(I21,'Table1.A(a)s2'!I14,'Table1.A(a)s3'!I14,'Table1.A(a)s4'!I14,'Table1.A(a)s4'!I97))</f>
        <v>0.11136</v>
      </c>
      <c r="J14" s="1913">
        <f>IF(SUM(J21,'Table1.A(a)s2'!J14,'Table1.A(a)s3'!J14,'Table1.A(a)s4'!J14,'Table1.A(a)s4'!J97)=0,"NO",SUM(J21,'Table1.A(a)s2'!J14,'Table1.A(a)s3'!J14,'Table1.A(a)s4'!J14,'Table1.A(a)s4'!J97))</f>
        <v>3.48E-3</v>
      </c>
      <c r="K14" s="3065" t="str">
        <f>IF(SUM(K21,'Table1.A(a)s2'!K14,'Table1.A(a)s3'!K14,'Table1.A(a)s4'!K14,'Table1.A(a)s4'!K97)=0,"NO",SUM(K21,'Table1.A(a)s2'!K14,'Table1.A(a)s3'!K14,'Table1.A(a)s4'!K14,'Table1.A(a)s4'!K97))</f>
        <v>NO</v>
      </c>
    </row>
    <row r="15" spans="2:11" ht="18" customHeight="1" x14ac:dyDescent="0.25">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3">
      <c r="B16" s="282" t="s">
        <v>137</v>
      </c>
      <c r="C16" s="3086">
        <f>IF(SUM(C23,'Table1.A(a)s2'!C16,'Table1.A(a)s3'!C15,'Table1.A(a)s4'!C16,'Table1.A(a)s4'!C99)=0,"NO",SUM(C23,'Table1.A(a)s2'!C16,'Table1.A(a)s3'!C15,'Table1.A(a)s4'!C16,'Table1.A(a)s4'!C99))</f>
        <v>178845.31</v>
      </c>
      <c r="D16" s="3079" t="s">
        <v>2145</v>
      </c>
      <c r="E16" s="2880">
        <f t="shared" si="2"/>
        <v>84.666828165636545</v>
      </c>
      <c r="F16" s="1913">
        <f t="shared" si="1"/>
        <v>542.84485161669124</v>
      </c>
      <c r="G16" s="1913">
        <f t="shared" si="1"/>
        <v>4.514503569559154</v>
      </c>
      <c r="H16" s="2880">
        <f>IF(SUM(H23,'Table1.A(a)s2'!H16,'Table1.A(a)s3'!H15,'Table1.A(a)s4'!H16,'Table1.A(a)s4'!H99)=0,"NO",SUM(H23,'Table1.A(a)s2'!H16,'Table1.A(a)s3'!H15,'Table1.A(a)s4'!H16,'Table1.A(a)s4'!H99))</f>
        <v>15142.26513</v>
      </c>
      <c r="I16" s="2880">
        <f>IF(SUM(I23,'Table1.A(a)s2'!I16,'Table1.A(a)s3'!I15,'Table1.A(a)s4'!I16,'Table1.A(a)s4'!I99)=0,"NO",SUM(I23,'Table1.A(a)s2'!I16,'Table1.A(a)s3'!I15,'Table1.A(a)s4'!I16,'Table1.A(a)s4'!I99))</f>
        <v>97.085255769291152</v>
      </c>
      <c r="J16" s="2880">
        <f>IF(SUM(J23,'Table1.A(a)s2'!J16,'Table1.A(a)s3'!J15,'Table1.A(a)s4'!J16,'Table1.A(a)s4'!J99)=0,"NO",SUM(J23,'Table1.A(a)s2'!J16,'Table1.A(a)s3'!J15,'Table1.A(a)s4'!J16,'Table1.A(a)s4'!J99))</f>
        <v>0.80739779039391335</v>
      </c>
      <c r="K16" s="3066" t="str">
        <f>IF(SUM(K23,'Table1.A(a)s2'!K16,'Table1.A(a)s3'!K15,'Table1.A(a)s4'!K16,'Table1.A(a)s4'!K99)=0,"NO",SUM(K23,'Table1.A(a)s2'!K16,'Table1.A(a)s3'!K15,'Table1.A(a)s4'!K16,'Table1.A(a)s4'!K99))</f>
        <v>NO</v>
      </c>
    </row>
    <row r="17" spans="2:12" ht="18" customHeight="1" x14ac:dyDescent="0.25">
      <c r="B17" s="2184" t="s">
        <v>76</v>
      </c>
      <c r="C17" s="3067">
        <f>IF(SUM(C18:C23)=0,"NO",SUM(C18:C23))</f>
        <v>1704543.562113205</v>
      </c>
      <c r="D17" s="3080" t="s">
        <v>1814</v>
      </c>
      <c r="E17" s="3081"/>
      <c r="F17" s="3081"/>
      <c r="G17" s="3081"/>
      <c r="H17" s="3067">
        <f>IF(SUM(H18:H22)=0,"NO",SUM(H18:H22))</f>
        <v>142550.68803032237</v>
      </c>
      <c r="I17" s="3067">
        <f t="shared" ref="I17" si="3">IF(SUM(I18:I23)=0,"NO",SUM(I18:I23))</f>
        <v>6.1186320590812242</v>
      </c>
      <c r="J17" s="3067">
        <f t="shared" ref="J17" si="4">IF(SUM(J18:J23)=0,"NO",SUM(J18:J23))</f>
        <v>1.7009294785985118</v>
      </c>
      <c r="K17" s="3068" t="str">
        <f t="shared" ref="K17" si="5">IF(SUM(K18:K23)=0,"NO",SUM(K18:K23))</f>
        <v>NO</v>
      </c>
    </row>
    <row r="18" spans="2:12" ht="18" customHeight="1" x14ac:dyDescent="0.25">
      <c r="B18" s="282" t="s">
        <v>132</v>
      </c>
      <c r="C18" s="3086">
        <f>IF(SUM(C25,C54,C61)=0,"NO",SUM(C25,C54,C61))</f>
        <v>129740.73718559992</v>
      </c>
      <c r="D18" s="3077" t="s">
        <v>1814</v>
      </c>
      <c r="E18" s="1913">
        <f>IFERROR(H18*1000/$C18,"NA")</f>
        <v>67.873377444010359</v>
      </c>
      <c r="F18" s="1913">
        <f t="shared" ref="F18:G23" si="6">IFERROR(I18*1000000/$C18,"NA")</f>
        <v>1.5868452458342803</v>
      </c>
      <c r="G18" s="1913">
        <f t="shared" si="6"/>
        <v>0.76872819293057171</v>
      </c>
      <c r="H18" s="3086">
        <f>IF(SUM(H25,H54,H61)=0,"NO",SUM(H25,H54,H61))</f>
        <v>8805.9420248623737</v>
      </c>
      <c r="I18" s="3086">
        <f>IF(SUM(I25,I54,I61)=0,"NO",SUM(I25,I54,I61))</f>
        <v>0.20587847199400405</v>
      </c>
      <c r="J18" s="3086">
        <f>IF(SUM(J25,J54,J61)=0,"NO",SUM(J25,J54,J61))</f>
        <v>9.9735362446166459E-2</v>
      </c>
      <c r="K18" s="3069" t="str">
        <f>IF(SUM(K25,K54,K61)=0,"NO",SUM(K25,K54,K61))</f>
        <v>NO</v>
      </c>
      <c r="L18" s="19"/>
    </row>
    <row r="19" spans="2:12" ht="18" customHeight="1" x14ac:dyDescent="0.25">
      <c r="B19" s="282" t="s">
        <v>133</v>
      </c>
      <c r="C19" s="3086">
        <f t="shared" ref="C19:C23" si="7">IF(SUM(C26,C55,C62)=0,"NO",SUM(C26,C55,C62))</f>
        <v>1301964.8222455438</v>
      </c>
      <c r="D19" s="3077" t="s">
        <v>1814</v>
      </c>
      <c r="E19" s="1913">
        <f t="shared" ref="E19:E23" si="8">IFERROR(H19*1000/$C19,"NA")</f>
        <v>92.403562170379004</v>
      </c>
      <c r="F19" s="1913">
        <f t="shared" si="6"/>
        <v>0.66721969379610668</v>
      </c>
      <c r="G19" s="1913">
        <f t="shared" si="6"/>
        <v>0.99483617570969363</v>
      </c>
      <c r="H19" s="3086">
        <f t="shared" ref="H19:K23" si="9">IF(SUM(H26,H55,H62)=0,"NO",SUM(H26,H55,H62))</f>
        <v>120306.18739601257</v>
      </c>
      <c r="I19" s="3086">
        <f t="shared" si="9"/>
        <v>0.8686965700319742</v>
      </c>
      <c r="J19" s="3086">
        <f t="shared" si="9"/>
        <v>1.2952417046713078</v>
      </c>
      <c r="K19" s="3069" t="str">
        <f t="shared" si="9"/>
        <v>NO</v>
      </c>
      <c r="L19" s="19"/>
    </row>
    <row r="20" spans="2:12" ht="18" customHeight="1" x14ac:dyDescent="0.25">
      <c r="B20" s="282" t="s">
        <v>134</v>
      </c>
      <c r="C20" s="3086">
        <f t="shared" si="7"/>
        <v>261487.7329009434</v>
      </c>
      <c r="D20" s="3077" t="s">
        <v>1814</v>
      </c>
      <c r="E20" s="1913">
        <f t="shared" si="8"/>
        <v>51.392692346826927</v>
      </c>
      <c r="F20" s="1913">
        <f t="shared" si="6"/>
        <v>18.835107001894606</v>
      </c>
      <c r="G20" s="1913">
        <f t="shared" si="6"/>
        <v>0.88066825819634498</v>
      </c>
      <c r="H20" s="3086">
        <f t="shared" si="9"/>
        <v>13438.558609447438</v>
      </c>
      <c r="I20" s="3086">
        <f t="shared" si="9"/>
        <v>4.925149428872106</v>
      </c>
      <c r="J20" s="3086">
        <f t="shared" si="9"/>
        <v>0.23028394627358489</v>
      </c>
      <c r="K20" s="3069" t="str">
        <f t="shared" si="9"/>
        <v>NO</v>
      </c>
      <c r="L20" s="19"/>
    </row>
    <row r="21" spans="2:12" ht="18" customHeight="1" x14ac:dyDescent="0.25">
      <c r="B21" s="282" t="s">
        <v>135</v>
      </c>
      <c r="C21" s="3086" t="str">
        <f t="shared" si="7"/>
        <v>NO</v>
      </c>
      <c r="D21" s="3077" t="s">
        <v>1814</v>
      </c>
      <c r="E21" s="1913" t="str">
        <f t="shared" si="8"/>
        <v>NA</v>
      </c>
      <c r="F21" s="1913" t="str">
        <f t="shared" si="6"/>
        <v>NA</v>
      </c>
      <c r="G21" s="1913" t="str">
        <f t="shared" si="6"/>
        <v>NA</v>
      </c>
      <c r="H21" s="3086" t="str">
        <f t="shared" si="9"/>
        <v>NO</v>
      </c>
      <c r="I21" s="3086" t="str">
        <f t="shared" si="9"/>
        <v>NO</v>
      </c>
      <c r="J21" s="3086" t="str">
        <f t="shared" si="9"/>
        <v>NO</v>
      </c>
      <c r="K21" s="3069" t="str">
        <f t="shared" si="9"/>
        <v>NO</v>
      </c>
      <c r="L21" s="19"/>
    </row>
    <row r="22" spans="2:12" ht="18" customHeight="1" x14ac:dyDescent="0.25">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5">
      <c r="B23" s="282" t="s">
        <v>137</v>
      </c>
      <c r="C23" s="3086">
        <f t="shared" si="7"/>
        <v>11350.2697811179</v>
      </c>
      <c r="D23" s="3077" t="s">
        <v>1814</v>
      </c>
      <c r="E23" s="1913">
        <f t="shared" si="8"/>
        <v>94.999999999999986</v>
      </c>
      <c r="F23" s="1913">
        <f t="shared" si="6"/>
        <v>10.476190476190476</v>
      </c>
      <c r="G23" s="1913">
        <f t="shared" si="6"/>
        <v>6.6666666666666652</v>
      </c>
      <c r="H23" s="3086">
        <f t="shared" si="9"/>
        <v>1078.2756292062004</v>
      </c>
      <c r="I23" s="3086">
        <f t="shared" si="9"/>
        <v>0.11890758818313991</v>
      </c>
      <c r="J23" s="3086">
        <f t="shared" si="9"/>
        <v>7.5668465207452656E-2</v>
      </c>
      <c r="K23" s="3069" t="str">
        <f t="shared" si="9"/>
        <v>NO</v>
      </c>
      <c r="L23" s="19"/>
    </row>
    <row r="24" spans="2:12" ht="18" customHeight="1" x14ac:dyDescent="0.25">
      <c r="B24" s="1237" t="s">
        <v>138</v>
      </c>
      <c r="C24" s="3086">
        <f>IF(SUM(C25:C30)=0,"NO",SUM(C25:C30))</f>
        <v>1486048.2069667177</v>
      </c>
      <c r="D24" s="3077" t="s">
        <v>1814</v>
      </c>
      <c r="E24" s="628"/>
      <c r="F24" s="628"/>
      <c r="G24" s="628"/>
      <c r="H24" s="3086">
        <f>IF(SUM(H25:H29)=0,"NO",SUM(H25:H29))</f>
        <v>129096.60814965154</v>
      </c>
      <c r="I24" s="3086">
        <f t="shared" ref="I24" si="10">IF(SUM(I25:I30)=0,"NO",SUM(I25:I30))</f>
        <v>1.3567494030445448</v>
      </c>
      <c r="J24" s="3086">
        <f t="shared" ref="J24" si="11">IF(SUM(J25:J30)=0,"NO",SUM(J25:J30))</f>
        <v>1.508934034451336</v>
      </c>
      <c r="K24" s="3069" t="str">
        <f t="shared" ref="K24" si="12">IF(SUM(K25:K30)=0,"NO",SUM(K25:K30))</f>
        <v>NO</v>
      </c>
      <c r="L24" s="19"/>
    </row>
    <row r="25" spans="2:12" ht="18" customHeight="1" x14ac:dyDescent="0.25">
      <c r="B25" s="160" t="s">
        <v>132</v>
      </c>
      <c r="C25" s="3074">
        <f>IF(SUM(C33,C40,C47)=0,"NO",SUM(C33,C40,C47))</f>
        <v>39927.9371856</v>
      </c>
      <c r="D25" s="3082" t="s">
        <v>1814</v>
      </c>
      <c r="E25" s="3086">
        <f>IFERROR(H25*1000/$C25,"NA")</f>
        <v>72.81300912411993</v>
      </c>
      <c r="F25" s="1913">
        <f t="shared" ref="F25:G30" si="13">IFERROR(I25*1000000/$C25,"NA")</f>
        <v>2.7173824850230082</v>
      </c>
      <c r="G25" s="1913">
        <f t="shared" si="13"/>
        <v>0.3468229645617309</v>
      </c>
      <c r="H25" s="3086">
        <f>IF(SUM(H33,H40,H47)=0,"NO",SUM(H33,H40,H47))</f>
        <v>2907.2732546023799</v>
      </c>
      <c r="I25" s="3086">
        <f>IF(SUM(I33,I40,I47)=0,"NO",SUM(I33,I40,I47))</f>
        <v>0.1084994771712483</v>
      </c>
      <c r="J25" s="3086">
        <f>IF(SUM(J33,J40,J47)=0,"NO",SUM(J33,J40,J47))</f>
        <v>1.3847925543544366E-2</v>
      </c>
      <c r="K25" s="3069" t="str">
        <f>IF(SUM(K33,K40,K47)=0,"NO",SUM(K33,K40,K47))</f>
        <v>NO</v>
      </c>
      <c r="L25" s="19"/>
    </row>
    <row r="26" spans="2:12" ht="18" customHeight="1" x14ac:dyDescent="0.25">
      <c r="B26" s="160" t="s">
        <v>133</v>
      </c>
      <c r="C26" s="3086">
        <f t="shared" ref="C26:C30" si="14">IF(SUM(C34,C41,C48)=0,"NO",SUM(C34,C41,C48))</f>
        <v>1273540</v>
      </c>
      <c r="D26" s="3082" t="s">
        <v>1814</v>
      </c>
      <c r="E26" s="3086">
        <f t="shared" ref="E26:E30" si="15">IFERROR(H26*1000/$C26,"NA")</f>
        <v>92.583455482394882</v>
      </c>
      <c r="F26" s="1913">
        <f t="shared" si="13"/>
        <v>0.66066638265220101</v>
      </c>
      <c r="G26" s="1913">
        <f t="shared" si="13"/>
        <v>0.99945421143239443</v>
      </c>
      <c r="H26" s="3086">
        <f t="shared" ref="H26:K30" si="16">IF(SUM(H34,H41,H48)=0,"NO",SUM(H34,H41,H48))</f>
        <v>117908.73389504917</v>
      </c>
      <c r="I26" s="3086">
        <f t="shared" si="16"/>
        <v>0.84138506496288401</v>
      </c>
      <c r="J26" s="3086">
        <f t="shared" si="16"/>
        <v>1.2728449164276117</v>
      </c>
      <c r="K26" s="3069" t="str">
        <f t="shared" si="16"/>
        <v>NO</v>
      </c>
      <c r="L26" s="19"/>
    </row>
    <row r="27" spans="2:12" ht="18" customHeight="1" x14ac:dyDescent="0.25">
      <c r="B27" s="160" t="s">
        <v>134</v>
      </c>
      <c r="C27" s="3086">
        <f t="shared" si="14"/>
        <v>161230</v>
      </c>
      <c r="D27" s="3082" t="s">
        <v>1814</v>
      </c>
      <c r="E27" s="3086">
        <f t="shared" si="15"/>
        <v>51.358934441481118</v>
      </c>
      <c r="F27" s="1913">
        <f t="shared" si="13"/>
        <v>1.7860030560520539</v>
      </c>
      <c r="G27" s="1913">
        <f t="shared" si="13"/>
        <v>0.90909090909090906</v>
      </c>
      <c r="H27" s="3086">
        <f t="shared" si="16"/>
        <v>8280.6010000000006</v>
      </c>
      <c r="I27" s="3086">
        <f t="shared" si="16"/>
        <v>0.28795727272727267</v>
      </c>
      <c r="J27" s="3086">
        <f t="shared" si="16"/>
        <v>0.14657272727272727</v>
      </c>
      <c r="K27" s="3069" t="str">
        <f t="shared" si="16"/>
        <v>NO</v>
      </c>
      <c r="L27" s="19"/>
    </row>
    <row r="28" spans="2:12" ht="18" customHeight="1" x14ac:dyDescent="0.25">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5">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5">
      <c r="B30" s="282" t="s">
        <v>137</v>
      </c>
      <c r="C30" s="3086">
        <f t="shared" si="14"/>
        <v>11350.2697811179</v>
      </c>
      <c r="D30" s="3082" t="s">
        <v>1814</v>
      </c>
      <c r="E30" s="3086">
        <f t="shared" si="15"/>
        <v>94.999999999999986</v>
      </c>
      <c r="F30" s="1913">
        <f t="shared" si="13"/>
        <v>10.476190476190476</v>
      </c>
      <c r="G30" s="1913">
        <f t="shared" si="13"/>
        <v>6.6666666666666652</v>
      </c>
      <c r="H30" s="3086">
        <f t="shared" si="16"/>
        <v>1078.2756292062004</v>
      </c>
      <c r="I30" s="3086">
        <f t="shared" si="16"/>
        <v>0.11890758818313991</v>
      </c>
      <c r="J30" s="3086">
        <f t="shared" si="16"/>
        <v>7.5668465207452656E-2</v>
      </c>
      <c r="K30" s="3069" t="str">
        <f t="shared" si="16"/>
        <v>NO</v>
      </c>
      <c r="L30" s="19"/>
    </row>
    <row r="31" spans="2:12" ht="18" customHeight="1" x14ac:dyDescent="0.25">
      <c r="B31" s="1243" t="s">
        <v>139</v>
      </c>
      <c r="C31" s="3083"/>
      <c r="D31" s="3070"/>
      <c r="E31" s="3070"/>
      <c r="F31" s="3070"/>
      <c r="G31" s="3070"/>
      <c r="H31" s="3070"/>
      <c r="I31" s="3070"/>
      <c r="J31" s="3070"/>
      <c r="K31" s="3071"/>
      <c r="L31" s="19"/>
    </row>
    <row r="32" spans="2:12" ht="18" customHeight="1" x14ac:dyDescent="0.25">
      <c r="B32" s="1238" t="s">
        <v>140</v>
      </c>
      <c r="C32" s="3086">
        <f>IF(SUM(C33:C38)=0,"NO",SUM(C33:C38))</f>
        <v>1486048.2069667177</v>
      </c>
      <c r="D32" s="3077" t="s">
        <v>1814</v>
      </c>
      <c r="E32" s="1914"/>
      <c r="F32" s="1914"/>
      <c r="G32" s="1914"/>
      <c r="H32" s="3086">
        <f>IF(SUM(H33:H37)=0,"NO",SUM(H33:H37))</f>
        <v>129096.60814965154</v>
      </c>
      <c r="I32" s="3086">
        <f t="shared" ref="I32" si="17">IF(SUM(I33:I38)=0,"NO",SUM(I33:I38))</f>
        <v>1.3567494030445448</v>
      </c>
      <c r="J32" s="3086">
        <f t="shared" ref="J32" si="18">IF(SUM(J33:J38)=0,"NO",SUM(J33:J38))</f>
        <v>1.508934034451336</v>
      </c>
      <c r="K32" s="3069" t="str">
        <f t="shared" ref="K32" si="19">IF(SUM(K33:K38)=0,"NO",SUM(K33:K38))</f>
        <v>NO</v>
      </c>
      <c r="L32" s="19"/>
    </row>
    <row r="33" spans="2:12" ht="18" customHeight="1" x14ac:dyDescent="0.25">
      <c r="B33" s="160" t="s">
        <v>132</v>
      </c>
      <c r="C33" s="3033">
        <v>39927.9371856</v>
      </c>
      <c r="D33" s="3077" t="s">
        <v>1814</v>
      </c>
      <c r="E33" s="1913">
        <f>IFERROR(H33*1000/$C33,"NA")</f>
        <v>72.81300912411993</v>
      </c>
      <c r="F33" s="1913">
        <f t="shared" ref="F33:G38" si="20">IFERROR(I33*1000000/$C33,"NA")</f>
        <v>2.7173824850230082</v>
      </c>
      <c r="G33" s="1913">
        <f t="shared" si="20"/>
        <v>0.3468229645617309</v>
      </c>
      <c r="H33" s="3033">
        <v>2907.2732546023799</v>
      </c>
      <c r="I33" s="3033">
        <v>0.1084994771712483</v>
      </c>
      <c r="J33" s="3033">
        <v>1.3847925543544366E-2</v>
      </c>
      <c r="K33" s="3072" t="s">
        <v>2146</v>
      </c>
      <c r="L33" s="19"/>
    </row>
    <row r="34" spans="2:12" ht="18" customHeight="1" x14ac:dyDescent="0.25">
      <c r="B34" s="160" t="s">
        <v>133</v>
      </c>
      <c r="C34" s="3033">
        <v>1273540</v>
      </c>
      <c r="D34" s="3077" t="s">
        <v>1814</v>
      </c>
      <c r="E34" s="1913">
        <f t="shared" ref="E34:E38" si="21">IFERROR(H34*1000/$C34,"NA")</f>
        <v>92.583455482394882</v>
      </c>
      <c r="F34" s="1913">
        <f t="shared" si="20"/>
        <v>0.66066638265220101</v>
      </c>
      <c r="G34" s="1913">
        <f t="shared" si="20"/>
        <v>0.99945421143239443</v>
      </c>
      <c r="H34" s="3033">
        <v>117908.73389504917</v>
      </c>
      <c r="I34" s="3033">
        <v>0.84138506496288401</v>
      </c>
      <c r="J34" s="3033">
        <v>1.2728449164276117</v>
      </c>
      <c r="K34" s="3072" t="s">
        <v>2146</v>
      </c>
      <c r="L34" s="19"/>
    </row>
    <row r="35" spans="2:12" ht="18" customHeight="1" x14ac:dyDescent="0.25">
      <c r="B35" s="160" t="s">
        <v>134</v>
      </c>
      <c r="C35" s="3033">
        <v>161230</v>
      </c>
      <c r="D35" s="3077" t="s">
        <v>1814</v>
      </c>
      <c r="E35" s="1913">
        <f t="shared" si="21"/>
        <v>51.358934441481118</v>
      </c>
      <c r="F35" s="1913">
        <f t="shared" si="20"/>
        <v>1.7860030560520539</v>
      </c>
      <c r="G35" s="1913">
        <f t="shared" si="20"/>
        <v>0.90909090909090906</v>
      </c>
      <c r="H35" s="3033">
        <v>8280.6010000000006</v>
      </c>
      <c r="I35" s="3033">
        <v>0.28795727272727267</v>
      </c>
      <c r="J35" s="3033">
        <v>0.14657272727272727</v>
      </c>
      <c r="K35" s="3072" t="s">
        <v>2146</v>
      </c>
      <c r="L35" s="19"/>
    </row>
    <row r="36" spans="2:12" ht="18" customHeight="1" x14ac:dyDescent="0.25">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5">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5">
      <c r="B38" s="282" t="s">
        <v>137</v>
      </c>
      <c r="C38" s="3033">
        <v>11350.2697811179</v>
      </c>
      <c r="D38" s="3077" t="s">
        <v>1814</v>
      </c>
      <c r="E38" s="1913">
        <f t="shared" si="21"/>
        <v>94.999999999999986</v>
      </c>
      <c r="F38" s="1913">
        <f t="shared" si="20"/>
        <v>10.476190476190476</v>
      </c>
      <c r="G38" s="1913">
        <f t="shared" si="20"/>
        <v>6.6666666666666652</v>
      </c>
      <c r="H38" s="3033">
        <v>1078.2756292062004</v>
      </c>
      <c r="I38" s="3033">
        <v>0.11890758818313991</v>
      </c>
      <c r="J38" s="3033">
        <v>7.5668465207452656E-2</v>
      </c>
      <c r="K38" s="3072" t="s">
        <v>2146</v>
      </c>
      <c r="L38" s="19"/>
    </row>
    <row r="39" spans="2:12" ht="18" customHeight="1" x14ac:dyDescent="0.25">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5">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5">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5">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5">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5">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5">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5">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5">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5">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5">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5">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5">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5">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5">
      <c r="B53" s="1237" t="s">
        <v>78</v>
      </c>
      <c r="C53" s="3086">
        <f>IF(SUM(C54:C59)=0,"NO",SUM(C54:C59))</f>
        <v>87282.199999999895</v>
      </c>
      <c r="D53" s="3077" t="s">
        <v>1814</v>
      </c>
      <c r="E53" s="628"/>
      <c r="F53" s="628"/>
      <c r="G53" s="628"/>
      <c r="H53" s="3086">
        <f>IF(SUM(H54:H58)=0,"NO",SUM(H54:H58))</f>
        <v>5512.0702874936887</v>
      </c>
      <c r="I53" s="3086">
        <f t="shared" ref="I53:K53" si="28">IF(SUM(I54:I59)=0,"NO",SUM(I54:I59))</f>
        <v>6.1983798545454466E-2</v>
      </c>
      <c r="J53" s="3086">
        <f t="shared" si="28"/>
        <v>4.540906770909086E-2</v>
      </c>
      <c r="K53" s="3069" t="str">
        <f t="shared" si="28"/>
        <v>NO</v>
      </c>
      <c r="L53" s="19"/>
    </row>
    <row r="54" spans="2:12" ht="18" customHeight="1" x14ac:dyDescent="0.25">
      <c r="B54" s="160" t="s">
        <v>132</v>
      </c>
      <c r="C54" s="3033">
        <v>75982.19999999991</v>
      </c>
      <c r="D54" s="3077" t="s">
        <v>1814</v>
      </c>
      <c r="E54" s="1913">
        <f>IFERROR(H54*1000/$C54,"NA")</f>
        <v>64.898299999999992</v>
      </c>
      <c r="F54" s="1913">
        <f t="shared" ref="F54:G59" si="29">IFERROR(I54*1000000/$C54,"NA")</f>
        <v>0.66285714285714281</v>
      </c>
      <c r="G54" s="1913">
        <f t="shared" si="29"/>
        <v>0.53447619047619044</v>
      </c>
      <c r="H54" s="3033">
        <v>4931.1156102599944</v>
      </c>
      <c r="I54" s="3033">
        <v>5.0365343999999937E-2</v>
      </c>
      <c r="J54" s="3033">
        <v>4.0610676799999954E-2</v>
      </c>
      <c r="K54" s="3072" t="s">
        <v>2146</v>
      </c>
    </row>
    <row r="55" spans="2:12" ht="18" customHeight="1" x14ac:dyDescent="0.25">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5">
      <c r="B56" s="160" t="s">
        <v>134</v>
      </c>
      <c r="C56" s="3033">
        <v>11299.999999999991</v>
      </c>
      <c r="D56" s="3077" t="s">
        <v>1814</v>
      </c>
      <c r="E56" s="1913">
        <f t="shared" si="30"/>
        <v>51.411918339264986</v>
      </c>
      <c r="F56" s="1913">
        <f t="shared" si="29"/>
        <v>1.0281818181818179</v>
      </c>
      <c r="G56" s="1913">
        <f t="shared" si="29"/>
        <v>0.42463636363636359</v>
      </c>
      <c r="H56" s="3033">
        <v>580.95467723369393</v>
      </c>
      <c r="I56" s="3033">
        <v>1.1618454545454533E-2</v>
      </c>
      <c r="J56" s="3033">
        <v>4.7983909090909046E-3</v>
      </c>
      <c r="K56" s="3072" t="s">
        <v>2146</v>
      </c>
    </row>
    <row r="57" spans="2:12" ht="18" customHeight="1" x14ac:dyDescent="0.25">
      <c r="B57" s="282" t="s">
        <v>135</v>
      </c>
      <c r="C57" s="3033" t="s">
        <v>2146</v>
      </c>
      <c r="D57" s="3077" t="s">
        <v>1814</v>
      </c>
      <c r="E57" s="1913" t="str">
        <f t="shared" si="30"/>
        <v>NA</v>
      </c>
      <c r="F57" s="1913" t="str">
        <f t="shared" si="29"/>
        <v>NA</v>
      </c>
      <c r="G57" s="1913" t="str">
        <f t="shared" si="29"/>
        <v>NA</v>
      </c>
      <c r="H57" s="3033" t="s">
        <v>2146</v>
      </c>
      <c r="I57" s="3033" t="s">
        <v>2146</v>
      </c>
      <c r="J57" s="3033" t="s">
        <v>2146</v>
      </c>
      <c r="K57" s="3072" t="s">
        <v>2146</v>
      </c>
    </row>
    <row r="58" spans="2:12" ht="18" customHeight="1" x14ac:dyDescent="0.25">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5">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5">
      <c r="B60" s="1237" t="s">
        <v>143</v>
      </c>
      <c r="C60" s="3086">
        <f>IF(SUM(C61:C66)=0,"NO",SUM(C61:C66))</f>
        <v>131213.15514648723</v>
      </c>
      <c r="D60" s="3077" t="s">
        <v>1814</v>
      </c>
      <c r="E60" s="628"/>
      <c r="F60" s="628"/>
      <c r="G60" s="628"/>
      <c r="H60" s="3086">
        <f>IF(SUM(H61:H65)=0,"NO",SUM(H61:H65))</f>
        <v>7942.0095931771411</v>
      </c>
      <c r="I60" s="3086">
        <f t="shared" ref="I60:K60" si="31">IF(SUM(I61:I66)=0,"NO",SUM(I61:I66))</f>
        <v>4.6998988574912248</v>
      </c>
      <c r="J60" s="3086">
        <f t="shared" si="31"/>
        <v>0.14658637643808514</v>
      </c>
      <c r="K60" s="3069" t="str">
        <f t="shared" si="31"/>
        <v>NO</v>
      </c>
      <c r="L60" s="19"/>
    </row>
    <row r="61" spans="2:12" ht="18" customHeight="1" x14ac:dyDescent="0.25">
      <c r="B61" s="160" t="s">
        <v>132</v>
      </c>
      <c r="C61" s="3074">
        <f>IF(SUM(C69,C76,C83)=0,"NO",SUM(C69,C76,C83))</f>
        <v>13830.6</v>
      </c>
      <c r="D61" s="3077" t="s">
        <v>1814</v>
      </c>
      <c r="E61" s="1913">
        <f>IFERROR(H61*1000/$C61,"NA")</f>
        <v>69.957424840570908</v>
      </c>
      <c r="F61" s="1913">
        <f t="shared" ref="F61:G66" si="32">IFERROR(I61*1000000/$C61,"NA")</f>
        <v>3.3992488267143735</v>
      </c>
      <c r="G61" s="1913">
        <f t="shared" si="32"/>
        <v>3.273665647377709</v>
      </c>
      <c r="H61" s="3074">
        <f>IF(SUM(H69,H76,H83)=0,"NO",SUM(H69,H76,H83))</f>
        <v>967.55316000000005</v>
      </c>
      <c r="I61" s="3074">
        <f>IF(SUM(I69,I76,I83)=0,"NO",SUM(I69,I76,I83))</f>
        <v>4.7013650822755812E-2</v>
      </c>
      <c r="J61" s="3074">
        <f>IF(SUM(J69,J76,J83)=0,"NO",SUM(J69,J76,J83))</f>
        <v>4.5276760102622146E-2</v>
      </c>
      <c r="K61" s="3088" t="str">
        <f>IF(SUM(K69,K76,K83)=0,"NO",SUM(K69,K76,K83))</f>
        <v>NO</v>
      </c>
    </row>
    <row r="62" spans="2:12" ht="18" customHeight="1" x14ac:dyDescent="0.25">
      <c r="B62" s="160" t="s">
        <v>133</v>
      </c>
      <c r="C62" s="3074">
        <f t="shared" ref="C62:C66" si="33">IF(SUM(C70,C77,C84)=0,"NO",SUM(C70,C77,C84))</f>
        <v>28424.822245543812</v>
      </c>
      <c r="D62" s="3077" t="s">
        <v>1814</v>
      </c>
      <c r="E62" s="1913">
        <f t="shared" ref="E62:E66" si="34">IFERROR(H62*1000/$C62,"NA")</f>
        <v>84.343658519773101</v>
      </c>
      <c r="F62" s="1913">
        <f t="shared" si="32"/>
        <v>0.96083292388475161</v>
      </c>
      <c r="G62" s="1913">
        <f t="shared" si="32"/>
        <v>0.7879306350704588</v>
      </c>
      <c r="H62" s="3074">
        <f t="shared" ref="H62:K66" si="35">IF(SUM(H70,H77,H84)=0,"NO",SUM(H70,H77,H84))</f>
        <v>2397.4535009633973</v>
      </c>
      <c r="I62" s="3074">
        <f t="shared" si="35"/>
        <v>2.7311505069090192E-2</v>
      </c>
      <c r="J62" s="3074">
        <f t="shared" si="35"/>
        <v>2.2396788243696238E-2</v>
      </c>
      <c r="K62" s="3088" t="str">
        <f t="shared" si="35"/>
        <v>NO</v>
      </c>
    </row>
    <row r="63" spans="2:12" ht="18" customHeight="1" x14ac:dyDescent="0.25">
      <c r="B63" s="160" t="s">
        <v>134</v>
      </c>
      <c r="C63" s="3074">
        <f t="shared" si="33"/>
        <v>88957.732900943403</v>
      </c>
      <c r="D63" s="3077" t="s">
        <v>1814</v>
      </c>
      <c r="E63" s="1913">
        <f t="shared" si="34"/>
        <v>51.451434101972303</v>
      </c>
      <c r="F63" s="1913">
        <f t="shared" si="32"/>
        <v>51.997432384546805</v>
      </c>
      <c r="G63" s="1913">
        <f t="shared" si="32"/>
        <v>0.8870822751254025</v>
      </c>
      <c r="H63" s="3074">
        <f t="shared" si="35"/>
        <v>4577.0029322137434</v>
      </c>
      <c r="I63" s="3074">
        <f t="shared" si="35"/>
        <v>4.6255737015993788</v>
      </c>
      <c r="J63" s="3074">
        <f t="shared" si="35"/>
        <v>7.8912828091766737E-2</v>
      </c>
      <c r="K63" s="3088" t="str">
        <f t="shared" si="35"/>
        <v>NO</v>
      </c>
    </row>
    <row r="64" spans="2:12" ht="18" customHeight="1" x14ac:dyDescent="0.25">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5">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5">
      <c r="B66" s="282" t="s">
        <v>137</v>
      </c>
      <c r="C66" s="3074" t="str">
        <f t="shared" si="33"/>
        <v>NO</v>
      </c>
      <c r="D66" s="3077" t="s">
        <v>1814</v>
      </c>
      <c r="E66" s="1913" t="str">
        <f t="shared" si="34"/>
        <v>NA</v>
      </c>
      <c r="F66" s="1913" t="str">
        <f t="shared" si="32"/>
        <v>NA</v>
      </c>
      <c r="G66" s="1913" t="str">
        <f t="shared" si="32"/>
        <v>NA</v>
      </c>
      <c r="H66" s="3074" t="str">
        <f t="shared" si="35"/>
        <v>NO</v>
      </c>
      <c r="I66" s="3074" t="str">
        <f t="shared" si="35"/>
        <v>NO</v>
      </c>
      <c r="J66" s="3074" t="str">
        <f t="shared" si="35"/>
        <v>NO</v>
      </c>
      <c r="K66" s="3088" t="str">
        <f t="shared" si="35"/>
        <v>NO</v>
      </c>
    </row>
    <row r="67" spans="2:11" ht="18" customHeight="1" x14ac:dyDescent="0.25">
      <c r="B67" s="1243" t="s">
        <v>139</v>
      </c>
      <c r="C67" s="3083"/>
      <c r="D67" s="3070"/>
      <c r="E67" s="3070"/>
      <c r="F67" s="3070"/>
      <c r="G67" s="3070"/>
      <c r="H67" s="3070"/>
      <c r="I67" s="3070"/>
      <c r="J67" s="3070"/>
      <c r="K67" s="3071"/>
    </row>
    <row r="68" spans="2:11" ht="18" customHeight="1" x14ac:dyDescent="0.25">
      <c r="B68" s="1238" t="s">
        <v>144</v>
      </c>
      <c r="C68" s="3086">
        <f>IF(SUM(C69:C74)=0,"NO",SUM(C69:C74))</f>
        <v>29315.42224554381</v>
      </c>
      <c r="D68" s="3077" t="s">
        <v>1814</v>
      </c>
      <c r="E68" s="628"/>
      <c r="F68" s="628"/>
      <c r="G68" s="628"/>
      <c r="H68" s="3086">
        <f>IF(SUM(H69:H73)=0,"NO",SUM(H69:H73))</f>
        <v>2463.0016609633972</v>
      </c>
      <c r="I68" s="3086">
        <f t="shared" ref="I68:K68" si="36">IF(SUM(I69:I74)=0,"NO",SUM(I69:I74))</f>
        <v>2.9109668878613999E-2</v>
      </c>
      <c r="J68" s="3086">
        <f t="shared" si="36"/>
        <v>2.2856507481791476E-2</v>
      </c>
      <c r="K68" s="3069" t="str">
        <f t="shared" si="36"/>
        <v>NO</v>
      </c>
    </row>
    <row r="69" spans="2:11" ht="18" customHeight="1" x14ac:dyDescent="0.25">
      <c r="B69" s="282" t="s">
        <v>132</v>
      </c>
      <c r="C69" s="3033">
        <v>890.5999999999998</v>
      </c>
      <c r="D69" s="3076" t="s">
        <v>1814</v>
      </c>
      <c r="E69" s="1913">
        <f>IFERROR(H69*1000/$C69,"NA")</f>
        <v>73.599999999999994</v>
      </c>
      <c r="F69" s="1913">
        <f t="shared" ref="F69:G74" si="37">IFERROR(I69*1000000/$C69,"NA")</f>
        <v>2.0190476190476194</v>
      </c>
      <c r="G69" s="1913">
        <f t="shared" si="37"/>
        <v>0.5161904761904762</v>
      </c>
      <c r="H69" s="3033">
        <v>65.548159999999982</v>
      </c>
      <c r="I69" s="3033">
        <v>1.7981638095238093E-3</v>
      </c>
      <c r="J69" s="3033">
        <v>4.59719238095238E-4</v>
      </c>
      <c r="K69" s="3072" t="s">
        <v>2146</v>
      </c>
    </row>
    <row r="70" spans="2:11" ht="18" customHeight="1" x14ac:dyDescent="0.25">
      <c r="B70" s="282" t="s">
        <v>133</v>
      </c>
      <c r="C70" s="3033">
        <v>28424.822245543812</v>
      </c>
      <c r="D70" s="3076" t="s">
        <v>1814</v>
      </c>
      <c r="E70" s="1913">
        <f t="shared" ref="E70:E74" si="38">IFERROR(H70*1000/$C70,"NA")</f>
        <v>84.343658519773101</v>
      </c>
      <c r="F70" s="1913">
        <f t="shared" si="37"/>
        <v>0.96083292388475161</v>
      </c>
      <c r="G70" s="1913">
        <f t="shared" si="37"/>
        <v>0.7879306350704588</v>
      </c>
      <c r="H70" s="3033">
        <v>2397.4535009633973</v>
      </c>
      <c r="I70" s="3033">
        <v>2.7311505069090192E-2</v>
      </c>
      <c r="J70" s="3033">
        <v>2.2396788243696238E-2</v>
      </c>
      <c r="K70" s="3072" t="s">
        <v>2146</v>
      </c>
    </row>
    <row r="71" spans="2:11" ht="18" customHeight="1" x14ac:dyDescent="0.25">
      <c r="B71" s="160" t="s">
        <v>134</v>
      </c>
      <c r="C71" s="3033" t="s">
        <v>2146</v>
      </c>
      <c r="D71" s="3076" t="s">
        <v>1814</v>
      </c>
      <c r="E71" s="1913" t="str">
        <f t="shared" si="38"/>
        <v>NA</v>
      </c>
      <c r="F71" s="1913" t="str">
        <f t="shared" si="37"/>
        <v>NA</v>
      </c>
      <c r="G71" s="1913" t="str">
        <f t="shared" si="37"/>
        <v>NA</v>
      </c>
      <c r="H71" s="3033" t="s">
        <v>2146</v>
      </c>
      <c r="I71" s="3033" t="s">
        <v>2146</v>
      </c>
      <c r="J71" s="3033" t="s">
        <v>2146</v>
      </c>
      <c r="K71" s="3072" t="s">
        <v>2146</v>
      </c>
    </row>
    <row r="72" spans="2:11" ht="18" customHeight="1" x14ac:dyDescent="0.25">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5">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5">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5">
      <c r="B75" s="1239" t="s">
        <v>145</v>
      </c>
      <c r="C75" s="3086">
        <f>IF(SUM(C76:C81)=0,"NO",SUM(C76:C81))</f>
        <v>81260</v>
      </c>
      <c r="D75" s="3077" t="s">
        <v>1814</v>
      </c>
      <c r="E75" s="628"/>
      <c r="F75" s="628"/>
      <c r="G75" s="628"/>
      <c r="H75" s="3086">
        <f>IF(SUM(H76:H80)=0,"NO",SUM(H76:H80))</f>
        <v>4188.3103332451155</v>
      </c>
      <c r="I75" s="3086">
        <f t="shared" ref="I75:K75" si="39">IF(SUM(I76:I81)=0,"NO",SUM(I76:I81))</f>
        <v>4.5986458593255621</v>
      </c>
      <c r="J75" s="3086">
        <f t="shared" si="39"/>
        <v>7.2490412323232334E-2</v>
      </c>
      <c r="K75" s="3069" t="str">
        <f t="shared" si="39"/>
        <v>NO</v>
      </c>
    </row>
    <row r="76" spans="2:11" ht="18" customHeight="1" x14ac:dyDescent="0.25">
      <c r="B76" s="282" t="s">
        <v>132</v>
      </c>
      <c r="C76" s="3033">
        <v>600</v>
      </c>
      <c r="D76" s="3076" t="s">
        <v>1814</v>
      </c>
      <c r="E76" s="1913">
        <f>IFERROR(H76*1000/$C76,"NA")</f>
        <v>69.041666666666686</v>
      </c>
      <c r="F76" s="1913">
        <f t="shared" ref="F76:G81" si="40">IFERROR(I76*1000000/$C76,"NA")</f>
        <v>2.392195767195767</v>
      </c>
      <c r="G76" s="1913">
        <f t="shared" si="40"/>
        <v>1.8682962962962966</v>
      </c>
      <c r="H76" s="3033">
        <v>41.425000000000004</v>
      </c>
      <c r="I76" s="3033">
        <v>1.4353174603174603E-3</v>
      </c>
      <c r="J76" s="3033">
        <v>1.1209777777777779E-3</v>
      </c>
      <c r="K76" s="3072" t="s">
        <v>2146</v>
      </c>
    </row>
    <row r="77" spans="2:11" ht="18" customHeight="1" x14ac:dyDescent="0.25">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5">
      <c r="B78" s="160" t="s">
        <v>134</v>
      </c>
      <c r="C78" s="3033">
        <v>80660</v>
      </c>
      <c r="D78" s="3076" t="s">
        <v>1814</v>
      </c>
      <c r="E78" s="1913">
        <f t="shared" si="41"/>
        <v>51.411918339265007</v>
      </c>
      <c r="F78" s="1913">
        <f t="shared" si="40"/>
        <v>56.994923653176848</v>
      </c>
      <c r="G78" s="1913">
        <f t="shared" si="40"/>
        <v>0.88481818181818195</v>
      </c>
      <c r="H78" s="3033">
        <v>4146.8853332451154</v>
      </c>
      <c r="I78" s="3033">
        <v>4.5972105418652447</v>
      </c>
      <c r="J78" s="3033">
        <v>7.1369434545454552E-2</v>
      </c>
      <c r="K78" s="3072" t="s">
        <v>2146</v>
      </c>
    </row>
    <row r="79" spans="2:11" ht="18" customHeight="1" x14ac:dyDescent="0.25">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5">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5">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5">
      <c r="B82" s="1239" t="s">
        <v>146</v>
      </c>
      <c r="C82" s="3086">
        <f>IF(SUM(C83:C88)=0,"NO",SUM(C83:C88))</f>
        <v>20637.732900943396</v>
      </c>
      <c r="D82" s="3077" t="s">
        <v>1814</v>
      </c>
      <c r="E82" s="628"/>
      <c r="F82" s="628"/>
      <c r="G82" s="628"/>
      <c r="H82" s="3086">
        <f>IF(SUM(H83:H87)=0,"NO",SUM(H83:H87))</f>
        <v>1290.6975989686284</v>
      </c>
      <c r="I82" s="3086">
        <f t="shared" ref="I82:K82" si="42">IF(SUM(I83:I88)=0,"NO",SUM(I83:I88))</f>
        <v>7.2143329287048336E-2</v>
      </c>
      <c r="J82" s="3086">
        <f t="shared" si="42"/>
        <v>5.1239456633061307E-2</v>
      </c>
      <c r="K82" s="3069" t="str">
        <f t="shared" si="42"/>
        <v>NO</v>
      </c>
    </row>
    <row r="83" spans="2:11" ht="18" customHeight="1" x14ac:dyDescent="0.25">
      <c r="B83" s="282" t="s">
        <v>132</v>
      </c>
      <c r="C83" s="3033">
        <v>12340</v>
      </c>
      <c r="D83" s="3076" t="s">
        <v>1814</v>
      </c>
      <c r="E83" s="1913">
        <f>IFERROR(H83*1000/$C83,"NA")</f>
        <v>69.739059967585092</v>
      </c>
      <c r="F83" s="1913">
        <f t="shared" ref="F83:G88" si="43">IFERROR(I83*1000000/$C83,"NA")</f>
        <v>3.547825733623545</v>
      </c>
      <c r="G83" s="1913">
        <f t="shared" si="43"/>
        <v>3.5410099746150023</v>
      </c>
      <c r="H83" s="3033">
        <v>860.58</v>
      </c>
      <c r="I83" s="3033">
        <v>4.3780169552914541E-2</v>
      </c>
      <c r="J83" s="3033">
        <v>4.3696063086749129E-2</v>
      </c>
      <c r="K83" s="3072" t="s">
        <v>2146</v>
      </c>
    </row>
    <row r="84" spans="2:11" ht="18" customHeight="1" x14ac:dyDescent="0.25">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5">
      <c r="B85" s="282" t="s">
        <v>134</v>
      </c>
      <c r="C85" s="3033">
        <v>8297.7329009433961</v>
      </c>
      <c r="D85" s="3076" t="s">
        <v>1814</v>
      </c>
      <c r="E85" s="1913">
        <f t="shared" si="44"/>
        <v>51.835556061310058</v>
      </c>
      <c r="F85" s="1913">
        <f t="shared" si="43"/>
        <v>3.4181818181818184</v>
      </c>
      <c r="G85" s="1913">
        <f t="shared" si="43"/>
        <v>0.90909090909090928</v>
      </c>
      <c r="H85" s="3033">
        <v>430.11759896862833</v>
      </c>
      <c r="I85" s="3033">
        <v>2.8363159734133791E-2</v>
      </c>
      <c r="J85" s="3033">
        <v>7.5433935463121793E-3</v>
      </c>
      <c r="K85" s="3072" t="s">
        <v>2146</v>
      </c>
    </row>
    <row r="86" spans="2:11" ht="18" customHeight="1" x14ac:dyDescent="0.25">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5">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3">
      <c r="B88" s="2185" t="s">
        <v>137</v>
      </c>
      <c r="C88" s="3040" t="s">
        <v>2146</v>
      </c>
      <c r="D88" s="3084" t="s">
        <v>1814</v>
      </c>
      <c r="E88" s="2880" t="str">
        <f t="shared" si="44"/>
        <v>NA</v>
      </c>
      <c r="F88" s="2880" t="str">
        <f t="shared" si="43"/>
        <v>NA</v>
      </c>
      <c r="G88" s="2880" t="str">
        <f t="shared" si="43"/>
        <v>NA</v>
      </c>
      <c r="H88" s="3040" t="s">
        <v>2146</v>
      </c>
      <c r="I88" s="3040" t="s">
        <v>2146</v>
      </c>
      <c r="J88" s="3040" t="s">
        <v>2146</v>
      </c>
      <c r="K88" s="3075" t="s">
        <v>2146</v>
      </c>
    </row>
    <row r="90" spans="2:11" ht="12" customHeight="1" x14ac:dyDescent="0.25">
      <c r="B90" s="2015"/>
      <c r="C90" s="2015"/>
    </row>
    <row r="92" spans="2:11" ht="12" customHeight="1" x14ac:dyDescent="0.25">
      <c r="B92" s="2186"/>
      <c r="C92" s="2186"/>
      <c r="D92" s="2186"/>
      <c r="E92" s="2186"/>
      <c r="F92" s="2186"/>
      <c r="G92" s="2187"/>
      <c r="H92" s="2187"/>
      <c r="I92" s="2187"/>
      <c r="J92" s="2188"/>
      <c r="K92" s="2188"/>
    </row>
    <row r="93" spans="2:11" ht="12" customHeight="1" x14ac:dyDescent="0.25">
      <c r="B93" s="2189"/>
      <c r="C93" s="2189"/>
      <c r="D93" s="2189"/>
      <c r="E93" s="2189"/>
      <c r="F93" s="2189"/>
      <c r="G93" s="2189"/>
      <c r="H93" s="2189"/>
      <c r="I93" s="2189"/>
      <c r="J93" s="2189"/>
    </row>
    <row r="94" spans="2:11" ht="12" customHeight="1" x14ac:dyDescent="0.25">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09375" defaultRowHeight="13.2" x14ac:dyDescent="0.25"/>
  <cols>
    <col min="1" max="1" width="1.88671875" style="83" customWidth="1"/>
    <col min="2" max="2" width="40.88671875" style="83" customWidth="1"/>
    <col min="3" max="3" width="26.33203125" style="83" customWidth="1"/>
    <col min="4" max="4" width="15.33203125" style="83" customWidth="1"/>
    <col min="5" max="5" width="11.88671875" style="83" customWidth="1"/>
    <col min="6" max="6" width="12.33203125" style="83" customWidth="1"/>
    <col min="7" max="12" width="12.5546875" style="83" customWidth="1"/>
    <col min="13" max="13" width="15" style="83" customWidth="1"/>
    <col min="14" max="16384" width="9.109375" style="83"/>
  </cols>
  <sheetData>
    <row r="1" spans="2:13" ht="15.75" customHeight="1" x14ac:dyDescent="0.3">
      <c r="B1" s="13" t="s">
        <v>1262</v>
      </c>
      <c r="C1" s="13"/>
      <c r="L1" s="14" t="s">
        <v>2521</v>
      </c>
    </row>
    <row r="2" spans="2:13" ht="18.600000000000001" x14ac:dyDescent="0.3">
      <c r="B2" s="535" t="s">
        <v>1263</v>
      </c>
      <c r="C2" s="535"/>
      <c r="L2" s="14" t="s">
        <v>2522</v>
      </c>
    </row>
    <row r="3" spans="2:13" ht="15.6" x14ac:dyDescent="0.3">
      <c r="B3" s="13" t="s">
        <v>62</v>
      </c>
      <c r="C3" s="13"/>
      <c r="L3" s="14" t="s">
        <v>2144</v>
      </c>
    </row>
    <row r="4" spans="2:13" ht="15.6" hidden="1" x14ac:dyDescent="0.3">
      <c r="B4" s="13"/>
      <c r="C4" s="13"/>
      <c r="L4" s="2"/>
    </row>
    <row r="5" spans="2:13" ht="15.6" hidden="1" x14ac:dyDescent="0.3">
      <c r="B5" s="13"/>
      <c r="C5" s="13"/>
      <c r="L5" s="2"/>
    </row>
    <row r="6" spans="2:13" ht="13.8" thickBot="1" x14ac:dyDescent="0.3">
      <c r="B6" s="2446" t="s">
        <v>64</v>
      </c>
    </row>
    <row r="7" spans="2:13" x14ac:dyDescent="0.25">
      <c r="B7" s="818" t="s">
        <v>65</v>
      </c>
      <c r="C7" s="819"/>
      <c r="D7" s="812" t="s">
        <v>419</v>
      </c>
      <c r="E7" s="813"/>
      <c r="F7" s="814"/>
      <c r="G7" s="813" t="s">
        <v>305</v>
      </c>
      <c r="H7" s="813"/>
      <c r="I7" s="814"/>
      <c r="J7" s="815" t="s">
        <v>124</v>
      </c>
      <c r="K7" s="816"/>
      <c r="L7" s="817"/>
    </row>
    <row r="8" spans="2:13" ht="15" x14ac:dyDescent="0.25">
      <c r="B8" s="820"/>
      <c r="C8" s="821"/>
      <c r="D8" s="536" t="s">
        <v>1264</v>
      </c>
      <c r="E8" s="537" t="s">
        <v>219</v>
      </c>
      <c r="F8" s="538" t="s">
        <v>1265</v>
      </c>
      <c r="G8" s="539" t="s">
        <v>66</v>
      </c>
      <c r="H8" s="539" t="s">
        <v>67</v>
      </c>
      <c r="I8" s="540" t="s">
        <v>68</v>
      </c>
      <c r="J8" s="541" t="s">
        <v>1984</v>
      </c>
      <c r="K8" s="539" t="s">
        <v>67</v>
      </c>
      <c r="L8" s="540" t="s">
        <v>68</v>
      </c>
    </row>
    <row r="9" spans="2:13" ht="15" thickBot="1" x14ac:dyDescent="0.3">
      <c r="B9" s="925" t="s">
        <v>1266</v>
      </c>
      <c r="C9" s="926" t="s">
        <v>1267</v>
      </c>
      <c r="D9" s="927"/>
      <c r="E9" s="928" t="s">
        <v>1268</v>
      </c>
      <c r="F9" s="929"/>
      <c r="G9" s="930" t="s">
        <v>1269</v>
      </c>
      <c r="H9" s="930"/>
      <c r="I9" s="931"/>
      <c r="J9" s="932" t="s">
        <v>73</v>
      </c>
      <c r="K9" s="930"/>
      <c r="L9" s="931"/>
    </row>
    <row r="10" spans="2:13" ht="18" customHeight="1" thickTop="1" thickBot="1" x14ac:dyDescent="0.3">
      <c r="B10" s="936" t="s">
        <v>2033</v>
      </c>
      <c r="C10" s="937"/>
      <c r="D10" s="2849"/>
      <c r="E10" s="2853" t="s">
        <v>2250</v>
      </c>
      <c r="F10" s="3678">
        <f>IF(SUM(F11,F25,F36,F48,F59,F70,F76)=0,"NO",SUM(F11,F25,F36,F48,F59,F70,F76))</f>
        <v>30653288.290204704</v>
      </c>
      <c r="G10" s="3657" t="s">
        <v>2147</v>
      </c>
      <c r="H10" s="3658">
        <f t="shared" ref="H10:H13" si="0">IF(SUM($F10)=0,"NA",K10*1000/$F10)</f>
        <v>2.1165129268377426E-2</v>
      </c>
      <c r="I10" s="3659">
        <f t="shared" ref="I10:I13" si="1">IF(SUM($F10)=0,"NA",L10*1000/$F10)</f>
        <v>4.4044694798225795E-4</v>
      </c>
      <c r="J10" s="3499" t="str">
        <f>IF(SUM(J11,J25,J36,J48,J59,J70,J76)=0,"IE",SUM(J11,J25,J36,J48,J59,J70,J76))</f>
        <v>IE</v>
      </c>
      <c r="K10" s="3500">
        <f>IF(SUM(K11,K25,K36,K48,K59,K70,K76)=0,"NO",SUM(K11,K25,K36,K48,K59,K70,K76))</f>
        <v>648.78080916302258</v>
      </c>
      <c r="L10" s="3501">
        <f>IF(SUM(L11,L25,L36,L48,L59,L70,L76)=0,"NO",SUM(L11,L25,L36,L48,L59,L70,L76))</f>
        <v>13.501147273040948</v>
      </c>
    </row>
    <row r="11" spans="2:13" ht="18" customHeight="1" x14ac:dyDescent="0.25">
      <c r="B11" s="933" t="s">
        <v>1985</v>
      </c>
      <c r="C11" s="934"/>
      <c r="D11" s="2850"/>
      <c r="E11" s="2854" t="s">
        <v>2250</v>
      </c>
      <c r="F11" s="3679">
        <f>IF(SUM(F12,F19)=0,"NO",SUM(F12,F19))</f>
        <v>6537032.9477808038</v>
      </c>
      <c r="G11" s="3660" t="s">
        <v>2147</v>
      </c>
      <c r="H11" s="3661">
        <f t="shared" si="0"/>
        <v>3.5534051869385269E-2</v>
      </c>
      <c r="I11" s="3662">
        <f t="shared" si="1"/>
        <v>6.1209526150881363E-4</v>
      </c>
      <c r="J11" s="3502" t="str">
        <f>IF(SUM(J12,J19)=0,"IE",SUM(J12,J19))</f>
        <v>IE</v>
      </c>
      <c r="K11" s="3503">
        <f>IF(SUM(K12,K19)=0,"NO",SUM(K12,K19))</f>
        <v>232.28726783832354</v>
      </c>
      <c r="L11" s="3504">
        <f>IF(SUM(L12,L19)=0,"NO",SUM(L12,L19))</f>
        <v>4.0012868916636215</v>
      </c>
      <c r="M11" s="482"/>
    </row>
    <row r="12" spans="2:13" ht="18" customHeight="1" x14ac:dyDescent="0.25">
      <c r="B12" s="903" t="s">
        <v>1912</v>
      </c>
      <c r="C12" s="476"/>
      <c r="D12" s="298"/>
      <c r="E12" s="2852" t="s">
        <v>2250</v>
      </c>
      <c r="F12" s="3680">
        <f>IF(SUM(F13,F17)=0,"NO",SUM(F13,F17))</f>
        <v>6531678.1209427984</v>
      </c>
      <c r="G12" s="3663" t="str">
        <f>IFERROR(IF(SUM($F12)=0,"NA",J12*1000/$F12),"NA")</f>
        <v>NA</v>
      </c>
      <c r="H12" s="3664">
        <f t="shared" si="0"/>
        <v>3.5421098964734277E-2</v>
      </c>
      <c r="I12" s="3665">
        <f t="shared" si="1"/>
        <v>6.1040786383709949E-4</v>
      </c>
      <c r="J12" s="3505" t="str">
        <f>IF(SUM(J13,J17)=0,"IE",SUM(J13,J17))</f>
        <v>IE</v>
      </c>
      <c r="K12" s="3506">
        <f>IF(SUM(K13,K17)=0,"NO",SUM(K13,K17))</f>
        <v>231.35921712770448</v>
      </c>
      <c r="L12" s="3507">
        <f>IF(SUM(L13,L17)=0,"NO",SUM(L13,L17))</f>
        <v>3.9869876890762139</v>
      </c>
    </row>
    <row r="13" spans="2:13" ht="18" customHeight="1" x14ac:dyDescent="0.25">
      <c r="B13" s="923" t="s">
        <v>1270</v>
      </c>
      <c r="C13" s="476"/>
      <c r="D13" s="298"/>
      <c r="E13" s="2852" t="s">
        <v>2250</v>
      </c>
      <c r="F13" s="3681">
        <f>IF(SUM(F14:F16)=0,"NO",SUM(F14:F16))</f>
        <v>6331565.0152278552</v>
      </c>
      <c r="G13" s="3666" t="str">
        <f t="shared" ref="G13:G76" si="2">IFERROR(IF(SUM($F13)=0,"NA",J13*1000/$F13),"NA")</f>
        <v>NA</v>
      </c>
      <c r="H13" s="3667">
        <f t="shared" si="0"/>
        <v>2.891361172528762E-2</v>
      </c>
      <c r="I13" s="3668">
        <f t="shared" si="1"/>
        <v>5.5739062636878296E-4</v>
      </c>
      <c r="J13" s="3505" t="str">
        <f>IF(SUM(J14:J16)=0,"IE",SUM(J14:J16))</f>
        <v>IE</v>
      </c>
      <c r="K13" s="3505">
        <f>IF(SUM(K14:K16)=0,"NO",SUM(K14:K16))</f>
        <v>183.068412463713</v>
      </c>
      <c r="L13" s="3508">
        <f>IF(SUM(L14:L16)=0,"NO",SUM(L14:L16))</f>
        <v>3.5291549897325272</v>
      </c>
      <c r="M13" s="482"/>
    </row>
    <row r="14" spans="2:13" ht="24" x14ac:dyDescent="0.25">
      <c r="B14" s="923"/>
      <c r="C14" s="4358" t="s">
        <v>2247</v>
      </c>
      <c r="D14" s="542" t="s">
        <v>940</v>
      </c>
      <c r="E14" s="2851" t="s">
        <v>2250</v>
      </c>
      <c r="F14" s="3654">
        <v>336511.00485049386</v>
      </c>
      <c r="G14" s="3666" t="str">
        <f t="shared" si="2"/>
        <v>NA</v>
      </c>
      <c r="H14" s="3667">
        <f>IF(SUM($F14)=0,"NA",K14*1000/$F14)</f>
        <v>0.12167351976887728</v>
      </c>
      <c r="I14" s="3668">
        <f>IF(SUM($F14)=0,"NA",L14*1000/$F14)</f>
        <v>1.3397597245232448E-3</v>
      </c>
      <c r="J14" s="3509" t="s">
        <v>2153</v>
      </c>
      <c r="K14" s="3510">
        <v>40.944478401121323</v>
      </c>
      <c r="L14" s="3511">
        <v>0.45084389115753792</v>
      </c>
      <c r="M14" s="482"/>
    </row>
    <row r="15" spans="2:13" ht="18" customHeight="1" x14ac:dyDescent="0.25">
      <c r="B15" s="923"/>
      <c r="C15" s="4358" t="s">
        <v>2248</v>
      </c>
      <c r="D15" s="542" t="s">
        <v>940</v>
      </c>
      <c r="E15" s="543" t="s">
        <v>2250</v>
      </c>
      <c r="F15" s="3655">
        <v>97299.772771101751</v>
      </c>
      <c r="G15" s="3666" t="str">
        <f t="shared" si="2"/>
        <v>NA</v>
      </c>
      <c r="H15" s="3667">
        <f t="shared" ref="H15:H77" si="3">IF(SUM($F15)=0,"NA",K15*1000/$F15)</f>
        <v>0.20261151509714365</v>
      </c>
      <c r="I15" s="3668">
        <f t="shared" ref="I15:I77" si="4">IF(SUM($F15)=0,"NA",L15*1000/$F15)</f>
        <v>3.7454989804763636E-3</v>
      </c>
      <c r="J15" s="3509" t="s">
        <v>2153</v>
      </c>
      <c r="K15" s="3510">
        <v>19.714054379760729</v>
      </c>
      <c r="L15" s="3512">
        <v>0.36443619971474345</v>
      </c>
      <c r="M15" s="482"/>
    </row>
    <row r="16" spans="2:13" ht="18" customHeight="1" x14ac:dyDescent="0.25">
      <c r="B16" s="923"/>
      <c r="C16" s="4358" t="s">
        <v>2263</v>
      </c>
      <c r="D16" s="542" t="s">
        <v>940</v>
      </c>
      <c r="E16" s="543" t="s">
        <v>2250</v>
      </c>
      <c r="F16" s="3655">
        <v>5897754.23760626</v>
      </c>
      <c r="G16" s="3666" t="str">
        <f t="shared" si="2"/>
        <v>NA</v>
      </c>
      <c r="H16" s="3667">
        <f t="shared" si="3"/>
        <v>2.0755337498178598E-2</v>
      </c>
      <c r="I16" s="3668">
        <f t="shared" si="4"/>
        <v>4.601539483547105E-4</v>
      </c>
      <c r="J16" s="3509" t="s">
        <v>2153</v>
      </c>
      <c r="K16" s="3510">
        <v>122.40987968283093</v>
      </c>
      <c r="L16" s="3512">
        <v>2.7138748988602459</v>
      </c>
      <c r="M16" s="482"/>
    </row>
    <row r="17" spans="2:13" ht="18" customHeight="1" x14ac:dyDescent="0.25">
      <c r="B17" s="923" t="s">
        <v>1271</v>
      </c>
      <c r="C17" s="4359"/>
      <c r="D17" s="298"/>
      <c r="E17" s="5" t="s">
        <v>2250</v>
      </c>
      <c r="F17" s="3681">
        <f>F18</f>
        <v>200113.10571494355</v>
      </c>
      <c r="G17" s="3666" t="str">
        <f t="shared" si="2"/>
        <v>NA</v>
      </c>
      <c r="H17" s="3667">
        <f t="shared" si="3"/>
        <v>0.24131755134908861</v>
      </c>
      <c r="I17" s="3668">
        <f t="shared" si="4"/>
        <v>2.2878696410611851E-3</v>
      </c>
      <c r="J17" s="3505" t="str">
        <f>J18</f>
        <v>IE</v>
      </c>
      <c r="K17" s="3505">
        <f>K18</f>
        <v>48.290804663991487</v>
      </c>
      <c r="L17" s="3508">
        <f>L18</f>
        <v>0.45783269934368692</v>
      </c>
      <c r="M17" s="482"/>
    </row>
    <row r="18" spans="2:13" ht="18" customHeight="1" x14ac:dyDescent="0.25">
      <c r="B18" s="923"/>
      <c r="C18" s="4358" t="s">
        <v>2249</v>
      </c>
      <c r="D18" s="542" t="s">
        <v>940</v>
      </c>
      <c r="E18" s="543" t="s">
        <v>2250</v>
      </c>
      <c r="F18" s="3654">
        <v>200113.10571494355</v>
      </c>
      <c r="G18" s="3666" t="str">
        <f t="shared" si="2"/>
        <v>NA</v>
      </c>
      <c r="H18" s="3667">
        <f t="shared" si="3"/>
        <v>0.24131755134908861</v>
      </c>
      <c r="I18" s="3668">
        <f t="shared" si="4"/>
        <v>2.2878696410611851E-3</v>
      </c>
      <c r="J18" s="3509" t="s">
        <v>2153</v>
      </c>
      <c r="K18" s="3510">
        <v>48.290804663991487</v>
      </c>
      <c r="L18" s="3511">
        <v>0.45783269934368692</v>
      </c>
      <c r="M18" s="482"/>
    </row>
    <row r="19" spans="2:13" ht="18" customHeight="1" x14ac:dyDescent="0.25">
      <c r="B19" s="903" t="s">
        <v>1272</v>
      </c>
      <c r="C19" s="4359"/>
      <c r="D19" s="298"/>
      <c r="E19" s="5" t="s">
        <v>2250</v>
      </c>
      <c r="F19" s="3682">
        <f>IF(SUM(F20,F23)=0,"NO",SUM(F20,F23))</f>
        <v>5354.8268380051195</v>
      </c>
      <c r="G19" s="3663" t="s">
        <v>2147</v>
      </c>
      <c r="H19" s="3664">
        <f t="shared" si="3"/>
        <v>0.17331105910509806</v>
      </c>
      <c r="I19" s="3665">
        <f t="shared" si="4"/>
        <v>2.6703389334498365E-3</v>
      </c>
      <c r="J19" s="3505" t="str">
        <f>IF(SUM(J20,J23)=0,"IE",SUM(J20,J23))</f>
        <v>IE</v>
      </c>
      <c r="K19" s="3506">
        <f>IF(SUM(K20,K23)=0,"NO",SUM(K20,K23))</f>
        <v>0.92805071061907063</v>
      </c>
      <c r="L19" s="3507">
        <f>IF(SUM(L20,L23)=0,"NO",SUM(L20,L23))</f>
        <v>1.4299202587407151E-2</v>
      </c>
    </row>
    <row r="20" spans="2:13" ht="18" customHeight="1" x14ac:dyDescent="0.25">
      <c r="B20" s="923" t="s">
        <v>1273</v>
      </c>
      <c r="C20" s="4359"/>
      <c r="D20" s="298"/>
      <c r="E20" s="5" t="s">
        <v>2250</v>
      </c>
      <c r="F20" s="3681">
        <f>IF(SUM(F21:F22)=0,"NO",SUM(F21:F22))</f>
        <v>4110.3437804109553</v>
      </c>
      <c r="G20" s="3666" t="str">
        <f t="shared" si="2"/>
        <v>NA</v>
      </c>
      <c r="H20" s="3667">
        <f t="shared" si="3"/>
        <v>0.13650398985952433</v>
      </c>
      <c r="I20" s="3668">
        <f t="shared" si="4"/>
        <v>2.6048571705053832E-3</v>
      </c>
      <c r="J20" s="3505" t="str">
        <f>IF(SUM(J21:J22)=0,"IE",SUM(J21:J22))</f>
        <v>IE</v>
      </c>
      <c r="K20" s="3505">
        <f>IF(SUM(K21:K22)=0,"NO",SUM(K21:K22))</f>
        <v>0.56107832572037597</v>
      </c>
      <c r="L20" s="3508">
        <f>IF(SUM(L21:L22)=0,"NO",SUM(L21:L22))</f>
        <v>1.0706858469645681E-2</v>
      </c>
      <c r="M20" s="482"/>
    </row>
    <row r="21" spans="2:13" ht="18" customHeight="1" x14ac:dyDescent="0.25">
      <c r="B21" s="923"/>
      <c r="C21" s="4358" t="s">
        <v>2248</v>
      </c>
      <c r="D21" s="542" t="s">
        <v>940</v>
      </c>
      <c r="E21" s="543" t="s">
        <v>2250</v>
      </c>
      <c r="F21" s="3654">
        <v>50.649040087473828</v>
      </c>
      <c r="G21" s="3666" t="str">
        <f t="shared" si="2"/>
        <v>NA</v>
      </c>
      <c r="H21" s="3667">
        <f t="shared" si="3"/>
        <v>8.838715476701914</v>
      </c>
      <c r="I21" s="3668">
        <f t="shared" si="4"/>
        <v>0.16339347638180907</v>
      </c>
      <c r="J21" s="3509" t="s">
        <v>2153</v>
      </c>
      <c r="K21" s="3510">
        <v>0.44767245450125065</v>
      </c>
      <c r="L21" s="3511">
        <v>8.2757227352939552E-3</v>
      </c>
      <c r="M21" s="482"/>
    </row>
    <row r="22" spans="2:13" ht="18" customHeight="1" x14ac:dyDescent="0.25">
      <c r="B22" s="923"/>
      <c r="C22" s="4358" t="s">
        <v>2263</v>
      </c>
      <c r="D22" s="542" t="s">
        <v>940</v>
      </c>
      <c r="E22" s="543" t="s">
        <v>2250</v>
      </c>
      <c r="F22" s="3655">
        <v>4059.6947403234817</v>
      </c>
      <c r="G22" s="3666" t="str">
        <f t="shared" si="2"/>
        <v>NA</v>
      </c>
      <c r="H22" s="3667">
        <f t="shared" si="3"/>
        <v>2.7934580916320069E-2</v>
      </c>
      <c r="I22" s="3668">
        <f t="shared" si="4"/>
        <v>5.9884693058424626E-4</v>
      </c>
      <c r="J22" s="3509" t="s">
        <v>2153</v>
      </c>
      <c r="K22" s="3510">
        <v>0.11340587121912529</v>
      </c>
      <c r="L22" s="3512">
        <v>2.4311357343517258E-3</v>
      </c>
      <c r="M22" s="482"/>
    </row>
    <row r="23" spans="2:13" ht="18" customHeight="1" x14ac:dyDescent="0.25">
      <c r="B23" s="923" t="s">
        <v>1274</v>
      </c>
      <c r="C23" s="4359"/>
      <c r="D23" s="298"/>
      <c r="E23" s="5" t="s">
        <v>2250</v>
      </c>
      <c r="F23" s="3681">
        <f>F24</f>
        <v>1244.4830575941644</v>
      </c>
      <c r="G23" s="3666" t="str">
        <f t="shared" si="2"/>
        <v>NA</v>
      </c>
      <c r="H23" s="3667">
        <f t="shared" si="3"/>
        <v>0.29487937393709962</v>
      </c>
      <c r="I23" s="3668">
        <f t="shared" si="4"/>
        <v>2.88661552749958E-3</v>
      </c>
      <c r="J23" s="3505" t="str">
        <f>J24</f>
        <v>IE</v>
      </c>
      <c r="K23" s="3505">
        <f>K24</f>
        <v>0.36697238489869466</v>
      </c>
      <c r="L23" s="3508">
        <f>L24</f>
        <v>3.5923441177614693E-3</v>
      </c>
      <c r="M23" s="482"/>
    </row>
    <row r="24" spans="2:13" ht="18" customHeight="1" thickBot="1" x14ac:dyDescent="0.3">
      <c r="B24" s="938"/>
      <c r="C24" s="4360" t="s">
        <v>2251</v>
      </c>
      <c r="D24" s="939" t="s">
        <v>940</v>
      </c>
      <c r="E24" s="940" t="s">
        <v>2250</v>
      </c>
      <c r="F24" s="3656">
        <v>1244.4830575941644</v>
      </c>
      <c r="G24" s="3669" t="str">
        <f t="shared" si="2"/>
        <v>NA</v>
      </c>
      <c r="H24" s="3670">
        <f t="shared" si="3"/>
        <v>0.29487937393709962</v>
      </c>
      <c r="I24" s="3671">
        <f t="shared" si="4"/>
        <v>2.88661552749958E-3</v>
      </c>
      <c r="J24" s="3513" t="s">
        <v>2153</v>
      </c>
      <c r="K24" s="3514">
        <v>0.36697238489869466</v>
      </c>
      <c r="L24" s="3515">
        <v>3.5923441177614693E-3</v>
      </c>
      <c r="M24" s="482"/>
    </row>
    <row r="25" spans="2:13" ht="18" customHeight="1" x14ac:dyDescent="0.25">
      <c r="B25" s="933" t="s">
        <v>1986</v>
      </c>
      <c r="C25" s="4361"/>
      <c r="D25" s="2850"/>
      <c r="E25" s="935" t="s">
        <v>2250</v>
      </c>
      <c r="F25" s="3683">
        <f>IF(SUM(F26,F31)=0,"IE",SUM(F26,F31))</f>
        <v>85284</v>
      </c>
      <c r="G25" s="3660" t="str">
        <f t="shared" si="2"/>
        <v>NA</v>
      </c>
      <c r="H25" s="3661">
        <f t="shared" si="3"/>
        <v>0.27296150274377373</v>
      </c>
      <c r="I25" s="3662">
        <f t="shared" si="4"/>
        <v>5.0459966687772632E-3</v>
      </c>
      <c r="J25" s="3502" t="str">
        <f>IF(SUM(J26,J31)=0,"IE",SUM(J26,J31))</f>
        <v>IE</v>
      </c>
      <c r="K25" s="3503">
        <f>IF(SUM(K26,K31)=0,"IE",SUM(K26,K31))</f>
        <v>23.279248799999998</v>
      </c>
      <c r="L25" s="3504">
        <f>IF(SUM(L26,L31)=0,"IE",SUM(L26,L31))</f>
        <v>0.43034277990000008</v>
      </c>
      <c r="M25" s="482"/>
    </row>
    <row r="26" spans="2:13" ht="18" customHeight="1" x14ac:dyDescent="0.25">
      <c r="B26" s="903" t="s">
        <v>1913</v>
      </c>
      <c r="C26" s="4359"/>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5">
      <c r="B27" s="923" t="s">
        <v>1275</v>
      </c>
      <c r="C27" s="4359"/>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5">
      <c r="B28" s="923"/>
      <c r="C28" s="4358"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5">
      <c r="B29" s="923" t="s">
        <v>1276</v>
      </c>
      <c r="C29" s="4359"/>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5">
      <c r="B30" s="923"/>
      <c r="C30" s="4358"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5">
      <c r="B31" s="903" t="s">
        <v>1277</v>
      </c>
      <c r="C31" s="4359"/>
      <c r="D31" s="298"/>
      <c r="E31" s="5" t="s">
        <v>2250</v>
      </c>
      <c r="F31" s="3682">
        <f>IF(SUM(F32,F34)=0,"IE",SUM(F32,F34))</f>
        <v>85284</v>
      </c>
      <c r="G31" s="3663" t="str">
        <f t="shared" si="2"/>
        <v>NA</v>
      </c>
      <c r="H31" s="3664">
        <f t="shared" si="3"/>
        <v>0.27296150274377373</v>
      </c>
      <c r="I31" s="3665">
        <f t="shared" si="4"/>
        <v>5.0459966687772632E-3</v>
      </c>
      <c r="J31" s="3505" t="str">
        <f>IF(SUM(J32,J34)=0,"IE",SUM(J32,J34))</f>
        <v>IE</v>
      </c>
      <c r="K31" s="3505">
        <f t="shared" ref="K31:L31" si="6">IF(SUM(K32,K34)=0,"IE",SUM(K32,K34))</f>
        <v>23.279248799999998</v>
      </c>
      <c r="L31" s="3508">
        <f t="shared" si="6"/>
        <v>0.43034277990000008</v>
      </c>
    </row>
    <row r="32" spans="2:13" ht="18" customHeight="1" x14ac:dyDescent="0.25">
      <c r="B32" s="923" t="s">
        <v>1278</v>
      </c>
      <c r="C32" s="4359"/>
      <c r="D32" s="298"/>
      <c r="E32" s="5" t="s">
        <v>2250</v>
      </c>
      <c r="F32" s="3681">
        <f>F33</f>
        <v>85284</v>
      </c>
      <c r="G32" s="3663" t="str">
        <f t="shared" si="2"/>
        <v>NA</v>
      </c>
      <c r="H32" s="3664">
        <f t="shared" si="3"/>
        <v>0.27296150274377373</v>
      </c>
      <c r="I32" s="3665">
        <f t="shared" si="4"/>
        <v>5.0459966687772632E-3</v>
      </c>
      <c r="J32" s="3505" t="str">
        <f>J33</f>
        <v>IE</v>
      </c>
      <c r="K32" s="3505">
        <f>K33</f>
        <v>23.279248799999998</v>
      </c>
      <c r="L32" s="3508">
        <f>L33</f>
        <v>0.43034277990000008</v>
      </c>
      <c r="M32" s="482"/>
    </row>
    <row r="33" spans="2:13" ht="18" customHeight="1" x14ac:dyDescent="0.25">
      <c r="B33" s="923"/>
      <c r="C33" s="4358" t="s">
        <v>2252</v>
      </c>
      <c r="D33" s="542" t="s">
        <v>940</v>
      </c>
      <c r="E33" s="543" t="s">
        <v>2250</v>
      </c>
      <c r="F33" s="3654">
        <v>85284</v>
      </c>
      <c r="G33" s="3666" t="str">
        <f t="shared" si="2"/>
        <v>NA</v>
      </c>
      <c r="H33" s="3667">
        <f t="shared" si="3"/>
        <v>0.27296150274377373</v>
      </c>
      <c r="I33" s="3668">
        <f t="shared" si="4"/>
        <v>5.0459966687772632E-3</v>
      </c>
      <c r="J33" s="3509" t="s">
        <v>2153</v>
      </c>
      <c r="K33" s="3510">
        <v>23.279248799999998</v>
      </c>
      <c r="L33" s="3511">
        <v>0.43034277990000008</v>
      </c>
      <c r="M33" s="482"/>
    </row>
    <row r="34" spans="2:13" ht="18" customHeight="1" x14ac:dyDescent="0.25">
      <c r="B34" s="923" t="s">
        <v>1279</v>
      </c>
      <c r="C34" s="4359"/>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3">
      <c r="B35" s="938"/>
      <c r="C35" s="4360"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5">
      <c r="B36" s="941" t="s">
        <v>1987</v>
      </c>
      <c r="C36" s="4361"/>
      <c r="D36" s="2850"/>
      <c r="E36" s="935" t="s">
        <v>2250</v>
      </c>
      <c r="F36" s="3683">
        <f>IF(SUM(F37,F42)=0,"NO",SUM(F37,F42))</f>
        <v>23555128.760804147</v>
      </c>
      <c r="G36" s="3660" t="str">
        <f t="shared" si="2"/>
        <v>NA</v>
      </c>
      <c r="H36" s="3661">
        <f t="shared" ref="H36" si="7">IF(SUM($F36)=0,"NA",K36*1000/$F36)</f>
        <v>1.5933406652084793E-2</v>
      </c>
      <c r="I36" s="3662">
        <f t="shared" ref="I36" si="8">IF(SUM($F36)=0,"NA",L36*1000/$F36)</f>
        <v>3.6887466653339618E-4</v>
      </c>
      <c r="J36" s="3502" t="str">
        <f>IF(SUM(J37,J42)=0,"IE",SUM(J37,J42))</f>
        <v>IE</v>
      </c>
      <c r="K36" s="3503">
        <f>IF(SUM(K37,K42)=0,"NO",SUM(K37,K42))</f>
        <v>375.31344528811064</v>
      </c>
      <c r="L36" s="3504">
        <f>IF(SUM(L37,L42)=0,"NO",SUM(L37,L42))</f>
        <v>8.6888902667928392</v>
      </c>
      <c r="M36" s="482"/>
    </row>
    <row r="37" spans="2:13" ht="18" customHeight="1" x14ac:dyDescent="0.25">
      <c r="B37" s="903" t="s">
        <v>1876</v>
      </c>
      <c r="C37" s="4359"/>
      <c r="D37" s="298"/>
      <c r="E37" s="5" t="s">
        <v>2250</v>
      </c>
      <c r="F37" s="3680">
        <f>IF(SUM(F38,F40)=0,"NO",SUM(F38,F40))</f>
        <v>22689267.384887811</v>
      </c>
      <c r="G37" s="3666" t="str">
        <f t="shared" si="2"/>
        <v>NA</v>
      </c>
      <c r="H37" s="3664">
        <f t="shared" si="3"/>
        <v>7.351751569838018E-3</v>
      </c>
      <c r="I37" s="3665">
        <f t="shared" si="4"/>
        <v>2.128393164516059E-4</v>
      </c>
      <c r="J37" s="3505" t="str">
        <f>IF(SUM(J38,J40)=0,"IE",SUM(J38,J40))</f>
        <v>IE</v>
      </c>
      <c r="K37" s="3506">
        <f>IF(SUM(K38,K40)=0,"NO",SUM(K38,K40))</f>
        <v>166.80585711532351</v>
      </c>
      <c r="L37" s="3507">
        <f>IF(SUM(L38,L40)=0,"NO",SUM(L38,L40))</f>
        <v>4.8291681609872379</v>
      </c>
    </row>
    <row r="38" spans="2:13" ht="18" customHeight="1" x14ac:dyDescent="0.25">
      <c r="B38" s="923" t="s">
        <v>1280</v>
      </c>
      <c r="C38" s="4359"/>
      <c r="D38" s="298"/>
      <c r="E38" s="5" t="s">
        <v>2250</v>
      </c>
      <c r="F38" s="3681">
        <f>F39</f>
        <v>22689267.384887811</v>
      </c>
      <c r="G38" s="3666" t="str">
        <f t="shared" si="2"/>
        <v>NA</v>
      </c>
      <c r="H38" s="3667">
        <f t="shared" si="3"/>
        <v>7.351751569838018E-3</v>
      </c>
      <c r="I38" s="3668">
        <f t="shared" si="4"/>
        <v>2.128393164516059E-4</v>
      </c>
      <c r="J38" s="3505" t="str">
        <f>J39</f>
        <v>IE</v>
      </c>
      <c r="K38" s="3505">
        <f>K39</f>
        <v>166.80585711532351</v>
      </c>
      <c r="L38" s="3508">
        <f>L39</f>
        <v>4.8291681609872379</v>
      </c>
      <c r="M38" s="482"/>
    </row>
    <row r="39" spans="2:13" ht="18" customHeight="1" x14ac:dyDescent="0.25">
      <c r="B39" s="923"/>
      <c r="C39" s="4358" t="s">
        <v>2263</v>
      </c>
      <c r="D39" s="542" t="s">
        <v>940</v>
      </c>
      <c r="E39" s="543" t="s">
        <v>2250</v>
      </c>
      <c r="F39" s="3655">
        <v>22689267.384887811</v>
      </c>
      <c r="G39" s="3666" t="str">
        <f t="shared" si="2"/>
        <v>NA</v>
      </c>
      <c r="H39" s="3667">
        <f t="shared" ref="H39:H40" si="9">IF(SUM($F39)=0,"NA",K39*1000/$F39)</f>
        <v>7.351751569838018E-3</v>
      </c>
      <c r="I39" s="3668">
        <f t="shared" ref="I39:I40" si="10">IF(SUM($F39)=0,"NA",L39*1000/$F39)</f>
        <v>2.128393164516059E-4</v>
      </c>
      <c r="J39" s="3509" t="s">
        <v>2153</v>
      </c>
      <c r="K39" s="3510">
        <v>166.80585711532351</v>
      </c>
      <c r="L39" s="3512">
        <v>4.8291681609872379</v>
      </c>
      <c r="M39" s="482"/>
    </row>
    <row r="40" spans="2:13" ht="18" customHeight="1" x14ac:dyDescent="0.25">
      <c r="B40" s="923" t="s">
        <v>1281</v>
      </c>
      <c r="C40" s="4359"/>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5">
      <c r="B41" s="923"/>
      <c r="C41" s="4358"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5">
      <c r="B42" s="903" t="s">
        <v>1282</v>
      </c>
      <c r="C42" s="4359"/>
      <c r="D42" s="298"/>
      <c r="E42" s="5" t="s">
        <v>2250</v>
      </c>
      <c r="F42" s="3682">
        <f>IF(SUM(F43,F46)=0,"NO",SUM(F43,F46))</f>
        <v>865861.37591633678</v>
      </c>
      <c r="G42" s="3663" t="str">
        <f t="shared" si="2"/>
        <v>NA</v>
      </c>
      <c r="H42" s="3664">
        <f t="shared" si="11"/>
        <v>0.2408094343648538</v>
      </c>
      <c r="I42" s="3665">
        <f t="shared" si="12"/>
        <v>4.4576674894649003E-3</v>
      </c>
      <c r="J42" s="3505" t="str">
        <f>IF(SUM(J43,J46)=0,"IE",SUM(J43,J46))</f>
        <v>IE</v>
      </c>
      <c r="K42" s="3506">
        <f>IF(SUM(K43,K46)=0,"NO",SUM(K43,K46))</f>
        <v>208.50758817278711</v>
      </c>
      <c r="L42" s="3507">
        <f>IF(SUM(L43,L46)=0,"NO",SUM(L43,L46))</f>
        <v>3.8597221058056013</v>
      </c>
    </row>
    <row r="43" spans="2:13" ht="18" customHeight="1" x14ac:dyDescent="0.25">
      <c r="B43" s="923" t="s">
        <v>1283</v>
      </c>
      <c r="C43" s="4359"/>
      <c r="D43" s="298"/>
      <c r="E43" s="5" t="s">
        <v>2250</v>
      </c>
      <c r="F43" s="3681">
        <f>IF(SUM(F44:F45)=0,"NO",SUM(F44:F45))</f>
        <v>865861.37591633678</v>
      </c>
      <c r="G43" s="3666" t="str">
        <f t="shared" si="2"/>
        <v>NA</v>
      </c>
      <c r="H43" s="3667">
        <f t="shared" ref="H43" si="13">IF(SUM($F43)=0,"NA",K43*1000/$F43)</f>
        <v>0.2408094343648538</v>
      </c>
      <c r="I43" s="3668">
        <f t="shared" ref="I43" si="14">IF(SUM($F43)=0,"NA",L43*1000/$F43)</f>
        <v>4.4576674894649003E-3</v>
      </c>
      <c r="J43" s="3505" t="str">
        <f>IF(SUM(J44:J45)=0,"IE",SUM(J44:J45))</f>
        <v>IE</v>
      </c>
      <c r="K43" s="3505">
        <f>IF(SUM(K44:K45)=0,"NO",SUM(K44:K45))</f>
        <v>208.50758817278711</v>
      </c>
      <c r="L43" s="3508">
        <f>IF(SUM(L44:L45)=0,"NO",SUM(L44:L45))</f>
        <v>3.8597221058056013</v>
      </c>
      <c r="M43" s="482"/>
    </row>
    <row r="44" spans="2:13" ht="18" customHeight="1" x14ac:dyDescent="0.25">
      <c r="B44" s="923"/>
      <c r="C44" s="4358" t="s">
        <v>2252</v>
      </c>
      <c r="D44" s="542" t="s">
        <v>940</v>
      </c>
      <c r="E44" s="543" t="s">
        <v>2250</v>
      </c>
      <c r="F44" s="3655">
        <v>819252</v>
      </c>
      <c r="G44" s="3666" t="str">
        <f t="shared" si="2"/>
        <v>NA</v>
      </c>
      <c r="H44" s="3667">
        <f t="shared" ref="H44:H46" si="15">IF(SUM($F44)=0,"NA",K44*1000/$F44)</f>
        <v>0.25340049215625965</v>
      </c>
      <c r="I44" s="3668">
        <f t="shared" ref="I44:I46" si="16">IF(SUM($F44)=0,"NA",L44*1000/$F44)</f>
        <v>4.6843896536108535E-3</v>
      </c>
      <c r="J44" s="3509" t="s">
        <v>2153</v>
      </c>
      <c r="K44" s="3510">
        <v>207.59886</v>
      </c>
      <c r="L44" s="3512">
        <v>3.8376955924999994</v>
      </c>
      <c r="M44" s="482"/>
    </row>
    <row r="45" spans="2:13" ht="18" customHeight="1" x14ac:dyDescent="0.25">
      <c r="B45" s="923"/>
      <c r="C45" s="4358" t="s">
        <v>2263</v>
      </c>
      <c r="D45" s="542" t="s">
        <v>940</v>
      </c>
      <c r="E45" s="543" t="s">
        <v>2250</v>
      </c>
      <c r="F45" s="3655">
        <v>46609.375916336823</v>
      </c>
      <c r="G45" s="3666" t="str">
        <f t="shared" si="2"/>
        <v>NA</v>
      </c>
      <c r="H45" s="3667">
        <f t="shared" si="15"/>
        <v>1.9496681835394179E-2</v>
      </c>
      <c r="I45" s="3668">
        <f t="shared" si="16"/>
        <v>4.7257687691719288E-4</v>
      </c>
      <c r="J45" s="3509" t="s">
        <v>2153</v>
      </c>
      <c r="K45" s="3510">
        <v>0.90872817278710305</v>
      </c>
      <c r="L45" s="3512">
        <v>2.2026513305601882E-2</v>
      </c>
      <c r="M45" s="482"/>
    </row>
    <row r="46" spans="2:13" ht="18" customHeight="1" x14ac:dyDescent="0.25">
      <c r="B46" s="923" t="s">
        <v>1284</v>
      </c>
      <c r="C46" s="4359"/>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3">
      <c r="B47" s="938"/>
      <c r="C47" s="4360"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5">
      <c r="B48" s="933" t="s">
        <v>1988</v>
      </c>
      <c r="C48" s="4361"/>
      <c r="D48" s="2850"/>
      <c r="E48" s="935" t="s">
        <v>2250</v>
      </c>
      <c r="F48" s="3683">
        <f>IF(SUM(F49,F54)=0,"NO",SUM(F49,F54))</f>
        <v>455166.58161975356</v>
      </c>
      <c r="G48" s="3660" t="str">
        <f t="shared" si="2"/>
        <v>NA</v>
      </c>
      <c r="H48" s="3661">
        <f t="shared" si="17"/>
        <v>2.4655511388056228E-2</v>
      </c>
      <c r="I48" s="3662">
        <f t="shared" si="18"/>
        <v>5.6499790926945598E-4</v>
      </c>
      <c r="J48" s="3502" t="str">
        <f>IF(SUM(J49,J54)=0,"IE",SUM(J49,J54))</f>
        <v>IE</v>
      </c>
      <c r="K48" s="3503">
        <f>IF(SUM(K49,K54)=0,"NO",SUM(K49,K54))</f>
        <v>11.222364836588458</v>
      </c>
      <c r="L48" s="3504">
        <f>IF(SUM(L49,L54)=0,"NO",SUM(L49,L54))</f>
        <v>0.25716816698448591</v>
      </c>
      <c r="M48" s="482"/>
    </row>
    <row r="49" spans="2:13" ht="18" customHeight="1" x14ac:dyDescent="0.25">
      <c r="B49" s="903" t="s">
        <v>1285</v>
      </c>
      <c r="C49" s="4359"/>
      <c r="D49" s="298"/>
      <c r="E49" s="5" t="s">
        <v>2250</v>
      </c>
      <c r="F49" s="3680">
        <f>IF(SUM(F50,F52)=0,"NO",SUM(F50,F52))</f>
        <v>455166.58161975356</v>
      </c>
      <c r="G49" s="3663" t="str">
        <f t="shared" si="2"/>
        <v>NA</v>
      </c>
      <c r="H49" s="3664">
        <f t="shared" si="17"/>
        <v>2.4655511388056228E-2</v>
      </c>
      <c r="I49" s="3665">
        <f t="shared" si="18"/>
        <v>5.6499790926945598E-4</v>
      </c>
      <c r="J49" s="3505" t="str">
        <f>IF(SUM(J50,J52)=0,"IE",SUM(J50,J52))</f>
        <v>IE</v>
      </c>
      <c r="K49" s="3506">
        <f>IF(SUM(K50,K52)=0,"NO",SUM(K50,K52))</f>
        <v>11.222364836588458</v>
      </c>
      <c r="L49" s="3507">
        <f>IF(SUM(L50,L52)=0,"NO",SUM(L50,L52))</f>
        <v>0.25716816698448591</v>
      </c>
    </row>
    <row r="50" spans="2:13" ht="18" customHeight="1" x14ac:dyDescent="0.25">
      <c r="B50" s="923" t="s">
        <v>1286</v>
      </c>
      <c r="C50" s="4359"/>
      <c r="D50" s="298"/>
      <c r="E50" s="5" t="s">
        <v>2250</v>
      </c>
      <c r="F50" s="3681">
        <f>F51</f>
        <v>455166.58161975356</v>
      </c>
      <c r="G50" s="3666" t="str">
        <f t="shared" si="2"/>
        <v>NA</v>
      </c>
      <c r="H50" s="3667">
        <f t="shared" si="17"/>
        <v>2.4655511388056228E-2</v>
      </c>
      <c r="I50" s="3668">
        <f t="shared" si="18"/>
        <v>5.6499790926945598E-4</v>
      </c>
      <c r="J50" s="3505" t="str">
        <f>J51</f>
        <v>IE</v>
      </c>
      <c r="K50" s="3505">
        <f>K51</f>
        <v>11.222364836588458</v>
      </c>
      <c r="L50" s="3508">
        <f>L51</f>
        <v>0.25716816698448591</v>
      </c>
      <c r="M50" s="482"/>
    </row>
    <row r="51" spans="2:13" ht="18" customHeight="1" x14ac:dyDescent="0.25">
      <c r="B51" s="923"/>
      <c r="C51" s="4358" t="s">
        <v>2263</v>
      </c>
      <c r="D51" s="542" t="s">
        <v>940</v>
      </c>
      <c r="E51" s="543" t="s">
        <v>2250</v>
      </c>
      <c r="F51" s="3655">
        <v>455166.58161975356</v>
      </c>
      <c r="G51" s="3666" t="str">
        <f t="shared" si="2"/>
        <v>NA</v>
      </c>
      <c r="H51" s="3667">
        <f t="shared" si="17"/>
        <v>2.4655511388056228E-2</v>
      </c>
      <c r="I51" s="3668">
        <f t="shared" si="18"/>
        <v>5.6499790926945598E-4</v>
      </c>
      <c r="J51" s="3509" t="s">
        <v>2153</v>
      </c>
      <c r="K51" s="3510">
        <v>11.222364836588458</v>
      </c>
      <c r="L51" s="3512">
        <v>0.25716816698448591</v>
      </c>
      <c r="M51" s="482"/>
    </row>
    <row r="52" spans="2:13" ht="18" customHeight="1" x14ac:dyDescent="0.25">
      <c r="B52" s="923" t="s">
        <v>1287</v>
      </c>
      <c r="C52" s="4359"/>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5">
      <c r="B53" s="923"/>
      <c r="C53" s="4358"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5">
      <c r="B54" s="903" t="s">
        <v>1288</v>
      </c>
      <c r="C54" s="4359"/>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5">
      <c r="B55" s="923" t="s">
        <v>1289</v>
      </c>
      <c r="C55" s="4359"/>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5">
      <c r="B56" s="923"/>
      <c r="C56" s="4358"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5">
      <c r="B57" s="923" t="s">
        <v>1290</v>
      </c>
      <c r="C57" s="4359"/>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3">
      <c r="B58" s="938"/>
      <c r="C58" s="4360"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5">
      <c r="B59" s="933" t="s">
        <v>1989</v>
      </c>
      <c r="C59" s="4361"/>
      <c r="D59" s="2850"/>
      <c r="E59" s="935" t="s">
        <v>2250</v>
      </c>
      <c r="F59" s="3683">
        <f>IF(SUM(F60,F65)=0,"NO",SUM(F60,F65))</f>
        <v>20676</v>
      </c>
      <c r="G59" s="3660" t="str">
        <f t="shared" si="2"/>
        <v>NA</v>
      </c>
      <c r="H59" s="3661">
        <f t="shared" si="3"/>
        <v>0.32300650029019151</v>
      </c>
      <c r="I59" s="3662">
        <f t="shared" si="4"/>
        <v>5.9711340539756247E-3</v>
      </c>
      <c r="J59" s="3502" t="str">
        <f>IF(SUM(J60,J65)=0,"IE",SUM(J60,J65))</f>
        <v>IE</v>
      </c>
      <c r="K59" s="3503">
        <f>IF(SUM(K60,K65)=0,"NO",SUM(K60,K65))</f>
        <v>6.6784824</v>
      </c>
      <c r="L59" s="3504">
        <f>IF(SUM(L60,L65)=0,"NO",SUM(L60,L65))</f>
        <v>0.12345916770000001</v>
      </c>
    </row>
    <row r="60" spans="2:13" ht="18" customHeight="1" x14ac:dyDescent="0.25">
      <c r="B60" s="903" t="s">
        <v>2407</v>
      </c>
      <c r="C60" s="4359"/>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5">
      <c r="B61" s="923" t="s">
        <v>1291</v>
      </c>
      <c r="C61" s="4359"/>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5">
      <c r="B62" s="923"/>
      <c r="C62" s="4358"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5">
      <c r="B63" s="923" t="s">
        <v>1292</v>
      </c>
      <c r="C63" s="4359"/>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5">
      <c r="B64" s="923"/>
      <c r="C64" s="4358"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5">
      <c r="B65" s="903" t="s">
        <v>1293</v>
      </c>
      <c r="C65" s="4359"/>
      <c r="D65" s="298"/>
      <c r="E65" s="5" t="s">
        <v>2250</v>
      </c>
      <c r="F65" s="3680">
        <f>IF(SUM(F66,F68)=0,"NO",SUM(F66,F68))</f>
        <v>20676</v>
      </c>
      <c r="G65" s="3663" t="str">
        <f t="shared" si="2"/>
        <v>NA</v>
      </c>
      <c r="H65" s="3664">
        <f t="shared" si="3"/>
        <v>0.32300650029019151</v>
      </c>
      <c r="I65" s="3665">
        <f t="shared" si="4"/>
        <v>5.9711340539756247E-3</v>
      </c>
      <c r="J65" s="3505" t="str">
        <f>IF(SUM(J66,J68)=0,"IE",SUM(J66,J68))</f>
        <v>IE</v>
      </c>
      <c r="K65" s="3506">
        <f>IF(SUM(K66,K68)=0,"NO",SUM(K66,K68))</f>
        <v>6.6784824</v>
      </c>
      <c r="L65" s="3507">
        <f>IF(SUM(L66,L68)=0,"NO",SUM(L66,L68))</f>
        <v>0.12345916770000001</v>
      </c>
    </row>
    <row r="66" spans="2:13" ht="18" customHeight="1" x14ac:dyDescent="0.25">
      <c r="B66" s="923" t="s">
        <v>1294</v>
      </c>
      <c r="C66" s="4359"/>
      <c r="D66" s="298"/>
      <c r="E66" s="5" t="s">
        <v>2250</v>
      </c>
      <c r="F66" s="3681">
        <f>F67</f>
        <v>20676</v>
      </c>
      <c r="G66" s="3666" t="str">
        <f t="shared" si="2"/>
        <v>NA</v>
      </c>
      <c r="H66" s="3667">
        <f t="shared" si="3"/>
        <v>0.32300650029019151</v>
      </c>
      <c r="I66" s="3668">
        <f t="shared" si="4"/>
        <v>5.9711340539756247E-3</v>
      </c>
      <c r="J66" s="3505" t="str">
        <f>J67</f>
        <v>IE</v>
      </c>
      <c r="K66" s="3505">
        <f>K67</f>
        <v>6.6784824</v>
      </c>
      <c r="L66" s="3508">
        <f>L67</f>
        <v>0.12345916770000001</v>
      </c>
      <c r="M66" s="482"/>
    </row>
    <row r="67" spans="2:13" ht="18" customHeight="1" x14ac:dyDescent="0.25">
      <c r="B67" s="923"/>
      <c r="C67" s="4358" t="s">
        <v>2252</v>
      </c>
      <c r="D67" s="542" t="s">
        <v>940</v>
      </c>
      <c r="E67" s="543" t="s">
        <v>2250</v>
      </c>
      <c r="F67" s="3655">
        <v>20676</v>
      </c>
      <c r="G67" s="3666" t="str">
        <f t="shared" si="2"/>
        <v>NA</v>
      </c>
      <c r="H67" s="3667">
        <f t="shared" ref="H67:H68" si="23">IF(SUM($F67)=0,"NA",K67*1000/$F67)</f>
        <v>0.32300650029019151</v>
      </c>
      <c r="I67" s="3668">
        <f t="shared" ref="I67:I68" si="24">IF(SUM($F67)=0,"NA",L67*1000/$F67)</f>
        <v>5.9711340539756247E-3</v>
      </c>
      <c r="J67" s="3509" t="s">
        <v>2153</v>
      </c>
      <c r="K67" s="3510">
        <v>6.6784824</v>
      </c>
      <c r="L67" s="3512">
        <v>0.12345916770000001</v>
      </c>
      <c r="M67" s="482"/>
    </row>
    <row r="68" spans="2:13" ht="18" customHeight="1" x14ac:dyDescent="0.25">
      <c r="B68" s="923" t="s">
        <v>1295</v>
      </c>
      <c r="C68" s="4359"/>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3">
      <c r="B69" s="938"/>
      <c r="C69" s="4360"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5">
      <c r="B70" s="933" t="s">
        <v>1990</v>
      </c>
      <c r="C70" s="4361"/>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5">
      <c r="B71" s="903" t="s">
        <v>1296</v>
      </c>
      <c r="C71" s="4359"/>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5">
      <c r="B72" s="923" t="s">
        <v>1297</v>
      </c>
      <c r="C72" s="4359"/>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5">
      <c r="B73" s="923"/>
      <c r="C73" s="4358"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5">
      <c r="B74" s="923" t="s">
        <v>1298</v>
      </c>
      <c r="C74" s="4359"/>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3">
      <c r="B75" s="938"/>
      <c r="C75" s="4360"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5">
      <c r="B76" s="933" t="s">
        <v>1299</v>
      </c>
      <c r="C76" s="4361"/>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3">
      <c r="B77" s="924" t="s">
        <v>2147</v>
      </c>
      <c r="C77" s="4360"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5">
      <c r="B78" s="85"/>
      <c r="C78" s="85"/>
      <c r="D78" s="85"/>
      <c r="E78" s="85"/>
      <c r="F78" s="85"/>
      <c r="G78" s="247"/>
      <c r="H78" s="247"/>
      <c r="I78" s="247"/>
      <c r="J78" s="85"/>
      <c r="K78" s="85"/>
      <c r="L78" s="85"/>
    </row>
    <row r="79" spans="2:13" ht="14.4" x14ac:dyDescent="0.25">
      <c r="B79" s="810"/>
      <c r="C79" s="810"/>
      <c r="D79" s="810"/>
      <c r="E79" s="810"/>
      <c r="F79" s="810"/>
      <c r="G79" s="810"/>
      <c r="H79" s="810"/>
      <c r="I79" s="810"/>
      <c r="J79" s="918"/>
      <c r="K79" s="918"/>
      <c r="L79" s="918"/>
    </row>
    <row r="80" spans="2:13" ht="14.4" x14ac:dyDescent="0.25">
      <c r="B80" s="810"/>
      <c r="C80" s="810"/>
      <c r="D80" s="810"/>
      <c r="E80" s="810"/>
      <c r="F80" s="810"/>
      <c r="G80" s="810"/>
      <c r="H80" s="810"/>
      <c r="I80" s="810"/>
      <c r="J80" s="810"/>
      <c r="K80" s="810"/>
      <c r="L80" s="810"/>
    </row>
    <row r="81" spans="2:16" ht="14.4" x14ac:dyDescent="0.25">
      <c r="B81" s="547"/>
      <c r="C81" s="810"/>
      <c r="D81" s="810"/>
      <c r="E81" s="810"/>
      <c r="F81" s="810"/>
      <c r="G81" s="810"/>
      <c r="H81" s="810"/>
      <c r="I81" s="810"/>
      <c r="J81" s="810"/>
      <c r="K81" s="810"/>
      <c r="L81" s="810"/>
    </row>
    <row r="82" spans="2:16" ht="14.4" x14ac:dyDescent="0.25">
      <c r="B82" s="810"/>
      <c r="C82" s="810"/>
      <c r="D82" s="810"/>
      <c r="E82" s="810"/>
      <c r="F82" s="810"/>
      <c r="G82" s="810"/>
      <c r="H82" s="810"/>
      <c r="I82" s="810"/>
      <c r="J82" s="810"/>
      <c r="K82" s="810"/>
      <c r="L82" s="810"/>
    </row>
    <row r="83" spans="2:16" ht="14.4" x14ac:dyDescent="0.25">
      <c r="B83" s="810"/>
      <c r="C83" s="810"/>
      <c r="D83" s="810"/>
      <c r="E83" s="810"/>
      <c r="F83" s="810"/>
      <c r="G83" s="810"/>
      <c r="H83" s="810"/>
      <c r="I83" s="810"/>
      <c r="J83" s="810"/>
      <c r="K83" s="810"/>
      <c r="L83" s="810"/>
    </row>
    <row r="84" spans="2:16" ht="14.4" x14ac:dyDescent="0.25">
      <c r="B84" s="942"/>
      <c r="C84" s="810"/>
      <c r="D84" s="810"/>
      <c r="E84" s="810"/>
      <c r="F84" s="810"/>
      <c r="G84" s="810"/>
      <c r="H84" s="810"/>
      <c r="I84" s="810"/>
      <c r="J84" s="810"/>
      <c r="K84" s="810"/>
      <c r="L84" s="810"/>
    </row>
    <row r="85" spans="2:16" x14ac:dyDescent="0.25">
      <c r="B85" s="547"/>
      <c r="C85" s="918"/>
      <c r="D85" s="918"/>
      <c r="E85" s="918"/>
      <c r="F85" s="918"/>
      <c r="G85" s="918"/>
      <c r="H85" s="918"/>
      <c r="I85" s="918"/>
      <c r="J85" s="918"/>
      <c r="K85" s="918"/>
      <c r="L85" s="918"/>
    </row>
    <row r="86" spans="2:16" ht="14.4" x14ac:dyDescent="0.25">
      <c r="B86" s="810"/>
      <c r="C86" s="810"/>
      <c r="D86" s="810"/>
      <c r="E86" s="810"/>
      <c r="F86" s="810"/>
      <c r="G86" s="810"/>
      <c r="H86" s="810"/>
      <c r="I86" s="810"/>
      <c r="J86" s="810"/>
      <c r="K86" s="810"/>
      <c r="L86" s="810"/>
      <c r="P86" s="379"/>
    </row>
    <row r="87" spans="2:16" ht="14.4" x14ac:dyDescent="0.25">
      <c r="B87" s="810"/>
      <c r="C87" s="810"/>
      <c r="D87" s="810"/>
      <c r="E87" s="810"/>
      <c r="F87" s="810"/>
      <c r="G87" s="810"/>
      <c r="H87" s="810"/>
      <c r="I87" s="810"/>
      <c r="J87" s="810"/>
      <c r="K87" s="810"/>
      <c r="L87" s="810"/>
      <c r="P87" s="379"/>
    </row>
    <row r="88" spans="2:16" ht="14.4" x14ac:dyDescent="0.25">
      <c r="B88" s="810"/>
      <c r="C88" s="810"/>
      <c r="D88" s="810"/>
      <c r="E88" s="810"/>
      <c r="F88" s="810"/>
      <c r="G88" s="810"/>
      <c r="H88" s="810"/>
      <c r="I88" s="810"/>
      <c r="J88" s="810"/>
      <c r="K88" s="810"/>
      <c r="L88" s="810"/>
      <c r="P88" s="379"/>
    </row>
    <row r="89" spans="2:16" ht="14.4" x14ac:dyDescent="0.25">
      <c r="B89" s="809"/>
      <c r="C89" s="809"/>
      <c r="D89" s="809"/>
      <c r="E89" s="809"/>
      <c r="F89" s="809"/>
      <c r="G89" s="809"/>
      <c r="H89" s="809"/>
      <c r="I89" s="810"/>
      <c r="J89" s="810"/>
      <c r="K89" s="810"/>
      <c r="L89" s="810"/>
    </row>
    <row r="90" spans="2:16" ht="13.8" thickBot="1" x14ac:dyDescent="0.3">
      <c r="B90" s="84"/>
      <c r="C90" s="84"/>
      <c r="D90" s="84"/>
      <c r="E90" s="84"/>
      <c r="F90" s="84"/>
      <c r="G90" s="84"/>
      <c r="H90" s="84"/>
      <c r="I90" s="84"/>
      <c r="J90" s="84"/>
      <c r="K90" s="84"/>
      <c r="L90" s="84"/>
    </row>
    <row r="91" spans="2:16" x14ac:dyDescent="0.25">
      <c r="B91" s="919" t="s">
        <v>390</v>
      </c>
      <c r="C91" s="920"/>
      <c r="D91" s="921"/>
      <c r="E91" s="921"/>
      <c r="F91" s="548"/>
      <c r="G91" s="921"/>
      <c r="H91" s="921"/>
      <c r="I91" s="921"/>
      <c r="J91" s="921"/>
      <c r="K91" s="921"/>
      <c r="L91" s="922"/>
    </row>
    <row r="92" spans="2:16" x14ac:dyDescent="0.25">
      <c r="B92" s="1357"/>
      <c r="C92" s="1358"/>
      <c r="D92" s="1359"/>
      <c r="E92" s="1359"/>
      <c r="F92" s="1360"/>
      <c r="G92" s="1359"/>
      <c r="H92" s="1359"/>
      <c r="I92" s="1359"/>
      <c r="J92" s="1359"/>
      <c r="K92" s="1359"/>
      <c r="L92" s="1361"/>
    </row>
    <row r="93" spans="2:16" x14ac:dyDescent="0.25">
      <c r="B93" s="1357"/>
      <c r="C93" s="1358"/>
      <c r="D93" s="1359"/>
      <c r="E93" s="1359"/>
      <c r="F93" s="1360"/>
      <c r="G93" s="1359"/>
      <c r="H93" s="1359"/>
      <c r="I93" s="1359"/>
      <c r="J93" s="1359"/>
      <c r="K93" s="1359"/>
      <c r="L93" s="1361"/>
    </row>
    <row r="94" spans="2:16" ht="13.8" thickBot="1" x14ac:dyDescent="0.3">
      <c r="B94" s="1354"/>
      <c r="C94" s="1355"/>
      <c r="D94" s="1355"/>
      <c r="E94" s="1355"/>
      <c r="F94" s="1355"/>
      <c r="G94" s="1355"/>
      <c r="H94" s="1355"/>
      <c r="I94" s="1355"/>
      <c r="J94" s="1355"/>
      <c r="K94" s="1355"/>
      <c r="L94" s="1356"/>
    </row>
    <row r="95" spans="2:16" ht="28.5" customHeight="1" thickBot="1" x14ac:dyDescent="0.3">
      <c r="B95" s="4452" t="s">
        <v>2253</v>
      </c>
      <c r="C95" s="4453"/>
      <c r="D95" s="4453"/>
      <c r="E95" s="4453"/>
      <c r="F95" s="4453"/>
      <c r="G95" s="4453"/>
      <c r="H95" s="4453"/>
      <c r="I95" s="4453"/>
      <c r="J95" s="4453"/>
      <c r="K95" s="4453"/>
      <c r="L95" s="4454"/>
    </row>
    <row r="96" spans="2:16" x14ac:dyDescent="0.25">
      <c r="B96" s="85"/>
      <c r="C96" s="85"/>
      <c r="D96" s="85"/>
      <c r="E96" s="85"/>
      <c r="F96" s="85"/>
      <c r="G96" s="85"/>
      <c r="H96" s="85"/>
      <c r="I96" s="85"/>
      <c r="J96" s="85"/>
      <c r="K96" s="85"/>
      <c r="L96" s="85"/>
    </row>
    <row r="99" ht="13.5" customHeight="1" x14ac:dyDescent="0.25"/>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4140625" defaultRowHeight="13.2" x14ac:dyDescent="0.25"/>
  <cols>
    <col min="1" max="1" width="1.88671875" customWidth="1"/>
    <col min="2" max="2" width="36.44140625" customWidth="1"/>
    <col min="3" max="5" width="17.88671875" customWidth="1"/>
    <col min="6" max="6" width="21.88671875" customWidth="1"/>
    <col min="7" max="7" width="22.44140625" customWidth="1"/>
    <col min="8" max="8" width="17.88671875" customWidth="1"/>
    <col min="9" max="9" width="17.5546875" customWidth="1"/>
    <col min="10" max="10" width="3.44140625" customWidth="1"/>
    <col min="11" max="11" width="25.88671875" customWidth="1"/>
  </cols>
  <sheetData>
    <row r="1" spans="1:10" ht="15.6" x14ac:dyDescent="0.3">
      <c r="B1" s="13" t="s">
        <v>1300</v>
      </c>
      <c r="C1" s="159"/>
      <c r="D1" s="159"/>
      <c r="E1" s="159"/>
      <c r="F1" s="159"/>
      <c r="G1" s="14" t="s">
        <v>2521</v>
      </c>
      <c r="H1" s="226"/>
      <c r="I1" s="2"/>
      <c r="J1" s="2"/>
    </row>
    <row r="2" spans="1:10" ht="18.600000000000001" x14ac:dyDescent="0.3">
      <c r="B2" s="13" t="s">
        <v>1301</v>
      </c>
      <c r="C2" s="159"/>
      <c r="D2" s="159"/>
      <c r="E2" s="159"/>
      <c r="F2" s="159"/>
      <c r="G2" s="14" t="s">
        <v>2522</v>
      </c>
      <c r="H2" s="226"/>
      <c r="I2" s="2"/>
      <c r="J2" s="2"/>
    </row>
    <row r="3" spans="1:10" ht="15.6" x14ac:dyDescent="0.3">
      <c r="B3" s="13" t="s">
        <v>616</v>
      </c>
      <c r="C3" s="159"/>
      <c r="D3" s="159"/>
      <c r="E3" s="159"/>
      <c r="F3" s="159"/>
      <c r="G3" s="14" t="s">
        <v>2144</v>
      </c>
      <c r="H3" s="226"/>
      <c r="I3" s="2"/>
      <c r="J3" s="2"/>
    </row>
    <row r="4" spans="1:10" ht="15.6" hidden="1" x14ac:dyDescent="0.3">
      <c r="B4" s="13"/>
      <c r="C4" s="159"/>
      <c r="D4" s="159"/>
      <c r="E4" s="159"/>
      <c r="F4" s="159"/>
      <c r="G4" s="226"/>
      <c r="H4" s="226"/>
      <c r="I4" s="2"/>
      <c r="J4" s="2"/>
    </row>
    <row r="5" spans="1:10" x14ac:dyDescent="0.25">
      <c r="B5" s="2457" t="s">
        <v>64</v>
      </c>
      <c r="J5" s="2"/>
    </row>
    <row r="6" spans="1:10" ht="23.4" thickBot="1" x14ac:dyDescent="0.45">
      <c r="B6" s="622" t="s">
        <v>1302</v>
      </c>
      <c r="C6" s="1175"/>
      <c r="D6" s="159"/>
      <c r="E6" s="159"/>
      <c r="F6" s="159"/>
      <c r="G6" s="159"/>
      <c r="H6" s="159"/>
    </row>
    <row r="7" spans="1:10" ht="29.25" customHeight="1" x14ac:dyDescent="0.3">
      <c r="B7" s="1613" t="s">
        <v>1303</v>
      </c>
      <c r="C7" s="1176" t="s">
        <v>1304</v>
      </c>
      <c r="D7" s="1177"/>
      <c r="E7" s="1177"/>
      <c r="F7" s="1177"/>
      <c r="G7" s="1593" t="s">
        <v>1305</v>
      </c>
      <c r="H7" s="1178"/>
      <c r="J7" s="2"/>
    </row>
    <row r="8" spans="1:10" ht="22.8" x14ac:dyDescent="0.25">
      <c r="B8" s="1614" t="s">
        <v>1306</v>
      </c>
      <c r="C8" s="550" t="s">
        <v>1307</v>
      </c>
      <c r="D8" s="537" t="s">
        <v>1308</v>
      </c>
      <c r="E8" s="537" t="s">
        <v>1309</v>
      </c>
      <c r="F8" s="537" t="s">
        <v>1310</v>
      </c>
      <c r="G8" s="1616" t="s">
        <v>1311</v>
      </c>
      <c r="J8" s="2"/>
    </row>
    <row r="9" spans="1:10" ht="14.4" thickBot="1" x14ac:dyDescent="0.3">
      <c r="A9" s="83"/>
      <c r="B9" s="1592"/>
      <c r="C9" s="1179" t="s">
        <v>234</v>
      </c>
      <c r="D9" s="1180"/>
      <c r="E9" s="1181" t="s">
        <v>1312</v>
      </c>
      <c r="F9" s="1182" t="s">
        <v>234</v>
      </c>
      <c r="G9" s="1183" t="s">
        <v>1038</v>
      </c>
      <c r="H9" s="226"/>
      <c r="I9" s="2"/>
      <c r="J9" s="2"/>
    </row>
    <row r="10" spans="1:10" ht="34.799999999999997" thickBot="1" x14ac:dyDescent="0.3">
      <c r="B10" s="1184" t="s">
        <v>1313</v>
      </c>
      <c r="C10" s="3521">
        <f>IF(SUM(C11,C16:C17)=0,"NO",SUM(C11,C16:C17))</f>
        <v>4289.9605601930307</v>
      </c>
      <c r="D10" s="3521">
        <f>IF(SUM(D11,D16:D17)=0,"NO",SUM(D11,D16:D17))</f>
        <v>-2276.1348026325168</v>
      </c>
      <c r="E10" s="3522"/>
      <c r="F10" s="3523">
        <f>IF(SUM(F11,F16:F17)=0,"NO",SUM(F11,F16:F17))</f>
        <v>2013.8257575605137</v>
      </c>
      <c r="G10" s="3524">
        <f>IF(SUM(G11,G16:G17)=0,"NO",SUM(G11,G16:G17))</f>
        <v>-7384.0277777218835</v>
      </c>
      <c r="H10" s="226"/>
      <c r="I10" s="2"/>
      <c r="J10" s="2"/>
    </row>
    <row r="11" spans="1:10" ht="18" customHeight="1" x14ac:dyDescent="0.25">
      <c r="B11" s="606" t="s">
        <v>1314</v>
      </c>
      <c r="C11" s="3525">
        <f>IF(SUM(C13:C15)=0,"NO",SUM(C13:C15))</f>
        <v>1586.9581237257291</v>
      </c>
      <c r="D11" s="3526">
        <f>IF(SUM(D13:D15)=0,"NO",SUM(D13:D15))</f>
        <v>-489.46416005411015</v>
      </c>
      <c r="E11" s="3527"/>
      <c r="F11" s="3528">
        <f>IF(SUM(F13:F15)=0,"NO",SUM(F13:F15))</f>
        <v>1097.493963671619</v>
      </c>
      <c r="G11" s="3529">
        <f>IF(SUM(G13:G15)=0,"NO",SUM(G13:G15))</f>
        <v>-4024.1445334626028</v>
      </c>
      <c r="H11" s="226"/>
      <c r="I11" s="2"/>
      <c r="J11" s="2"/>
    </row>
    <row r="12" spans="1:10" ht="18" customHeight="1" x14ac:dyDescent="0.25">
      <c r="B12" s="1362" t="s">
        <v>345</v>
      </c>
      <c r="C12" s="3530"/>
      <c r="D12" s="3531"/>
      <c r="E12" s="3531"/>
      <c r="F12" s="3531"/>
      <c r="G12" s="3532"/>
      <c r="H12" s="226"/>
      <c r="I12" s="2"/>
      <c r="J12" s="2"/>
    </row>
    <row r="13" spans="1:10" ht="18" customHeight="1" x14ac:dyDescent="0.25">
      <c r="B13" s="1193" t="s">
        <v>1315</v>
      </c>
      <c r="C13" s="3533">
        <v>1225.8588828306695</v>
      </c>
      <c r="D13" s="3534">
        <f>F13-C13</f>
        <v>-309.9380498893172</v>
      </c>
      <c r="E13" s="3535" t="s">
        <v>2147</v>
      </c>
      <c r="F13" s="3536">
        <f>G13/(-44/12)</f>
        <v>915.92083294135227</v>
      </c>
      <c r="G13" s="3537">
        <v>-3358.3763874516249</v>
      </c>
      <c r="H13" s="226"/>
      <c r="I13" s="2"/>
      <c r="J13" s="2"/>
    </row>
    <row r="14" spans="1:10" ht="18" customHeight="1" x14ac:dyDescent="0.25">
      <c r="B14" s="1193" t="s">
        <v>1316</v>
      </c>
      <c r="C14" s="3538">
        <v>361.09924089505967</v>
      </c>
      <c r="D14" s="3539">
        <f>F14-C14</f>
        <v>-179.52611016479295</v>
      </c>
      <c r="E14" s="3235" t="s">
        <v>2147</v>
      </c>
      <c r="F14" s="3540">
        <f>G14/(-44/12)</f>
        <v>181.57313073026671</v>
      </c>
      <c r="G14" s="3537">
        <v>-665.76814601097794</v>
      </c>
      <c r="H14" s="226"/>
      <c r="I14" s="2"/>
      <c r="J14" s="2"/>
    </row>
    <row r="15" spans="1:10" ht="18" customHeight="1" x14ac:dyDescent="0.25">
      <c r="B15" s="1193" t="s">
        <v>1317</v>
      </c>
      <c r="C15" s="3541" t="s">
        <v>2147</v>
      </c>
      <c r="D15" s="3235" t="s">
        <v>2147</v>
      </c>
      <c r="E15" s="3235" t="s">
        <v>2147</v>
      </c>
      <c r="F15" s="3231" t="s">
        <v>2147</v>
      </c>
      <c r="G15" s="3537" t="s">
        <v>2147</v>
      </c>
      <c r="H15" s="226"/>
      <c r="I15" s="2"/>
      <c r="J15" s="2"/>
    </row>
    <row r="16" spans="1:10" ht="18" customHeight="1" x14ac:dyDescent="0.25">
      <c r="B16" s="606" t="s">
        <v>1318</v>
      </c>
      <c r="C16" s="3538">
        <v>1384.9355329999999</v>
      </c>
      <c r="D16" s="3539">
        <f>F16-C16</f>
        <v>-1361.0543430315311</v>
      </c>
      <c r="E16" s="3235" t="s">
        <v>2147</v>
      </c>
      <c r="F16" s="3540">
        <f>G16/(-44/12)</f>
        <v>23.881189968468789</v>
      </c>
      <c r="G16" s="3537">
        <v>-87.564363217718892</v>
      </c>
      <c r="H16" s="226"/>
      <c r="I16" s="2"/>
      <c r="J16" s="2"/>
    </row>
    <row r="17" spans="2:10" ht="18" customHeight="1" x14ac:dyDescent="0.25">
      <c r="B17" s="1197" t="s">
        <v>1320</v>
      </c>
      <c r="C17" s="3542">
        <f>C18</f>
        <v>1318.0669034673017</v>
      </c>
      <c r="D17" s="3543">
        <f t="shared" ref="D17:F17" si="0">D18</f>
        <v>-425.61629954687578</v>
      </c>
      <c r="E17" s="3544"/>
      <c r="F17" s="3226">
        <f t="shared" si="0"/>
        <v>892.45060392042592</v>
      </c>
      <c r="G17" s="3537">
        <f>-F17*44/12</f>
        <v>-3272.3188810415618</v>
      </c>
      <c r="H17" s="226"/>
      <c r="I17" s="2"/>
      <c r="J17" s="2"/>
    </row>
    <row r="18" spans="2:10" ht="18" customHeight="1" thickBot="1" x14ac:dyDescent="0.3">
      <c r="B18" s="561" t="s">
        <v>2254</v>
      </c>
      <c r="C18" s="3545">
        <v>1318.0669034673017</v>
      </c>
      <c r="D18" s="3546">
        <f>F18-C18</f>
        <v>-425.61629954687578</v>
      </c>
      <c r="E18" s="3238" t="s">
        <v>2147</v>
      </c>
      <c r="F18" s="3547">
        <f>G18/(-44/12)</f>
        <v>892.45060392042592</v>
      </c>
      <c r="G18" s="3548">
        <v>-3272.3188810415618</v>
      </c>
      <c r="H18" s="226"/>
      <c r="I18" s="2"/>
      <c r="J18" s="2"/>
    </row>
    <row r="19" spans="2:10" x14ac:dyDescent="0.25">
      <c r="B19" s="1199"/>
      <c r="C19" s="159"/>
      <c r="D19" s="159"/>
      <c r="E19" s="159"/>
      <c r="F19" s="159"/>
      <c r="G19" s="159"/>
      <c r="H19" s="159"/>
      <c r="I19" s="2"/>
      <c r="J19" s="2"/>
    </row>
    <row r="20" spans="2:10" ht="23.4" thickBot="1" x14ac:dyDescent="0.45">
      <c r="B20" s="549" t="s">
        <v>1321</v>
      </c>
      <c r="C20" s="1175"/>
      <c r="D20" s="159"/>
      <c r="E20" s="159"/>
      <c r="F20" s="159"/>
      <c r="G20" s="159"/>
      <c r="H20" s="159"/>
      <c r="I20" s="2"/>
      <c r="J20" s="2"/>
    </row>
    <row r="21" spans="2:10" ht="28.5" customHeight="1" x14ac:dyDescent="0.25">
      <c r="B21" s="1613" t="s">
        <v>1303</v>
      </c>
      <c r="C21" s="1201" t="s">
        <v>1322</v>
      </c>
      <c r="D21" s="1202"/>
      <c r="E21" s="1202"/>
      <c r="F21" s="1202"/>
      <c r="G21" s="1593" t="s">
        <v>1305</v>
      </c>
      <c r="H21" s="226"/>
      <c r="I21" s="2"/>
      <c r="J21" s="2"/>
    </row>
    <row r="22" spans="2:10" ht="22.8" x14ac:dyDescent="0.25">
      <c r="B22" s="1614" t="s">
        <v>1877</v>
      </c>
      <c r="C22" s="550" t="s">
        <v>1307</v>
      </c>
      <c r="D22" s="537" t="s">
        <v>1308</v>
      </c>
      <c r="E22" s="537" t="s">
        <v>1309</v>
      </c>
      <c r="F22" s="550" t="s">
        <v>1323</v>
      </c>
      <c r="G22" s="1616" t="s">
        <v>1311</v>
      </c>
      <c r="H22" s="226"/>
      <c r="I22" s="2"/>
      <c r="J22" s="2"/>
    </row>
    <row r="23" spans="2:10" ht="14.4" thickBot="1" x14ac:dyDescent="0.3">
      <c r="B23" s="1592"/>
      <c r="C23" s="1179" t="s">
        <v>234</v>
      </c>
      <c r="D23" s="1180"/>
      <c r="E23" s="1181" t="s">
        <v>1324</v>
      </c>
      <c r="F23" s="1182" t="s">
        <v>234</v>
      </c>
      <c r="G23" s="1183" t="s">
        <v>1038</v>
      </c>
      <c r="H23" s="226"/>
      <c r="I23" s="2"/>
      <c r="J23" s="2"/>
    </row>
    <row r="24" spans="2:10" ht="23.4" thickBot="1" x14ac:dyDescent="0.3">
      <c r="B24" s="1184" t="s">
        <v>1325</v>
      </c>
      <c r="C24" s="1203"/>
      <c r="D24" s="563"/>
      <c r="E24" s="564"/>
      <c r="F24" s="565"/>
      <c r="G24" s="566"/>
      <c r="H24" s="226"/>
      <c r="I24" s="2"/>
      <c r="J24" s="2"/>
    </row>
    <row r="25" spans="2:10" ht="18" customHeight="1" x14ac:dyDescent="0.25">
      <c r="B25" s="606" t="s">
        <v>1314</v>
      </c>
      <c r="C25" s="1189"/>
      <c r="D25" s="1190"/>
      <c r="E25" s="567"/>
      <c r="F25" s="1204"/>
      <c r="G25" s="1192"/>
      <c r="H25" s="226"/>
      <c r="I25" s="2"/>
      <c r="J25" s="2"/>
    </row>
    <row r="26" spans="2:10" ht="18" customHeight="1" x14ac:dyDescent="0.25">
      <c r="B26" s="1362" t="s">
        <v>345</v>
      </c>
      <c r="C26" s="2289"/>
      <c r="D26" s="2290"/>
      <c r="E26" s="2290"/>
      <c r="F26" s="2290"/>
      <c r="G26" s="944"/>
      <c r="H26" s="226" t="s">
        <v>389</v>
      </c>
      <c r="I26" s="2"/>
      <c r="J26" s="2"/>
    </row>
    <row r="27" spans="2:10" ht="18" customHeight="1" x14ac:dyDescent="0.25">
      <c r="B27" s="1193" t="s">
        <v>1315</v>
      </c>
      <c r="C27" s="552"/>
      <c r="D27" s="553"/>
      <c r="E27" s="1194"/>
      <c r="F27" s="568"/>
      <c r="G27" s="554"/>
      <c r="H27" s="226"/>
      <c r="I27" s="2"/>
      <c r="J27" s="2"/>
    </row>
    <row r="28" spans="2:10" ht="18" customHeight="1" x14ac:dyDescent="0.25">
      <c r="B28" s="1193" t="s">
        <v>1316</v>
      </c>
      <c r="C28" s="552"/>
      <c r="D28" s="553"/>
      <c r="E28" s="1196"/>
      <c r="F28" s="568"/>
      <c r="G28" s="554"/>
      <c r="H28" s="226"/>
      <c r="I28" s="2"/>
      <c r="J28" s="2"/>
    </row>
    <row r="29" spans="2:10" ht="18" customHeight="1" x14ac:dyDescent="0.25">
      <c r="B29" s="1193" t="s">
        <v>1317</v>
      </c>
      <c r="C29" s="552"/>
      <c r="D29" s="553"/>
      <c r="E29" s="1196"/>
      <c r="F29" s="568"/>
      <c r="G29" s="554"/>
      <c r="H29" s="226"/>
      <c r="I29" s="2"/>
      <c r="J29" s="2"/>
    </row>
    <row r="30" spans="2:10" ht="18" customHeight="1" x14ac:dyDescent="0.25">
      <c r="B30" s="606" t="s">
        <v>1318</v>
      </c>
      <c r="C30" s="557"/>
      <c r="D30" s="558"/>
      <c r="E30" s="551"/>
      <c r="F30" s="559"/>
      <c r="G30" s="560"/>
      <c r="H30" s="226"/>
      <c r="I30" s="2"/>
      <c r="J30" s="2"/>
    </row>
    <row r="31" spans="2:10" ht="18" customHeight="1" x14ac:dyDescent="0.25">
      <c r="B31" s="1809" t="s">
        <v>1319</v>
      </c>
      <c r="C31" s="552"/>
      <c r="D31" s="553"/>
      <c r="E31" s="1196"/>
      <c r="F31" s="568"/>
      <c r="G31" s="554"/>
      <c r="H31" s="226"/>
      <c r="I31" s="2"/>
      <c r="J31" s="2"/>
    </row>
    <row r="32" spans="2:10" ht="18" customHeight="1" x14ac:dyDescent="0.25">
      <c r="B32" s="1197" t="s">
        <v>1320</v>
      </c>
      <c r="C32" s="557"/>
      <c r="D32" s="558"/>
      <c r="E32" s="551"/>
      <c r="F32" s="559"/>
      <c r="G32" s="560"/>
      <c r="H32" s="226"/>
      <c r="I32" s="2"/>
      <c r="J32" s="2"/>
    </row>
    <row r="33" spans="2:10" ht="18" customHeight="1" thickBot="1" x14ac:dyDescent="0.3">
      <c r="B33" s="1205"/>
      <c r="C33" s="569"/>
      <c r="D33" s="570"/>
      <c r="E33" s="1206"/>
      <c r="F33" s="571"/>
      <c r="G33" s="572"/>
      <c r="H33" s="226"/>
      <c r="I33" s="2"/>
      <c r="J33" s="2"/>
    </row>
    <row r="34" spans="2:10" ht="51" customHeight="1" x14ac:dyDescent="0.25">
      <c r="B34" s="1207" t="s">
        <v>1326</v>
      </c>
      <c r="C34" s="573"/>
      <c r="D34" s="1208"/>
      <c r="E34" s="1208"/>
      <c r="F34" s="574"/>
      <c r="G34" s="575"/>
      <c r="H34" s="226"/>
      <c r="I34" s="2"/>
      <c r="J34" s="2"/>
    </row>
    <row r="35" spans="2:10" ht="18" customHeight="1" thickBot="1" x14ac:dyDescent="0.3">
      <c r="B35" s="1209" t="s">
        <v>278</v>
      </c>
      <c r="C35" s="576"/>
      <c r="D35" s="577"/>
      <c r="E35" s="578"/>
      <c r="F35" s="579"/>
      <c r="G35" s="580"/>
      <c r="H35" s="226"/>
      <c r="I35" s="2"/>
      <c r="J35" s="2"/>
    </row>
    <row r="36" spans="2:10" ht="18" customHeight="1" x14ac:dyDescent="0.25">
      <c r="B36" s="606" t="s">
        <v>1327</v>
      </c>
      <c r="C36" s="581"/>
      <c r="D36" s="558"/>
      <c r="E36" s="551"/>
      <c r="F36" s="559"/>
      <c r="G36" s="560"/>
      <c r="H36" s="226"/>
      <c r="I36" s="2"/>
      <c r="J36" s="2"/>
    </row>
    <row r="37" spans="2:10" ht="18" customHeight="1" x14ac:dyDescent="0.25">
      <c r="B37" s="1362" t="s">
        <v>345</v>
      </c>
      <c r="C37" s="2289"/>
      <c r="D37" s="2290"/>
      <c r="E37" s="2290"/>
      <c r="F37" s="2290"/>
      <c r="G37" s="944"/>
      <c r="H37" s="226"/>
      <c r="I37" s="2"/>
      <c r="J37" s="2"/>
    </row>
    <row r="38" spans="2:10" ht="18" customHeight="1" x14ac:dyDescent="0.25">
      <c r="B38" s="1193" t="s">
        <v>1328</v>
      </c>
      <c r="C38" s="582"/>
      <c r="D38" s="555"/>
      <c r="E38" s="1196"/>
      <c r="F38" s="556"/>
      <c r="G38" s="605"/>
      <c r="H38" s="226"/>
      <c r="I38" s="2"/>
      <c r="J38" s="2"/>
    </row>
    <row r="39" spans="2:10" ht="18" customHeight="1" x14ac:dyDescent="0.25">
      <c r="B39" s="1193" t="s">
        <v>1329</v>
      </c>
      <c r="C39" s="582"/>
      <c r="D39" s="555"/>
      <c r="E39" s="1196"/>
      <c r="F39" s="556"/>
      <c r="G39" s="605"/>
      <c r="H39" s="226"/>
      <c r="I39" s="2"/>
      <c r="J39" s="2"/>
    </row>
    <row r="40" spans="2:10" ht="18" customHeight="1" x14ac:dyDescent="0.25">
      <c r="B40" s="1193" t="s">
        <v>1330</v>
      </c>
      <c r="C40" s="552"/>
      <c r="D40" s="553"/>
      <c r="E40" s="1196"/>
      <c r="F40" s="568"/>
      <c r="G40" s="554"/>
      <c r="H40" s="226"/>
      <c r="I40" s="2"/>
      <c r="J40" s="2"/>
    </row>
    <row r="41" spans="2:10" ht="18" customHeight="1" x14ac:dyDescent="0.25">
      <c r="B41" s="606" t="s">
        <v>1331</v>
      </c>
      <c r="C41" s="581"/>
      <c r="D41" s="558"/>
      <c r="E41" s="943"/>
      <c r="F41" s="559"/>
      <c r="G41" s="560"/>
      <c r="H41" s="226"/>
      <c r="I41" s="2"/>
      <c r="J41" s="2"/>
    </row>
    <row r="42" spans="2:10" ht="18" customHeight="1" x14ac:dyDescent="0.25">
      <c r="B42" s="1809" t="s">
        <v>1319</v>
      </c>
      <c r="C42" s="1490"/>
      <c r="D42" s="1491"/>
      <c r="E42" s="1194"/>
      <c r="F42" s="1492"/>
      <c r="G42" s="1493"/>
      <c r="H42" s="226"/>
      <c r="I42" s="2"/>
      <c r="J42" s="2"/>
    </row>
    <row r="43" spans="2:10" ht="18" customHeight="1" x14ac:dyDescent="0.25">
      <c r="B43" s="1197" t="s">
        <v>1332</v>
      </c>
      <c r="C43" s="583"/>
      <c r="D43" s="584"/>
      <c r="E43" s="551"/>
      <c r="F43" s="585"/>
      <c r="G43" s="586"/>
      <c r="H43" s="226"/>
      <c r="I43" s="2"/>
      <c r="J43" s="2"/>
    </row>
    <row r="44" spans="2:10" ht="18" customHeight="1" thickBot="1" x14ac:dyDescent="0.3">
      <c r="B44" s="1205"/>
      <c r="C44" s="587"/>
      <c r="D44" s="588"/>
      <c r="E44" s="1198"/>
      <c r="F44" s="589"/>
      <c r="G44" s="600"/>
      <c r="H44" s="226"/>
      <c r="I44" s="2"/>
      <c r="J44" s="2"/>
    </row>
    <row r="45" spans="2:10" ht="47.25" customHeight="1" x14ac:dyDescent="0.25">
      <c r="B45" s="1207" t="s">
        <v>1333</v>
      </c>
      <c r="C45" s="590"/>
      <c r="D45" s="591"/>
      <c r="E45" s="591"/>
      <c r="F45" s="592"/>
      <c r="G45" s="593"/>
      <c r="H45" s="226"/>
      <c r="I45" s="2"/>
      <c r="J45" s="2"/>
    </row>
    <row r="46" spans="2:10" ht="18" customHeight="1" thickBot="1" x14ac:dyDescent="0.3">
      <c r="B46" s="1209" t="s">
        <v>278</v>
      </c>
      <c r="C46" s="594"/>
      <c r="D46" s="577"/>
      <c r="E46" s="578"/>
      <c r="F46" s="579"/>
      <c r="G46" s="580"/>
      <c r="H46" s="226"/>
      <c r="I46" s="2"/>
      <c r="J46" s="2"/>
    </row>
    <row r="47" spans="2:10" ht="18" customHeight="1" x14ac:dyDescent="0.25">
      <c r="B47" s="606" t="s">
        <v>1334</v>
      </c>
      <c r="C47" s="595"/>
      <c r="D47" s="584"/>
      <c r="E47" s="551"/>
      <c r="F47" s="585"/>
      <c r="G47" s="586"/>
      <c r="H47" s="226"/>
      <c r="I47" s="2"/>
      <c r="J47" s="2"/>
    </row>
    <row r="48" spans="2:10" ht="18" customHeight="1" x14ac:dyDescent="0.25">
      <c r="B48" s="1362" t="s">
        <v>345</v>
      </c>
      <c r="C48" s="2289"/>
      <c r="D48" s="2290"/>
      <c r="E48" s="2290"/>
      <c r="F48" s="2290"/>
      <c r="G48" s="944"/>
      <c r="H48" s="226"/>
      <c r="I48" s="2"/>
      <c r="J48" s="2"/>
    </row>
    <row r="49" spans="2:10" ht="18" customHeight="1" x14ac:dyDescent="0.25">
      <c r="B49" s="1193" t="s">
        <v>1335</v>
      </c>
      <c r="C49" s="596"/>
      <c r="D49" s="597"/>
      <c r="E49" s="1196"/>
      <c r="F49" s="598"/>
      <c r="G49" s="599"/>
      <c r="H49" s="226"/>
      <c r="I49" s="2"/>
      <c r="J49" s="2"/>
    </row>
    <row r="50" spans="2:10" ht="18" customHeight="1" x14ac:dyDescent="0.25">
      <c r="B50" s="1193" t="s">
        <v>1336</v>
      </c>
      <c r="C50" s="582"/>
      <c r="D50" s="555"/>
      <c r="E50" s="1206"/>
      <c r="F50" s="556"/>
      <c r="G50" s="605"/>
      <c r="H50" s="226"/>
      <c r="I50" s="2"/>
      <c r="J50" s="2"/>
    </row>
    <row r="51" spans="2:10" ht="18" customHeight="1" x14ac:dyDescent="0.25">
      <c r="B51" s="1193" t="s">
        <v>1337</v>
      </c>
      <c r="C51" s="552"/>
      <c r="D51" s="553"/>
      <c r="E51" s="1194"/>
      <c r="F51" s="568"/>
      <c r="G51" s="554"/>
      <c r="H51" s="226"/>
      <c r="I51" s="2"/>
      <c r="J51" s="2"/>
    </row>
    <row r="52" spans="2:10" ht="18" customHeight="1" x14ac:dyDescent="0.25">
      <c r="B52" s="606" t="s">
        <v>1338</v>
      </c>
      <c r="C52" s="581"/>
      <c r="D52" s="558"/>
      <c r="E52" s="943"/>
      <c r="F52" s="559"/>
      <c r="G52" s="560"/>
      <c r="H52" s="226"/>
      <c r="I52" s="2"/>
      <c r="J52" s="2"/>
    </row>
    <row r="53" spans="2:10" ht="18" customHeight="1" x14ac:dyDescent="0.25">
      <c r="B53" s="1809" t="s">
        <v>1880</v>
      </c>
      <c r="C53" s="1490"/>
      <c r="D53" s="1491"/>
      <c r="E53" s="1194"/>
      <c r="F53" s="1492"/>
      <c r="G53" s="1493"/>
      <c r="H53" s="226"/>
      <c r="I53" s="2"/>
      <c r="J53" s="2"/>
    </row>
    <row r="54" spans="2:10" ht="18" customHeight="1" x14ac:dyDescent="0.25">
      <c r="B54" s="1197" t="s">
        <v>1339</v>
      </c>
      <c r="C54" s="595"/>
      <c r="D54" s="584"/>
      <c r="E54" s="551"/>
      <c r="F54" s="585"/>
      <c r="G54" s="586"/>
      <c r="H54" s="226"/>
      <c r="I54" s="2"/>
      <c r="J54" s="2"/>
    </row>
    <row r="55" spans="2:10" ht="18" customHeight="1" thickBot="1" x14ac:dyDescent="0.3">
      <c r="B55" s="561"/>
      <c r="C55" s="587"/>
      <c r="D55" s="588"/>
      <c r="E55" s="1198"/>
      <c r="F55" s="589"/>
      <c r="G55" s="600"/>
      <c r="H55" s="226"/>
      <c r="I55" s="2"/>
      <c r="J55" s="2"/>
    </row>
    <row r="56" spans="2:10" x14ac:dyDescent="0.25">
      <c r="C56" s="159"/>
      <c r="D56" s="159"/>
      <c r="E56" s="159"/>
      <c r="F56" s="159"/>
      <c r="G56" s="159"/>
      <c r="H56" s="159"/>
      <c r="I56" s="2"/>
      <c r="J56" s="2"/>
    </row>
    <row r="57" spans="2:10" ht="23.4" thickBot="1" x14ac:dyDescent="0.45">
      <c r="B57" s="549" t="s">
        <v>1340</v>
      </c>
      <c r="C57" s="1175"/>
      <c r="D57" s="159"/>
      <c r="E57" s="159"/>
      <c r="F57" s="159"/>
      <c r="G57" s="159"/>
      <c r="H57" s="159"/>
      <c r="I57" s="2"/>
      <c r="J57" s="2"/>
    </row>
    <row r="58" spans="2:10" x14ac:dyDescent="0.25">
      <c r="B58" s="1590"/>
      <c r="C58" s="1176" t="s">
        <v>1341</v>
      </c>
      <c r="D58" s="1177"/>
      <c r="E58" s="1177"/>
      <c r="F58" s="1200"/>
      <c r="G58" s="159"/>
      <c r="H58" s="159"/>
      <c r="I58" s="2"/>
      <c r="J58" s="2"/>
    </row>
    <row r="59" spans="2:10" ht="42.75" customHeight="1" x14ac:dyDescent="0.25">
      <c r="B59" s="1591" t="s">
        <v>1342</v>
      </c>
      <c r="C59" s="550" t="s">
        <v>1343</v>
      </c>
      <c r="D59" s="537" t="s">
        <v>1344</v>
      </c>
      <c r="E59" s="537" t="s">
        <v>1345</v>
      </c>
      <c r="F59" s="538" t="s">
        <v>1346</v>
      </c>
      <c r="G59" s="1211"/>
      <c r="H59" s="1211"/>
      <c r="I59" s="2"/>
      <c r="J59" s="2"/>
    </row>
    <row r="60" spans="2:10" ht="13.8" thickBot="1" x14ac:dyDescent="0.3">
      <c r="B60" s="1592"/>
      <c r="C60" s="1179" t="s">
        <v>234</v>
      </c>
      <c r="D60" s="1180"/>
      <c r="E60" s="1181" t="s">
        <v>1324</v>
      </c>
      <c r="F60" s="1182" t="s">
        <v>234</v>
      </c>
      <c r="G60" s="1212"/>
      <c r="H60" s="1212"/>
      <c r="I60" s="2"/>
      <c r="J60" s="2"/>
    </row>
    <row r="61" spans="2:10" ht="18" customHeight="1" thickBot="1" x14ac:dyDescent="0.3">
      <c r="B61" s="1184" t="s">
        <v>1347</v>
      </c>
      <c r="C61" s="1213"/>
      <c r="D61" s="1185"/>
      <c r="E61" s="1186"/>
      <c r="F61" s="1187"/>
      <c r="G61" s="1212"/>
      <c r="H61" s="1212"/>
      <c r="I61" s="2"/>
      <c r="J61" s="2"/>
    </row>
    <row r="62" spans="2:10" ht="18" customHeight="1" x14ac:dyDescent="0.25">
      <c r="B62" s="1229" t="s">
        <v>1314</v>
      </c>
      <c r="C62" s="1214"/>
      <c r="D62" s="1190"/>
      <c r="E62" s="551"/>
      <c r="F62" s="1191"/>
      <c r="G62" s="1215"/>
      <c r="H62" s="1215"/>
      <c r="I62" s="2"/>
      <c r="J62" s="2"/>
    </row>
    <row r="63" spans="2:10" ht="18" customHeight="1" x14ac:dyDescent="0.25">
      <c r="B63" s="1363" t="s">
        <v>345</v>
      </c>
      <c r="C63" s="2289"/>
      <c r="D63" s="2290"/>
      <c r="E63" s="2290"/>
      <c r="F63" s="944"/>
      <c r="G63" s="1215"/>
      <c r="H63" s="1215"/>
      <c r="I63" s="2"/>
      <c r="J63" s="2"/>
    </row>
    <row r="64" spans="2:10" ht="18" customHeight="1" x14ac:dyDescent="0.25">
      <c r="B64" s="1193" t="s">
        <v>1315</v>
      </c>
      <c r="C64" s="1216"/>
      <c r="D64" s="553"/>
      <c r="E64" s="1194"/>
      <c r="F64" s="1195"/>
      <c r="G64" s="1215"/>
      <c r="H64" s="1215"/>
      <c r="I64" s="2"/>
      <c r="J64" s="2"/>
    </row>
    <row r="65" spans="2:10" ht="18" customHeight="1" x14ac:dyDescent="0.25">
      <c r="B65" s="1193" t="s">
        <v>1316</v>
      </c>
      <c r="C65" s="582"/>
      <c r="D65" s="555"/>
      <c r="E65" s="1196"/>
      <c r="F65" s="556"/>
      <c r="G65" s="1215"/>
      <c r="H65" s="1215"/>
      <c r="I65" s="2"/>
      <c r="J65" s="2"/>
    </row>
    <row r="66" spans="2:10" ht="18" customHeight="1" x14ac:dyDescent="0.25">
      <c r="B66" s="1193" t="s">
        <v>1317</v>
      </c>
      <c r="C66" s="582"/>
      <c r="D66" s="555"/>
      <c r="E66" s="1206"/>
      <c r="F66" s="556"/>
      <c r="G66" s="1215"/>
      <c r="H66" s="1215"/>
      <c r="I66" s="2"/>
      <c r="J66" s="2"/>
    </row>
    <row r="67" spans="2:10" ht="18" customHeight="1" x14ac:dyDescent="0.25">
      <c r="B67" s="1229" t="s">
        <v>1318</v>
      </c>
      <c r="C67" s="581"/>
      <c r="D67" s="558"/>
      <c r="E67" s="943"/>
      <c r="F67" s="559"/>
      <c r="G67" s="1215"/>
      <c r="H67" s="1215"/>
      <c r="I67" s="2"/>
      <c r="J67" s="2"/>
    </row>
    <row r="68" spans="2:10" ht="18" customHeight="1" x14ac:dyDescent="0.25">
      <c r="B68" s="1809" t="s">
        <v>1319</v>
      </c>
      <c r="C68" s="1494"/>
      <c r="D68" s="597"/>
      <c r="E68" s="1196"/>
      <c r="F68" s="598"/>
      <c r="G68" s="1215"/>
      <c r="H68" s="1215"/>
      <c r="I68" s="2"/>
      <c r="J68" s="2"/>
    </row>
    <row r="69" spans="2:10" ht="18" customHeight="1" thickBot="1" x14ac:dyDescent="0.3">
      <c r="B69" s="1217" t="s">
        <v>1320</v>
      </c>
      <c r="C69" s="576"/>
      <c r="D69" s="577"/>
      <c r="E69" s="1218"/>
      <c r="F69" s="579"/>
      <c r="G69" s="1215"/>
      <c r="H69" s="1215"/>
      <c r="I69" s="2"/>
      <c r="J69" s="2"/>
    </row>
    <row r="70" spans="2:10" ht="15" thickBot="1" x14ac:dyDescent="0.3">
      <c r="B70" s="1219"/>
      <c r="C70" s="1220"/>
      <c r="D70" s="601"/>
      <c r="E70" s="1221"/>
      <c r="F70" s="601"/>
      <c r="G70" s="1215"/>
      <c r="H70" s="1215"/>
      <c r="I70" s="2"/>
      <c r="J70" s="2"/>
    </row>
    <row r="71" spans="2:10" ht="12.75" customHeight="1" x14ac:dyDescent="0.25">
      <c r="B71" s="1590"/>
      <c r="C71" s="1201" t="s">
        <v>1348</v>
      </c>
      <c r="D71" s="1202"/>
      <c r="E71" s="1210"/>
      <c r="F71" s="1593"/>
      <c r="G71" s="159"/>
      <c r="H71" s="159"/>
      <c r="I71" s="2"/>
      <c r="J71" s="2"/>
    </row>
    <row r="72" spans="2:10" ht="68.400000000000006" x14ac:dyDescent="0.25">
      <c r="B72" s="1591" t="s">
        <v>65</v>
      </c>
      <c r="C72" s="539" t="s">
        <v>1349</v>
      </c>
      <c r="D72" s="602" t="s">
        <v>1350</v>
      </c>
      <c r="E72" s="550" t="s">
        <v>1351</v>
      </c>
      <c r="F72" s="1615" t="s">
        <v>1352</v>
      </c>
      <c r="G72" s="159"/>
      <c r="H72" s="159"/>
      <c r="I72" s="2"/>
      <c r="J72" s="2"/>
    </row>
    <row r="73" spans="2:10" ht="14.4" thickBot="1" x14ac:dyDescent="0.3">
      <c r="B73" s="1591"/>
      <c r="C73" s="1222" t="s">
        <v>234</v>
      </c>
      <c r="D73" s="1181" t="s">
        <v>234</v>
      </c>
      <c r="E73" s="1182" t="s">
        <v>234</v>
      </c>
      <c r="F73" s="1223" t="s">
        <v>1038</v>
      </c>
      <c r="G73" s="159"/>
      <c r="H73" s="159"/>
      <c r="I73" s="2"/>
      <c r="J73" s="2"/>
    </row>
    <row r="74" spans="2:10" ht="18" customHeight="1" thickBot="1" x14ac:dyDescent="0.3">
      <c r="B74" s="1592"/>
      <c r="C74" s="1224"/>
      <c r="D74" s="1224"/>
      <c r="E74" s="1225"/>
      <c r="F74" s="1188"/>
      <c r="G74" s="159"/>
      <c r="H74" s="159"/>
      <c r="I74" s="2"/>
      <c r="J74" s="2"/>
    </row>
    <row r="75" spans="2:10" x14ac:dyDescent="0.25">
      <c r="B75" s="1199"/>
      <c r="C75" s="159"/>
      <c r="D75" s="159"/>
      <c r="E75" s="159"/>
      <c r="F75" s="159"/>
      <c r="G75" s="159"/>
      <c r="H75" s="159"/>
      <c r="I75" s="2"/>
      <c r="J75" s="2"/>
    </row>
    <row r="76" spans="2:10" x14ac:dyDescent="0.25">
      <c r="I76" s="2"/>
      <c r="J76" s="2"/>
    </row>
    <row r="77" spans="2:10" ht="14.4" x14ac:dyDescent="0.25">
      <c r="B77" s="603"/>
      <c r="I77" s="2"/>
      <c r="J77" s="2"/>
    </row>
    <row r="78" spans="2:10" s="159" customFormat="1" ht="14.4" x14ac:dyDescent="0.25">
      <c r="B78" s="603"/>
      <c r="C78"/>
      <c r="D78"/>
      <c r="E78"/>
      <c r="F78"/>
      <c r="G78"/>
      <c r="H78"/>
      <c r="I78" s="1226"/>
      <c r="J78" s="1226"/>
    </row>
    <row r="79" spans="2:10" s="159" customFormat="1" ht="14.4" x14ac:dyDescent="0.25">
      <c r="B79" s="603"/>
      <c r="C79"/>
      <c r="D79"/>
      <c r="E79"/>
      <c r="F79"/>
      <c r="G79"/>
      <c r="H79"/>
      <c r="I79" s="1227"/>
      <c r="J79" s="1227"/>
    </row>
    <row r="80" spans="2:10" s="159" customFormat="1" ht="14.4" x14ac:dyDescent="0.25">
      <c r="B80" s="603"/>
      <c r="C80"/>
      <c r="D80"/>
      <c r="E80"/>
      <c r="F80"/>
      <c r="G80"/>
      <c r="H80"/>
      <c r="I80" s="1226"/>
      <c r="J80" s="1226"/>
    </row>
    <row r="81" spans="2:10" s="159" customFormat="1" ht="14.4" x14ac:dyDescent="0.25">
      <c r="B81" s="603"/>
      <c r="C81"/>
      <c r="D81"/>
      <c r="E81"/>
      <c r="F81"/>
      <c r="G81"/>
      <c r="H81"/>
      <c r="I81" s="1226"/>
      <c r="J81" s="1226"/>
    </row>
    <row r="82" spans="2:10" s="159" customFormat="1" x14ac:dyDescent="0.25">
      <c r="B82" s="945"/>
      <c r="C82"/>
      <c r="D82"/>
      <c r="E82"/>
      <c r="F82"/>
      <c r="G82"/>
      <c r="H82"/>
      <c r="I82" s="1226"/>
      <c r="J82" s="1226"/>
    </row>
    <row r="83" spans="2:10" s="159" customFormat="1" x14ac:dyDescent="0.25">
      <c r="B83" s="945"/>
      <c r="C83"/>
      <c r="D83"/>
      <c r="E83"/>
      <c r="F83"/>
      <c r="G83"/>
      <c r="H83"/>
      <c r="I83" s="1226"/>
      <c r="J83" s="1226"/>
    </row>
    <row r="84" spans="2:10" s="159" customFormat="1" x14ac:dyDescent="0.25">
      <c r="B84" s="945"/>
      <c r="C84"/>
      <c r="D84"/>
      <c r="E84"/>
      <c r="F84"/>
      <c r="G84"/>
      <c r="H84"/>
      <c r="I84" s="1226"/>
      <c r="J84" s="1226"/>
    </row>
    <row r="85" spans="2:10" s="159" customFormat="1" ht="14.4" x14ac:dyDescent="0.25">
      <c r="B85" s="603"/>
      <c r="C85"/>
      <c r="D85"/>
      <c r="E85"/>
      <c r="F85"/>
      <c r="G85"/>
      <c r="H85"/>
      <c r="I85" s="1226"/>
      <c r="J85" s="1226"/>
    </row>
    <row r="86" spans="2:10" s="159" customFormat="1" ht="14.4" x14ac:dyDescent="0.25">
      <c r="B86" s="603"/>
      <c r="C86"/>
      <c r="D86"/>
      <c r="E86"/>
      <c r="F86"/>
      <c r="G86"/>
      <c r="H86"/>
      <c r="I86" s="1226"/>
      <c r="J86" s="1226"/>
    </row>
    <row r="87" spans="2:10" s="159" customFormat="1" ht="14.4" x14ac:dyDescent="0.25">
      <c r="B87" s="603"/>
      <c r="C87"/>
      <c r="D87"/>
      <c r="E87"/>
      <c r="F87"/>
      <c r="G87"/>
      <c r="H87"/>
      <c r="I87" s="1226"/>
      <c r="J87" s="1226"/>
    </row>
    <row r="88" spans="2:10" s="159" customFormat="1" ht="14.4" x14ac:dyDescent="0.25">
      <c r="B88" s="603"/>
      <c r="C88"/>
      <c r="D88"/>
      <c r="E88"/>
      <c r="F88"/>
      <c r="G88"/>
      <c r="H88"/>
      <c r="I88" s="1226"/>
      <c r="J88" s="1226"/>
    </row>
    <row r="89" spans="2:10" s="159" customFormat="1" ht="14.4" x14ac:dyDescent="0.25">
      <c r="B89" s="603"/>
      <c r="C89"/>
      <c r="D89"/>
      <c r="E89"/>
      <c r="F89"/>
      <c r="G89"/>
      <c r="H89"/>
      <c r="I89" s="1226"/>
      <c r="J89" s="1226"/>
    </row>
    <row r="90" spans="2:10" s="159" customFormat="1" ht="14.4" x14ac:dyDescent="0.25">
      <c r="B90" s="603"/>
      <c r="C90"/>
      <c r="D90"/>
      <c r="E90"/>
      <c r="F90"/>
      <c r="G90"/>
      <c r="H90"/>
      <c r="I90" s="1226"/>
      <c r="J90" s="1226"/>
    </row>
    <row r="91" spans="2:10" s="159" customFormat="1" ht="14.4" x14ac:dyDescent="0.25">
      <c r="B91" s="603"/>
      <c r="C91"/>
      <c r="D91"/>
      <c r="E91"/>
      <c r="F91"/>
      <c r="G91"/>
      <c r="H91"/>
      <c r="I91" s="1226"/>
      <c r="J91" s="1226"/>
    </row>
    <row r="92" spans="2:10" s="159" customFormat="1" ht="14.4" x14ac:dyDescent="0.25">
      <c r="B92" s="603"/>
      <c r="C92"/>
      <c r="D92"/>
      <c r="E92"/>
      <c r="F92"/>
      <c r="G92"/>
      <c r="H92"/>
      <c r="I92" s="1226"/>
      <c r="J92" s="1226"/>
    </row>
    <row r="93" spans="2:10" s="159" customFormat="1" x14ac:dyDescent="0.25">
      <c r="B93" s="945"/>
      <c r="C93"/>
      <c r="D93"/>
      <c r="E93"/>
      <c r="F93"/>
      <c r="G93"/>
      <c r="H93"/>
      <c r="I93" s="1226"/>
      <c r="J93" s="1226"/>
    </row>
    <row r="94" spans="2:10" s="159" customFormat="1" ht="13.8" thickBot="1" x14ac:dyDescent="0.3">
      <c r="B94" s="945"/>
      <c r="C94"/>
      <c r="D94"/>
      <c r="E94"/>
      <c r="F94"/>
      <c r="G94"/>
      <c r="H94"/>
      <c r="I94" s="1226"/>
      <c r="J94" s="1226"/>
    </row>
    <row r="95" spans="2:10" x14ac:dyDescent="0.25">
      <c r="B95" s="849" t="s">
        <v>390</v>
      </c>
      <c r="C95" s="2482"/>
      <c r="D95" s="2482"/>
      <c r="E95" s="2482"/>
      <c r="F95" s="2482"/>
      <c r="G95" s="2483"/>
      <c r="H95" s="2"/>
      <c r="I95" s="2"/>
    </row>
    <row r="96" spans="2:10" x14ac:dyDescent="0.25">
      <c r="B96" s="1329"/>
      <c r="C96" s="2480"/>
      <c r="D96" s="2480"/>
      <c r="E96" s="2480"/>
      <c r="F96" s="2480"/>
      <c r="G96" s="2481"/>
      <c r="H96" s="2"/>
      <c r="I96" s="2"/>
    </row>
    <row r="97" spans="2:10" x14ac:dyDescent="0.25">
      <c r="B97" s="1329"/>
      <c r="C97" s="2480"/>
      <c r="D97" s="2480"/>
      <c r="E97" s="2480"/>
      <c r="F97" s="2480"/>
      <c r="G97" s="2481"/>
      <c r="H97" s="2"/>
      <c r="I97" s="2"/>
    </row>
    <row r="98" spans="2:10" x14ac:dyDescent="0.25">
      <c r="B98" s="2484"/>
      <c r="C98" s="2485"/>
      <c r="D98" s="2485"/>
      <c r="E98" s="2485"/>
      <c r="F98" s="2485"/>
      <c r="G98" s="2486"/>
      <c r="H98" s="2"/>
      <c r="I98" s="2"/>
    </row>
    <row r="99" spans="2:10" x14ac:dyDescent="0.25">
      <c r="B99" s="4477" t="s">
        <v>2255</v>
      </c>
      <c r="C99" s="4478"/>
      <c r="D99" s="4478"/>
      <c r="E99" s="4478"/>
      <c r="F99" s="4478"/>
      <c r="G99" s="4479"/>
      <c r="H99" s="2"/>
      <c r="I99" s="2"/>
    </row>
    <row r="100" spans="2:10" ht="26.25" customHeight="1" thickBot="1" x14ac:dyDescent="0.3">
      <c r="B100" s="4480"/>
      <c r="C100" s="4481"/>
      <c r="D100" s="4481"/>
      <c r="E100" s="4481"/>
      <c r="F100" s="4481"/>
      <c r="G100" s="4482"/>
      <c r="H100" s="2"/>
      <c r="I100" s="2"/>
    </row>
    <row r="101" spans="2:10" x14ac:dyDescent="0.25">
      <c r="C101" s="1228"/>
      <c r="D101" s="1228"/>
      <c r="E101" s="1228"/>
      <c r="F101" s="1228"/>
      <c r="G101" s="1228"/>
      <c r="H101" s="1228"/>
      <c r="I101" s="2"/>
      <c r="J101" s="2"/>
    </row>
    <row r="102" spans="2:10" x14ac:dyDescent="0.25">
      <c r="C102" s="1228"/>
      <c r="D102" s="1228"/>
      <c r="E102" s="1228"/>
      <c r="F102" s="1228"/>
      <c r="G102" s="1228"/>
      <c r="H102" s="1228"/>
      <c r="I102" s="2"/>
      <c r="J102" s="2"/>
    </row>
    <row r="103" spans="2:10" x14ac:dyDescent="0.25">
      <c r="C103" s="1228"/>
      <c r="D103" s="1228"/>
      <c r="E103" s="1228"/>
      <c r="F103" s="1228"/>
      <c r="G103" s="1228"/>
      <c r="H103" s="1228"/>
      <c r="I103" s="1228"/>
      <c r="J103" s="1228"/>
    </row>
    <row r="104" spans="2:10" x14ac:dyDescent="0.25">
      <c r="C104" s="1228"/>
      <c r="D104" s="1228"/>
      <c r="E104" s="1228"/>
      <c r="F104" s="1228"/>
      <c r="G104" s="1228"/>
      <c r="H104" s="1228"/>
      <c r="I104" s="1228"/>
      <c r="J104" s="1228"/>
    </row>
    <row r="105" spans="2:10" x14ac:dyDescent="0.25">
      <c r="C105" s="1228"/>
      <c r="D105" s="1228"/>
      <c r="E105" s="1228"/>
      <c r="F105" s="1228"/>
      <c r="G105" s="1228"/>
      <c r="H105" s="1228"/>
      <c r="I105" s="1228"/>
      <c r="J105" s="1228"/>
    </row>
    <row r="106" spans="2:10" x14ac:dyDescent="0.25">
      <c r="C106" s="1228"/>
      <c r="D106" s="1228"/>
      <c r="E106" s="1228"/>
      <c r="F106" s="1228"/>
      <c r="G106" s="1228"/>
      <c r="H106" s="1228"/>
      <c r="I106" s="1228"/>
      <c r="J106" s="1228"/>
    </row>
    <row r="107" spans="2:10" x14ac:dyDescent="0.25">
      <c r="C107" s="1228"/>
      <c r="D107" s="1228"/>
      <c r="E107" s="1228"/>
      <c r="F107" s="1228"/>
      <c r="G107" s="1228"/>
      <c r="H107" s="1228"/>
      <c r="I107" s="1228"/>
      <c r="J107" s="1228"/>
    </row>
    <row r="108" spans="2:10" x14ac:dyDescent="0.25">
      <c r="C108" s="1228"/>
      <c r="D108" s="1228"/>
      <c r="E108" s="1228"/>
      <c r="F108" s="1228"/>
      <c r="G108" s="1228"/>
      <c r="H108" s="1228"/>
      <c r="I108" s="1228"/>
      <c r="J108" s="1228"/>
    </row>
    <row r="109" spans="2:10" x14ac:dyDescent="0.25">
      <c r="C109" s="1228"/>
      <c r="D109" s="1228"/>
      <c r="E109" s="1228"/>
      <c r="F109" s="1228"/>
      <c r="G109" s="1228"/>
      <c r="H109" s="1228"/>
      <c r="I109" s="1228"/>
      <c r="J109" s="1228"/>
    </row>
    <row r="110" spans="2:10" x14ac:dyDescent="0.25">
      <c r="C110" s="1228"/>
      <c r="D110" s="1228"/>
      <c r="E110" s="1228"/>
      <c r="F110" s="1228"/>
      <c r="G110" s="1228"/>
      <c r="H110" s="1228"/>
      <c r="I110" s="1228"/>
      <c r="J110" s="1228"/>
    </row>
    <row r="111" spans="2:10" x14ac:dyDescent="0.25">
      <c r="C111" s="1228"/>
      <c r="D111" s="1228"/>
      <c r="E111" s="1228"/>
      <c r="F111" s="1228"/>
      <c r="G111" s="1228"/>
      <c r="H111" s="1228"/>
      <c r="I111" s="1228"/>
      <c r="J111" s="1228"/>
    </row>
    <row r="112" spans="2:10" x14ac:dyDescent="0.25">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4140625" defaultRowHeight="13.2" x14ac:dyDescent="0.25"/>
  <cols>
    <col min="1" max="1" width="1.88671875" customWidth="1"/>
    <col min="2" max="2" width="8.5546875" customWidth="1"/>
    <col min="3" max="3" width="12.5546875" customWidth="1"/>
    <col min="4" max="5" width="11.44140625" customWidth="1"/>
    <col min="6" max="6" width="12.5546875" customWidth="1"/>
    <col min="7" max="8" width="11.44140625" customWidth="1"/>
    <col min="9" max="9" width="12.5546875" customWidth="1"/>
    <col min="10" max="11" width="11.44140625" customWidth="1"/>
    <col min="12" max="12" width="12.5546875" customWidth="1"/>
    <col min="13" max="14" width="11.44140625" customWidth="1"/>
    <col min="15" max="15" width="5.88671875" customWidth="1"/>
    <col min="16" max="16" width="27.88671875" bestFit="1" customWidth="1"/>
    <col min="19" max="19" width="7.88671875" customWidth="1"/>
  </cols>
  <sheetData>
    <row r="1" spans="2:25" ht="15.6" x14ac:dyDescent="0.3">
      <c r="B1" s="13" t="s">
        <v>1353</v>
      </c>
      <c r="N1" s="14" t="s">
        <v>2521</v>
      </c>
      <c r="Q1" s="84"/>
    </row>
    <row r="2" spans="2:25" ht="18.600000000000001" x14ac:dyDescent="0.3">
      <c r="B2" s="13" t="s">
        <v>1301</v>
      </c>
      <c r="N2" s="14" t="s">
        <v>2522</v>
      </c>
      <c r="Q2" s="84"/>
    </row>
    <row r="3" spans="2:25" ht="15.6" x14ac:dyDescent="0.3">
      <c r="B3" s="13" t="s">
        <v>650</v>
      </c>
      <c r="N3" s="14" t="s">
        <v>2144</v>
      </c>
      <c r="Q3" s="84"/>
    </row>
    <row r="4" spans="2:25" ht="15.6" hidden="1" x14ac:dyDescent="0.3">
      <c r="B4" s="13"/>
      <c r="N4" s="84"/>
      <c r="Q4" s="84"/>
    </row>
    <row r="5" spans="2:25" x14ac:dyDescent="0.25">
      <c r="B5" s="2446" t="s">
        <v>64</v>
      </c>
      <c r="R5" s="159"/>
      <c r="S5" s="159"/>
      <c r="T5" s="159"/>
      <c r="U5" s="159"/>
      <c r="V5" s="159"/>
      <c r="W5" s="159"/>
      <c r="X5" s="159"/>
      <c r="Y5" s="159"/>
    </row>
    <row r="6" spans="2:25" ht="19.2" thickBot="1" x14ac:dyDescent="0.35">
      <c r="B6" s="13" t="s">
        <v>1354</v>
      </c>
      <c r="R6" s="159"/>
      <c r="S6" s="159"/>
      <c r="T6" s="159"/>
      <c r="U6" s="159"/>
      <c r="V6" s="159"/>
      <c r="W6" s="159"/>
      <c r="X6" s="159"/>
      <c r="Y6" s="159"/>
    </row>
    <row r="7" spans="2:25" ht="18" customHeight="1" x14ac:dyDescent="0.25">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5">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3">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5">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3">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5">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5">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5">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5">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5">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5">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5">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5">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5">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5">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5">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5">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5">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5">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3">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3">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5">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5">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5">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5">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5">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5">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5">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5">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5">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5">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5">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5">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5">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5">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5">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5">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5">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5">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5">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5">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5">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5">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5">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5">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5">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5">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5">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5">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5">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5">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5">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5">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5">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5">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5">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5">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5">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5">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5">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5">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5">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5">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5">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3">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6" x14ac:dyDescent="0.25">
      <c r="B73" s="603"/>
      <c r="C73" s="608"/>
      <c r="D73" s="608"/>
      <c r="E73" s="608"/>
      <c r="F73" s="608"/>
      <c r="G73" s="608"/>
      <c r="H73" s="608"/>
      <c r="I73" s="608"/>
      <c r="J73" s="608"/>
      <c r="K73" s="608"/>
      <c r="L73" s="608"/>
      <c r="M73" s="608"/>
      <c r="N73" s="608"/>
    </row>
    <row r="74" spans="2:14" ht="15.6" x14ac:dyDescent="0.25">
      <c r="B74" s="603"/>
      <c r="C74" s="608"/>
      <c r="D74" s="608"/>
      <c r="E74" s="608"/>
      <c r="F74" s="608"/>
      <c r="G74" s="608"/>
      <c r="H74" s="608"/>
      <c r="I74" s="608"/>
      <c r="J74" s="608"/>
      <c r="K74" s="608"/>
      <c r="L74" s="608"/>
      <c r="M74" s="608"/>
      <c r="N74" s="608"/>
    </row>
    <row r="75" spans="2:14" ht="15.6" x14ac:dyDescent="0.25">
      <c r="B75" s="603"/>
      <c r="C75" s="608"/>
      <c r="D75" s="608"/>
      <c r="E75" s="608"/>
      <c r="F75" s="608"/>
      <c r="G75" s="608"/>
      <c r="H75" s="608"/>
      <c r="I75" s="608"/>
      <c r="J75" s="608"/>
      <c r="K75" s="608"/>
      <c r="L75" s="608"/>
      <c r="M75" s="608"/>
      <c r="N75" s="608"/>
    </row>
    <row r="76" spans="2:14" ht="15.6" x14ac:dyDescent="0.25">
      <c r="B76" s="603"/>
      <c r="C76" s="608"/>
      <c r="D76" s="608"/>
      <c r="E76" s="608"/>
      <c r="F76" s="608"/>
      <c r="G76" s="608"/>
      <c r="H76" s="608"/>
      <c r="I76" s="608"/>
      <c r="J76" s="608"/>
      <c r="K76" s="608"/>
      <c r="L76" s="608"/>
      <c r="M76" s="608"/>
      <c r="N76" s="608"/>
    </row>
    <row r="77" spans="2:14" ht="15.6" x14ac:dyDescent="0.25">
      <c r="B77" s="609"/>
      <c r="C77" s="610"/>
      <c r="D77" s="610"/>
      <c r="E77" s="610"/>
      <c r="F77" s="610"/>
      <c r="G77" s="610"/>
      <c r="H77" s="610"/>
      <c r="I77" s="610"/>
      <c r="J77" s="610"/>
      <c r="K77" s="610"/>
      <c r="L77" s="610"/>
      <c r="M77" s="610"/>
      <c r="N77" s="610"/>
    </row>
    <row r="78" spans="2:14" ht="15.6" x14ac:dyDescent="0.25">
      <c r="B78" s="609"/>
      <c r="C78" s="610"/>
      <c r="D78" s="610"/>
      <c r="E78" s="610"/>
      <c r="F78" s="610"/>
      <c r="G78" s="610"/>
      <c r="H78" s="610"/>
      <c r="I78" s="610"/>
      <c r="J78" s="610"/>
      <c r="K78" s="610"/>
      <c r="L78" s="610"/>
      <c r="M78" s="610"/>
      <c r="N78" s="610"/>
    </row>
    <row r="79" spans="2:14" ht="16.2" thickBot="1" x14ac:dyDescent="0.3">
      <c r="B79" s="609"/>
      <c r="C79" s="610"/>
      <c r="D79" s="610"/>
      <c r="E79" s="610"/>
      <c r="F79" s="610"/>
      <c r="G79" s="610"/>
      <c r="H79" s="610"/>
      <c r="I79" s="610"/>
      <c r="J79" s="610"/>
      <c r="K79" s="610"/>
      <c r="L79" s="610"/>
      <c r="M79" s="610"/>
      <c r="N79" s="610"/>
    </row>
    <row r="80" spans="2:14" x14ac:dyDescent="0.25">
      <c r="B80" s="849" t="s">
        <v>390</v>
      </c>
      <c r="C80" s="900"/>
      <c r="D80" s="900"/>
      <c r="E80" s="900"/>
      <c r="F80" s="900"/>
      <c r="G80" s="900"/>
      <c r="H80" s="900"/>
      <c r="I80" s="900"/>
      <c r="J80" s="900"/>
      <c r="K80" s="900"/>
      <c r="L80" s="900"/>
      <c r="M80" s="900"/>
      <c r="N80" s="1115"/>
    </row>
    <row r="81" spans="2:14" x14ac:dyDescent="0.25">
      <c r="B81" s="1329"/>
      <c r="C81" s="1342"/>
      <c r="D81" s="1342"/>
      <c r="E81" s="1342"/>
      <c r="F81" s="1342"/>
      <c r="G81" s="1342"/>
      <c r="H81" s="1342"/>
      <c r="I81" s="1342"/>
      <c r="J81" s="1342"/>
      <c r="K81" s="1342"/>
      <c r="L81" s="1342"/>
      <c r="M81" s="1342"/>
      <c r="N81" s="1343"/>
    </row>
    <row r="82" spans="2:14" x14ac:dyDescent="0.25">
      <c r="B82" s="1329"/>
      <c r="C82" s="1342"/>
      <c r="D82" s="1342"/>
      <c r="E82" s="1342"/>
      <c r="F82" s="1342"/>
      <c r="G82" s="1342"/>
      <c r="H82" s="1342"/>
      <c r="I82" s="1342"/>
      <c r="J82" s="1342"/>
      <c r="K82" s="1342"/>
      <c r="L82" s="1342"/>
      <c r="M82" s="1342"/>
      <c r="N82" s="1343"/>
    </row>
    <row r="83" spans="2:14" x14ac:dyDescent="0.25">
      <c r="B83" s="1329"/>
      <c r="C83" s="1342"/>
      <c r="D83" s="1342"/>
      <c r="E83" s="1342"/>
      <c r="F83" s="1342"/>
      <c r="G83" s="1342"/>
      <c r="H83" s="1342"/>
      <c r="I83" s="1342"/>
      <c r="J83" s="1342"/>
      <c r="K83" s="1342"/>
      <c r="L83" s="1342"/>
      <c r="M83" s="1342"/>
      <c r="N83" s="1343"/>
    </row>
    <row r="84" spans="2:14" x14ac:dyDescent="0.25">
      <c r="B84" s="4477" t="s">
        <v>2290</v>
      </c>
      <c r="C84" s="4478"/>
      <c r="D84" s="4478"/>
      <c r="E84" s="4478"/>
      <c r="F84" s="4478"/>
      <c r="G84" s="4478"/>
      <c r="H84" s="4478"/>
      <c r="I84" s="4478"/>
      <c r="J84" s="4478"/>
      <c r="K84" s="4478"/>
      <c r="L84" s="4478"/>
      <c r="M84" s="4478"/>
      <c r="N84" s="4479"/>
    </row>
    <row r="85" spans="2:14" ht="13.8" thickBot="1" x14ac:dyDescent="0.3">
      <c r="B85" s="4480"/>
      <c r="C85" s="4481"/>
      <c r="D85" s="4481"/>
      <c r="E85" s="4481"/>
      <c r="F85" s="4481"/>
      <c r="G85" s="4481"/>
      <c r="H85" s="4481"/>
      <c r="I85" s="4481"/>
      <c r="J85" s="4481"/>
      <c r="K85" s="4481"/>
      <c r="L85" s="4481"/>
      <c r="M85" s="4481"/>
      <c r="N85" s="4482"/>
    </row>
    <row r="86" spans="2:14" ht="15.6" x14ac:dyDescent="0.25">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5"/>
  <cols>
    <col min="1" max="1" width="1.88671875" style="110" customWidth="1"/>
    <col min="2" max="2" width="54" style="110" customWidth="1"/>
    <col min="3" max="3" width="14.5546875" style="110" customWidth="1"/>
    <col min="4" max="4" width="14.109375" style="110" customWidth="1"/>
    <col min="5" max="5" width="13.88671875" style="110" customWidth="1"/>
    <col min="6" max="6" width="14.109375" style="110" customWidth="1"/>
    <col min="7" max="8" width="12.88671875" style="110" customWidth="1"/>
    <col min="9" max="9" width="13.109375" style="110" customWidth="1"/>
    <col min="10" max="10" width="23.5546875" style="110" customWidth="1"/>
    <col min="11" max="16384" width="8" style="110"/>
  </cols>
  <sheetData>
    <row r="1" spans="1:10" ht="15.75" customHeight="1" x14ac:dyDescent="0.25">
      <c r="B1" s="811" t="s">
        <v>1367</v>
      </c>
      <c r="C1" s="811"/>
      <c r="I1" s="2"/>
      <c r="J1" s="14" t="s">
        <v>2521</v>
      </c>
    </row>
    <row r="2" spans="1:10" ht="15.75" customHeight="1" x14ac:dyDescent="0.25">
      <c r="B2" s="138" t="s">
        <v>62</v>
      </c>
      <c r="I2" s="2"/>
      <c r="J2" s="14" t="s">
        <v>2522</v>
      </c>
    </row>
    <row r="3" spans="1:10" ht="15.75" customHeight="1" x14ac:dyDescent="0.25">
      <c r="I3" s="2"/>
      <c r="J3" s="14" t="s">
        <v>2144</v>
      </c>
    </row>
    <row r="4" spans="1:10" ht="15.75" hidden="1" customHeight="1" x14ac:dyDescent="0.25">
      <c r="I4" s="2"/>
      <c r="J4" s="2"/>
    </row>
    <row r="5" spans="1:10" ht="15.75" hidden="1" customHeight="1" x14ac:dyDescent="0.25">
      <c r="I5" s="2"/>
      <c r="J5" s="2"/>
    </row>
    <row r="6" spans="1:10" ht="15.75" hidden="1" customHeight="1" x14ac:dyDescent="0.25">
      <c r="I6" s="2"/>
      <c r="J6" s="2"/>
    </row>
    <row r="7" spans="1:10" ht="12.75" customHeight="1" thickBot="1" x14ac:dyDescent="0.3">
      <c r="B7" s="2446" t="s">
        <v>64</v>
      </c>
      <c r="I7" s="137"/>
    </row>
    <row r="8" spans="1:10" ht="14.4" x14ac:dyDescent="0.25">
      <c r="B8" s="4483" t="s">
        <v>1368</v>
      </c>
      <c r="C8" s="1871" t="s">
        <v>1854</v>
      </c>
      <c r="D8" s="1871" t="s">
        <v>67</v>
      </c>
      <c r="E8" s="1871" t="s">
        <v>68</v>
      </c>
      <c r="F8" s="1871" t="s">
        <v>442</v>
      </c>
      <c r="G8" s="1872" t="s">
        <v>70</v>
      </c>
      <c r="H8" s="1873" t="s">
        <v>71</v>
      </c>
      <c r="I8" s="1874" t="s">
        <v>1369</v>
      </c>
      <c r="J8" s="2473" t="s">
        <v>2034</v>
      </c>
    </row>
    <row r="9" spans="1:10" ht="16.5" customHeight="1" thickBot="1" x14ac:dyDescent="0.3">
      <c r="A9" s="83"/>
      <c r="B9" s="4484"/>
      <c r="C9" s="1875" t="s">
        <v>73</v>
      </c>
      <c r="D9" s="1876"/>
      <c r="E9" s="1876"/>
      <c r="F9" s="1876"/>
      <c r="G9" s="1876"/>
      <c r="H9" s="1876"/>
      <c r="I9" s="1877"/>
      <c r="J9" s="1800" t="s">
        <v>2022</v>
      </c>
    </row>
    <row r="10" spans="1:10" ht="18" customHeight="1" thickTop="1" thickBot="1" x14ac:dyDescent="0.3">
      <c r="B10" s="1503" t="s">
        <v>1370</v>
      </c>
      <c r="C10" s="4362">
        <f>IF(SUM(C11,C15,C18,C21)=0,"NO",SUM(C11,C15,C18,C21))</f>
        <v>73.841444217785693</v>
      </c>
      <c r="D10" s="4362">
        <f t="shared" ref="D10:I10" si="0">IF(SUM(D11,D15,D18,D21)=0,"NO",SUM(D11,D15,D18,D21))</f>
        <v>829.68274453829054</v>
      </c>
      <c r="E10" s="4362">
        <f t="shared" si="0"/>
        <v>0.59380049335514651</v>
      </c>
      <c r="F10" s="4362" t="str">
        <f t="shared" si="0"/>
        <v>NO</v>
      </c>
      <c r="G10" s="4362" t="str">
        <f t="shared" si="0"/>
        <v>NO</v>
      </c>
      <c r="H10" s="4362">
        <f t="shared" si="0"/>
        <v>471.0113129234133</v>
      </c>
      <c r="I10" s="4363" t="str">
        <f t="shared" si="0"/>
        <v>NO</v>
      </c>
      <c r="J10" s="4364">
        <f>IF(SUM(C10:E10)=0,"NO",SUM(C10,IFERROR(28*D10,0),IFERROR(265*E10,0)))</f>
        <v>23462.315422029034</v>
      </c>
    </row>
    <row r="11" spans="1:10" ht="18" customHeight="1" x14ac:dyDescent="0.25">
      <c r="B11" s="1504" t="s">
        <v>1371</v>
      </c>
      <c r="C11" s="2882"/>
      <c r="D11" s="2883">
        <f>IF(SUM(D12:D14)=0,"NO",SUM(D12:D14))</f>
        <v>609.45198819999996</v>
      </c>
      <c r="E11" s="2882"/>
      <c r="F11" s="2883" t="str">
        <f>IF(SUM(F12:F14)=0,"NO",SUM(F12:F14))</f>
        <v>NO</v>
      </c>
      <c r="G11" s="2883" t="str">
        <f t="shared" ref="G11:H11" si="1">IF(SUM(G12:G14)=0,"NO",SUM(G12:G14))</f>
        <v>NO</v>
      </c>
      <c r="H11" s="2883">
        <f t="shared" si="1"/>
        <v>2.7188361346809455</v>
      </c>
      <c r="I11" s="2153"/>
      <c r="J11" s="2872">
        <f t="shared" ref="J11:J18" si="2">IF(SUM(C11:E11)=0,"NO",SUM(C11,IFERROR(28*D11,0),IFERROR(265*E11,0)))</f>
        <v>17064.655669599997</v>
      </c>
    </row>
    <row r="12" spans="1:10" ht="18" customHeight="1" x14ac:dyDescent="0.25">
      <c r="B12" s="1270" t="s">
        <v>1372</v>
      </c>
      <c r="C12" s="1879"/>
      <c r="D12" s="1878">
        <f>IF(SUM(Table5.A!F10:H10)=0,"NO",SUM(Table5.A!F10))</f>
        <v>609.45198819999996</v>
      </c>
      <c r="E12" s="1879"/>
      <c r="F12" s="4365" t="s">
        <v>2147</v>
      </c>
      <c r="G12" s="4365" t="s">
        <v>2147</v>
      </c>
      <c r="H12" s="4365">
        <v>2.7188361346809455</v>
      </c>
      <c r="I12" s="2931"/>
      <c r="J12" s="1880">
        <f t="shared" si="2"/>
        <v>17064.655669599997</v>
      </c>
    </row>
    <row r="13" spans="1:10" ht="18" customHeight="1" x14ac:dyDescent="0.25">
      <c r="B13" s="1270" t="s">
        <v>1373</v>
      </c>
      <c r="C13" s="1879"/>
      <c r="D13" s="1878" t="str">
        <f>Table5.A!F29</f>
        <v>NO</v>
      </c>
      <c r="E13" s="1879"/>
      <c r="F13" s="4365" t="s">
        <v>2146</v>
      </c>
      <c r="G13" s="4365" t="s">
        <v>2146</v>
      </c>
      <c r="H13" s="4365" t="s">
        <v>2146</v>
      </c>
      <c r="I13" s="2931"/>
      <c r="J13" s="1880" t="str">
        <f t="shared" si="2"/>
        <v>NO</v>
      </c>
    </row>
    <row r="14" spans="1:10" ht="18" customHeight="1" thickBot="1" x14ac:dyDescent="0.3">
      <c r="B14" s="2884" t="s">
        <v>1374</v>
      </c>
      <c r="C14" s="4366"/>
      <c r="D14" s="1881" t="str">
        <f>Table5.A!F35</f>
        <v>NO</v>
      </c>
      <c r="E14" s="4366"/>
      <c r="F14" s="4367" t="s">
        <v>2146</v>
      </c>
      <c r="G14" s="4367" t="s">
        <v>2146</v>
      </c>
      <c r="H14" s="4367" t="s">
        <v>2146</v>
      </c>
      <c r="I14" s="2939"/>
      <c r="J14" s="1882" t="str">
        <f t="shared" si="2"/>
        <v>NO</v>
      </c>
    </row>
    <row r="15" spans="1:10" ht="18" customHeight="1" x14ac:dyDescent="0.25">
      <c r="B15" s="1506" t="s">
        <v>1375</v>
      </c>
      <c r="C15" s="4368"/>
      <c r="D15" s="2881">
        <f>IF(SUM(D16:D17)=0,"NO",SUM(D16:D17))</f>
        <v>0.35026726298999472</v>
      </c>
      <c r="E15" s="2881">
        <f t="shared" ref="E15" si="3">IF(SUM(E16:E17)=0,"NO",SUM(E16:E17))</f>
        <v>4.4834209662719324E-2</v>
      </c>
      <c r="F15" s="2881" t="s">
        <v>2256</v>
      </c>
      <c r="G15" s="2881" t="s">
        <v>2256</v>
      </c>
      <c r="H15" s="2881" t="s">
        <v>2256</v>
      </c>
      <c r="I15" s="4369"/>
      <c r="J15" s="2873">
        <f t="shared" si="2"/>
        <v>21.688548924340473</v>
      </c>
    </row>
    <row r="16" spans="1:10" ht="18" customHeight="1" x14ac:dyDescent="0.25">
      <c r="B16" s="1883" t="s">
        <v>1376</v>
      </c>
      <c r="C16" s="4370"/>
      <c r="D16" s="1878">
        <f>Table5.B!F10</f>
        <v>0.35026726298999472</v>
      </c>
      <c r="E16" s="1878">
        <f>Table5.B!G10</f>
        <v>4.4834209662719324E-2</v>
      </c>
      <c r="F16" s="691" t="s">
        <v>2147</v>
      </c>
      <c r="G16" s="691" t="s">
        <v>2147</v>
      </c>
      <c r="H16" s="691" t="s">
        <v>2147</v>
      </c>
      <c r="I16" s="2931"/>
      <c r="J16" s="1880">
        <f t="shared" si="2"/>
        <v>21.688548924340473</v>
      </c>
    </row>
    <row r="17" spans="2:12" ht="18" customHeight="1" thickBot="1" x14ac:dyDescent="0.3">
      <c r="B17" s="1884" t="s">
        <v>1377</v>
      </c>
      <c r="C17" s="4371"/>
      <c r="D17" s="1881" t="str">
        <f>Table5.B!F14</f>
        <v>NO,NE</v>
      </c>
      <c r="E17" s="1881" t="str">
        <f>Table5.B!G14</f>
        <v>NO,NE</v>
      </c>
      <c r="F17" s="1559" t="s">
        <v>2154</v>
      </c>
      <c r="G17" s="1559" t="s">
        <v>2154</v>
      </c>
      <c r="H17" s="1559" t="s">
        <v>2154</v>
      </c>
      <c r="I17" s="2939"/>
      <c r="J17" s="1882" t="str">
        <f t="shared" si="2"/>
        <v>NO</v>
      </c>
    </row>
    <row r="18" spans="2:12" ht="18" customHeight="1" x14ac:dyDescent="0.25">
      <c r="B18" s="1506" t="s">
        <v>1378</v>
      </c>
      <c r="C18" s="2871">
        <f>IF(SUM(C19:C20)=0,"NO",SUM(C19:C20))</f>
        <v>73.841444217785693</v>
      </c>
      <c r="D18" s="2871">
        <f>IF(SUM(D19:D20)=0,"NO,NE",SUM(D19:D20))</f>
        <v>9.2671199999999995E-2</v>
      </c>
      <c r="E18" s="2871">
        <f>IF(SUM(E19:E20)=0,"NO,NE",SUM(E19:E20))</f>
        <v>3.7979999999999993E-2</v>
      </c>
      <c r="F18" s="2871" t="s">
        <v>2147</v>
      </c>
      <c r="G18" s="2871" t="s">
        <v>2147</v>
      </c>
      <c r="H18" s="2871" t="s">
        <v>2147</v>
      </c>
      <c r="I18" s="2871" t="s">
        <v>2147</v>
      </c>
      <c r="J18" s="2874">
        <f t="shared" si="2"/>
        <v>86.500937817785697</v>
      </c>
    </row>
    <row r="19" spans="2:12" ht="18" customHeight="1" x14ac:dyDescent="0.25">
      <c r="B19" s="1270" t="s">
        <v>1379</v>
      </c>
      <c r="C19" s="1878">
        <f>Table5.C!G10</f>
        <v>73.841444217785693</v>
      </c>
      <c r="D19" s="1878">
        <f>Table5.C!H10</f>
        <v>9.2671199999999995E-2</v>
      </c>
      <c r="E19" s="1878">
        <f>Table5.C!I10</f>
        <v>3.7979999999999993E-2</v>
      </c>
      <c r="F19" s="692" t="s">
        <v>2147</v>
      </c>
      <c r="G19" s="692" t="s">
        <v>2147</v>
      </c>
      <c r="H19" s="692" t="s">
        <v>2147</v>
      </c>
      <c r="I19" s="692" t="s">
        <v>2147</v>
      </c>
      <c r="J19" s="1880">
        <f>IF(SUM(C19:E19)=0,"NO",SUM(C19,IFERROR(28*D19,0),IFERROR(265*E19,0)))</f>
        <v>86.500937817785697</v>
      </c>
    </row>
    <row r="20" spans="2:12" ht="18" customHeight="1" thickBot="1" x14ac:dyDescent="0.3">
      <c r="B20" s="1270" t="s">
        <v>1380</v>
      </c>
      <c r="C20" s="1881" t="str">
        <f>Table5.C!G32</f>
        <v>NO</v>
      </c>
      <c r="D20" s="1881" t="str">
        <f>Table5.C!H32</f>
        <v>NO</v>
      </c>
      <c r="E20" s="1881" t="str">
        <f>Table5.C!I32</f>
        <v>NO</v>
      </c>
      <c r="F20" s="1559" t="s">
        <v>2147</v>
      </c>
      <c r="G20" s="1559" t="s">
        <v>2147</v>
      </c>
      <c r="H20" s="1559" t="s">
        <v>2147</v>
      </c>
      <c r="I20" s="1559" t="s">
        <v>2147</v>
      </c>
      <c r="J20" s="1882" t="str">
        <f t="shared" ref="J20:J24" si="4">IF(SUM(C20:E20)=0,"NO",SUM(C20,IFERROR(28*D20,0),IFERROR(265*E20,0)))</f>
        <v>NO</v>
      </c>
    </row>
    <row r="21" spans="2:12" ht="18" customHeight="1" x14ac:dyDescent="0.25">
      <c r="B21" s="1504" t="s">
        <v>1381</v>
      </c>
      <c r="C21" s="4372"/>
      <c r="D21" s="2871">
        <f>IF(SUM(D22:D24)=0,"NO",SUM(D22:D24))</f>
        <v>219.7878178753005</v>
      </c>
      <c r="E21" s="2871">
        <f t="shared" ref="E21:H21" si="5">IF(SUM(E22:E24)=0,"NO",SUM(E22:E24))</f>
        <v>0.51098628369242716</v>
      </c>
      <c r="F21" s="2871" t="str">
        <f t="shared" si="5"/>
        <v>NO</v>
      </c>
      <c r="G21" s="2871" t="str">
        <f t="shared" si="5"/>
        <v>NO</v>
      </c>
      <c r="H21" s="2871">
        <f t="shared" si="5"/>
        <v>468.29247678873236</v>
      </c>
      <c r="I21" s="4373"/>
      <c r="J21" s="2874">
        <f t="shared" si="4"/>
        <v>6289.4702656869067</v>
      </c>
    </row>
    <row r="22" spans="2:12" ht="18" customHeight="1" x14ac:dyDescent="0.25">
      <c r="B22" s="1270" t="s">
        <v>1382</v>
      </c>
      <c r="C22" s="4374"/>
      <c r="D22" s="1878">
        <f>IF(SUM(Table5.D!H10)=0,"NO",SUM(Table5.D!H10))</f>
        <v>81.312085809911764</v>
      </c>
      <c r="E22" s="1878">
        <f>IF(SUM(Table5.D!I10:J10)=0,"NO",SUM(Table5.D!I10:J10))</f>
        <v>0.51098628369242716</v>
      </c>
      <c r="F22" s="4365" t="s">
        <v>2147</v>
      </c>
      <c r="G22" s="4365" t="s">
        <v>2147</v>
      </c>
      <c r="H22" s="4365">
        <v>20.120737107311729</v>
      </c>
      <c r="I22" s="2931"/>
      <c r="J22" s="1880">
        <f t="shared" si="4"/>
        <v>2412.1497678560227</v>
      </c>
    </row>
    <row r="23" spans="2:12" ht="18" customHeight="1" x14ac:dyDescent="0.25">
      <c r="B23" s="1270" t="s">
        <v>1383</v>
      </c>
      <c r="C23" s="4374"/>
      <c r="D23" s="1878">
        <f>IF(SUM(Table5.D!H11)=0,"NO",SUM(Table5.D!H11))</f>
        <v>138.47573206538874</v>
      </c>
      <c r="E23" s="1878" t="str">
        <f>IF(SUM(Table5.D!I11:J11)=0,"IE",SUM(Table5.D!I11:J11))</f>
        <v>IE</v>
      </c>
      <c r="F23" s="4365" t="s">
        <v>2147</v>
      </c>
      <c r="G23" s="4365" t="s">
        <v>2147</v>
      </c>
      <c r="H23" s="4365">
        <v>448.1717396814206</v>
      </c>
      <c r="I23" s="2931"/>
      <c r="J23" s="1880">
        <f t="shared" si="4"/>
        <v>3877.320497830885</v>
      </c>
    </row>
    <row r="24" spans="2:12" ht="18" customHeight="1" thickBot="1" x14ac:dyDescent="0.3">
      <c r="B24" s="1271" t="s">
        <v>2079</v>
      </c>
      <c r="C24" s="4375"/>
      <c r="D24" s="1881" t="str">
        <f>Table5.D!H12</f>
        <v>NO</v>
      </c>
      <c r="E24" s="1881" t="str">
        <f>IF(SUM(Table5.D!I12:J12)=0,"NO",SUM(Table5.D!I12:J12))</f>
        <v>NO</v>
      </c>
      <c r="F24" s="4367" t="s">
        <v>2146</v>
      </c>
      <c r="G24" s="4367" t="s">
        <v>2146</v>
      </c>
      <c r="H24" s="4367" t="s">
        <v>2146</v>
      </c>
      <c r="I24" s="2939"/>
      <c r="J24" s="1882" t="str">
        <f t="shared" si="4"/>
        <v>NO</v>
      </c>
    </row>
    <row r="25" spans="2:12" ht="18" customHeight="1" x14ac:dyDescent="0.25">
      <c r="B25" s="1504" t="s">
        <v>2064</v>
      </c>
      <c r="C25" s="2883" t="str">
        <f>C26</f>
        <v>NE</v>
      </c>
      <c r="D25" s="2883" t="str">
        <f t="shared" ref="D25:I25" si="6">D26</f>
        <v>NE</v>
      </c>
      <c r="E25" s="2883" t="str">
        <f t="shared" si="6"/>
        <v>NE</v>
      </c>
      <c r="F25" s="2883" t="str">
        <f t="shared" si="6"/>
        <v>NE</v>
      </c>
      <c r="G25" s="2883" t="str">
        <f t="shared" si="6"/>
        <v>NE</v>
      </c>
      <c r="H25" s="4376" t="str">
        <f t="shared" si="6"/>
        <v>NE</v>
      </c>
      <c r="I25" s="4377" t="str">
        <f t="shared" si="6"/>
        <v>NE</v>
      </c>
      <c r="J25" s="4378" t="s">
        <v>2154</v>
      </c>
      <c r="K25"/>
      <c r="L25"/>
    </row>
    <row r="26" spans="2:12" ht="18" customHeight="1" thickBot="1" x14ac:dyDescent="0.3">
      <c r="B26" s="2870" t="s">
        <v>2258</v>
      </c>
      <c r="C26" s="1559" t="s">
        <v>2154</v>
      </c>
      <c r="D26" s="1559" t="s">
        <v>2154</v>
      </c>
      <c r="E26" s="1559" t="s">
        <v>2154</v>
      </c>
      <c r="F26" s="1559" t="s">
        <v>2154</v>
      </c>
      <c r="G26" s="1559" t="s">
        <v>2154</v>
      </c>
      <c r="H26" s="1559" t="s">
        <v>2154</v>
      </c>
      <c r="I26" s="1561" t="s">
        <v>2154</v>
      </c>
      <c r="J26" s="4379" t="s">
        <v>2154</v>
      </c>
      <c r="K26"/>
      <c r="L26"/>
    </row>
    <row r="27" spans="2:12" ht="18" customHeight="1" x14ac:dyDescent="0.25">
      <c r="B27" s="1504" t="s">
        <v>2035</v>
      </c>
      <c r="C27" s="4380"/>
      <c r="D27" s="4380"/>
      <c r="E27" s="4380"/>
      <c r="F27" s="4380"/>
      <c r="G27" s="4380"/>
      <c r="H27" s="4380"/>
      <c r="I27" s="4381"/>
      <c r="J27" s="4381"/>
      <c r="K27"/>
      <c r="L27"/>
    </row>
    <row r="28" spans="2:12" ht="18" customHeight="1" x14ac:dyDescent="0.25">
      <c r="B28" s="1883" t="s">
        <v>2080</v>
      </c>
      <c r="C28" s="4382">
        <v>-186838.5274408925</v>
      </c>
      <c r="D28" s="4383"/>
      <c r="E28" s="4383"/>
      <c r="F28" s="4383"/>
      <c r="G28" s="4383"/>
      <c r="H28" s="4383"/>
      <c r="I28" s="4384"/>
      <c r="J28" s="4385"/>
      <c r="K28"/>
      <c r="L28"/>
    </row>
    <row r="29" spans="2:12" ht="18" customHeight="1" x14ac:dyDescent="0.25">
      <c r="B29" s="2487" t="s">
        <v>2081</v>
      </c>
      <c r="C29" s="4386">
        <v>-4684.9030394606734</v>
      </c>
      <c r="D29" s="4387"/>
      <c r="E29" s="4387"/>
      <c r="F29" s="4387"/>
      <c r="G29" s="4387"/>
      <c r="H29" s="4387"/>
      <c r="I29" s="4385"/>
      <c r="J29" s="4385"/>
      <c r="K29"/>
      <c r="L29"/>
    </row>
    <row r="30" spans="2:12" ht="29.25" customHeight="1" thickBot="1" x14ac:dyDescent="0.3">
      <c r="B30" s="2488" t="s">
        <v>2082</v>
      </c>
      <c r="C30" s="4388">
        <v>-3272.3188810415618</v>
      </c>
      <c r="D30" s="4389"/>
      <c r="E30" s="4389"/>
      <c r="F30" s="4389"/>
      <c r="G30" s="4389"/>
      <c r="H30" s="4389"/>
      <c r="I30" s="4390"/>
      <c r="J30" s="4390"/>
      <c r="K30"/>
      <c r="L30"/>
    </row>
    <row r="34" spans="2:10" ht="14.4" x14ac:dyDescent="0.25">
      <c r="B34" s="1507"/>
      <c r="C34" s="1507"/>
      <c r="D34" s="1507"/>
      <c r="E34" s="1507"/>
      <c r="F34" s="1507"/>
      <c r="G34" s="1507"/>
      <c r="H34" s="1507"/>
    </row>
    <row r="35" spans="2:10" ht="13.2" x14ac:dyDescent="0.25">
      <c r="B35" s="362"/>
      <c r="C35" s="362"/>
      <c r="D35" s="362"/>
      <c r="E35" s="362"/>
      <c r="F35" s="362"/>
      <c r="G35" s="362"/>
      <c r="H35" s="362"/>
      <c r="I35" s="362"/>
    </row>
    <row r="36" spans="2:10" ht="13.2" x14ac:dyDescent="0.25">
      <c r="B36" s="362"/>
      <c r="C36" s="362"/>
      <c r="D36" s="362"/>
      <c r="E36" s="362"/>
      <c r="F36" s="362"/>
      <c r="G36" s="362"/>
      <c r="H36" s="362"/>
      <c r="I36" s="362"/>
    </row>
    <row r="37" spans="2:10" ht="13.2" x14ac:dyDescent="0.25">
      <c r="B37" s="362"/>
      <c r="C37" s="362"/>
      <c r="D37" s="362"/>
      <c r="E37" s="362"/>
      <c r="F37" s="362"/>
      <c r="G37" s="362"/>
      <c r="H37" s="362"/>
      <c r="I37" s="362"/>
    </row>
    <row r="38" spans="2:10" ht="13.2" x14ac:dyDescent="0.25">
      <c r="B38" s="362"/>
      <c r="C38" s="362"/>
      <c r="D38" s="362"/>
      <c r="E38" s="362"/>
      <c r="F38" s="362"/>
      <c r="G38" s="362"/>
      <c r="H38" s="362"/>
      <c r="I38" s="362"/>
    </row>
    <row r="39" spans="2:10" ht="13.2" x14ac:dyDescent="0.25">
      <c r="B39" s="362"/>
      <c r="C39" s="362"/>
      <c r="D39" s="362"/>
      <c r="E39" s="362"/>
      <c r="F39" s="362"/>
      <c r="G39" s="362"/>
      <c r="H39" s="362"/>
      <c r="I39" s="362"/>
    </row>
    <row r="40" spans="2:10" ht="15" thickBot="1" x14ac:dyDescent="0.3">
      <c r="B40" s="1507"/>
      <c r="C40" s="1507"/>
      <c r="D40" s="1507"/>
      <c r="E40" s="1507"/>
      <c r="F40" s="1507"/>
      <c r="G40" s="1507"/>
      <c r="H40" s="1507"/>
      <c r="I40" s="1507"/>
    </row>
    <row r="41" spans="2:10" ht="13.2" x14ac:dyDescent="0.25">
      <c r="B41" s="1364" t="s">
        <v>1384</v>
      </c>
      <c r="C41" s="948"/>
      <c r="D41" s="948"/>
      <c r="E41" s="948"/>
      <c r="F41" s="948"/>
      <c r="G41" s="948"/>
      <c r="H41" s="948"/>
      <c r="I41" s="948"/>
      <c r="J41" s="949"/>
    </row>
    <row r="42" spans="2:10" ht="13.2" x14ac:dyDescent="0.25">
      <c r="B42" s="1365"/>
      <c r="C42" s="1508"/>
      <c r="D42" s="1508"/>
      <c r="E42" s="1508"/>
      <c r="F42" s="1508"/>
      <c r="G42" s="1508"/>
      <c r="H42" s="1508"/>
      <c r="I42" s="1508"/>
      <c r="J42" s="1366"/>
    </row>
    <row r="43" spans="2:10" ht="13.2" x14ac:dyDescent="0.25">
      <c r="B43" s="1365"/>
      <c r="C43" s="1508"/>
      <c r="D43" s="1508"/>
      <c r="E43" s="1508"/>
      <c r="F43" s="1508"/>
      <c r="G43" s="1508"/>
      <c r="H43" s="1508"/>
      <c r="I43" s="1508"/>
      <c r="J43" s="1366"/>
    </row>
    <row r="44" spans="2:10" ht="13.2" x14ac:dyDescent="0.25">
      <c r="B44" s="1365"/>
      <c r="C44" s="1508"/>
      <c r="D44" s="1508"/>
      <c r="E44" s="1508"/>
      <c r="F44" s="1508"/>
      <c r="G44" s="1508"/>
      <c r="H44" s="1508"/>
      <c r="I44" s="1508"/>
      <c r="J44" s="1366"/>
    </row>
    <row r="45" spans="2:10" ht="13.2" x14ac:dyDescent="0.25">
      <c r="B45" s="1365"/>
      <c r="C45" s="1508"/>
      <c r="D45" s="1508"/>
      <c r="E45" s="1508"/>
      <c r="F45" s="1508"/>
      <c r="G45" s="1508"/>
      <c r="H45" s="1508"/>
      <c r="I45" s="1508"/>
      <c r="J45" s="1366"/>
    </row>
    <row r="46" spans="2:10" ht="13.2" x14ac:dyDescent="0.25">
      <c r="B46" s="950"/>
      <c r="C46" s="951"/>
      <c r="D46" s="951"/>
      <c r="E46" s="951"/>
      <c r="F46" s="951"/>
      <c r="G46" s="951"/>
      <c r="H46" s="951"/>
      <c r="I46" s="951"/>
      <c r="J46" s="952"/>
    </row>
    <row r="47" spans="2:10" ht="13.8" thickBot="1" x14ac:dyDescent="0.3">
      <c r="B47" s="195"/>
      <c r="C47" s="196"/>
      <c r="D47" s="196"/>
      <c r="E47" s="196"/>
      <c r="F47" s="196"/>
      <c r="G47" s="196"/>
      <c r="H47" s="196"/>
      <c r="I47" s="196"/>
      <c r="J47" s="197"/>
    </row>
    <row r="48" spans="2:10" ht="12" customHeight="1" x14ac:dyDescent="0.25">
      <c r="B48" s="119"/>
      <c r="C48" s="119"/>
      <c r="D48" s="119"/>
      <c r="E48" s="119"/>
      <c r="F48" s="119"/>
      <c r="G48" s="119"/>
      <c r="H48" s="119"/>
      <c r="I48" s="119"/>
    </row>
    <row r="50" ht="13.2" x14ac:dyDescent="0.25"/>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5"/>
  <cols>
    <col min="1" max="1" width="1.88671875" style="110" customWidth="1"/>
    <col min="2" max="2" width="55.88671875" style="110" customWidth="1"/>
    <col min="3" max="4" width="18.109375" style="110" customWidth="1"/>
    <col min="5" max="5" width="10.88671875" style="110" customWidth="1"/>
    <col min="6" max="6" width="16.88671875" style="110" customWidth="1"/>
    <col min="7" max="8" width="22.5546875" style="110" customWidth="1"/>
    <col min="9" max="10" width="16.88671875" style="110" customWidth="1"/>
    <col min="11" max="11" width="13.5546875" style="110" customWidth="1"/>
    <col min="12" max="12" width="3.109375" style="110" customWidth="1"/>
    <col min="13" max="13" width="14.88671875" style="110" customWidth="1"/>
    <col min="14" max="14" width="1.109375" style="110" customWidth="1"/>
    <col min="15" max="16384" width="8" style="110"/>
  </cols>
  <sheetData>
    <row r="1" spans="1:13" ht="15.75" customHeight="1" x14ac:dyDescent="0.25">
      <c r="B1" s="811" t="s">
        <v>1385</v>
      </c>
      <c r="C1" s="811"/>
      <c r="D1" s="811"/>
      <c r="H1" s="14" t="s">
        <v>2521</v>
      </c>
      <c r="J1" s="2"/>
      <c r="K1" s="2"/>
    </row>
    <row r="2" spans="1:13" ht="15.75" customHeight="1" x14ac:dyDescent="0.25">
      <c r="B2" s="138" t="s">
        <v>1386</v>
      </c>
      <c r="H2" s="14" t="s">
        <v>2522</v>
      </c>
      <c r="J2" s="2"/>
      <c r="K2" s="2"/>
    </row>
    <row r="3" spans="1:13" ht="15.75" customHeight="1" x14ac:dyDescent="0.25">
      <c r="B3" s="138" t="s">
        <v>62</v>
      </c>
      <c r="E3" s="125"/>
      <c r="F3" s="125"/>
      <c r="H3" s="14" t="s">
        <v>2144</v>
      </c>
      <c r="J3" s="2"/>
      <c r="K3" s="2"/>
    </row>
    <row r="4" spans="1:13" ht="13.2" x14ac:dyDescent="0.25">
      <c r="B4" s="2234"/>
      <c r="M4" s="136"/>
    </row>
    <row r="5" spans="1:13" ht="12.75" customHeight="1" thickBot="1" x14ac:dyDescent="0.3">
      <c r="B5" s="2446" t="s">
        <v>64</v>
      </c>
      <c r="L5" s="4"/>
    </row>
    <row r="6" spans="1:13" ht="34.200000000000003" x14ac:dyDescent="0.25">
      <c r="B6" s="1743" t="s">
        <v>65</v>
      </c>
      <c r="C6" s="1885" t="s">
        <v>1387</v>
      </c>
      <c r="D6" s="1886"/>
      <c r="E6" s="431" t="s">
        <v>305</v>
      </c>
      <c r="F6" s="1887" t="s">
        <v>124</v>
      </c>
      <c r="G6" s="1744" t="s">
        <v>2036</v>
      </c>
      <c r="H6" s="1665"/>
      <c r="I6" s="44"/>
    </row>
    <row r="7" spans="1:13" ht="15" x14ac:dyDescent="0.25">
      <c r="B7" s="1861"/>
      <c r="C7" s="1679" t="s">
        <v>1388</v>
      </c>
      <c r="D7" s="1721"/>
      <c r="E7" s="433" t="s">
        <v>2037</v>
      </c>
      <c r="F7" s="1827" t="s">
        <v>330</v>
      </c>
      <c r="G7" s="335" t="s">
        <v>330</v>
      </c>
      <c r="H7" s="331"/>
      <c r="I7" s="44"/>
    </row>
    <row r="8" spans="1:13" ht="21" customHeight="1" x14ac:dyDescent="0.25">
      <c r="A8" s="83"/>
      <c r="B8" s="1861"/>
      <c r="C8" s="1888" t="s">
        <v>1389</v>
      </c>
      <c r="D8" s="1807" t="s">
        <v>1390</v>
      </c>
      <c r="E8" s="92"/>
      <c r="F8" s="92" t="s">
        <v>2038</v>
      </c>
      <c r="G8" s="92" t="s">
        <v>1391</v>
      </c>
      <c r="H8" s="1746" t="s">
        <v>1392</v>
      </c>
      <c r="I8" s="44"/>
    </row>
    <row r="9" spans="1:13" ht="18" customHeight="1" thickBot="1" x14ac:dyDescent="0.3">
      <c r="B9" s="1862"/>
      <c r="C9" s="415" t="s">
        <v>1393</v>
      </c>
      <c r="D9" s="1472"/>
      <c r="E9" s="1821" t="s">
        <v>1394</v>
      </c>
      <c r="F9" s="1747" t="s">
        <v>73</v>
      </c>
      <c r="G9" s="1748" t="s">
        <v>73</v>
      </c>
      <c r="H9" s="345"/>
      <c r="I9" s="44"/>
    </row>
    <row r="10" spans="1:13" ht="18" customHeight="1" thickTop="1" x14ac:dyDescent="0.25">
      <c r="B10" s="1749" t="s">
        <v>1372</v>
      </c>
      <c r="C10" s="3751">
        <f>C11</f>
        <v>16500.469759395539</v>
      </c>
      <c r="D10" s="3752"/>
      <c r="E10" s="3751">
        <f>IF(SUM(C10)=0,"NA",(F10-SUM(G10:H10))/C10)</f>
        <v>3.7074216499301038E-2</v>
      </c>
      <c r="F10" s="3753">
        <f>F11</f>
        <v>609.45198819999996</v>
      </c>
      <c r="G10" s="3753" t="str">
        <f>G11</f>
        <v>IE</v>
      </c>
      <c r="H10" s="3754">
        <f>H11</f>
        <v>-2.29</v>
      </c>
      <c r="I10" s="44"/>
    </row>
    <row r="11" spans="1:13" ht="18" customHeight="1" x14ac:dyDescent="0.25">
      <c r="B11" s="1750" t="s">
        <v>1395</v>
      </c>
      <c r="C11" s="3755">
        <f>IF(SUM(C13:C16)=0,"NO",SUM(C13:C16))</f>
        <v>16500.469759395539</v>
      </c>
      <c r="D11" s="3755">
        <v>1</v>
      </c>
      <c r="E11" s="3755">
        <f>IF(SUM(C11)=0,"NA",(F11-SUM(G11:H11))/C11)</f>
        <v>3.7074216499301038E-2</v>
      </c>
      <c r="F11" s="3755">
        <f>IF(SUM(F13:F16)=0,"NO",SUM(F13:F16))</f>
        <v>609.45198819999996</v>
      </c>
      <c r="G11" s="3756" t="s">
        <v>2153</v>
      </c>
      <c r="H11" s="3757">
        <v>-2.29</v>
      </c>
      <c r="I11" s="44"/>
    </row>
    <row r="12" spans="1:13" ht="18" customHeight="1" x14ac:dyDescent="0.25">
      <c r="B12" s="1242" t="s">
        <v>1396</v>
      </c>
      <c r="C12" s="3758"/>
      <c r="D12" s="3759"/>
      <c r="E12" s="3760"/>
      <c r="F12" s="3759"/>
      <c r="G12" s="3759"/>
      <c r="H12" s="3761"/>
      <c r="I12" s="44"/>
    </row>
    <row r="13" spans="1:13" ht="18" customHeight="1" x14ac:dyDescent="0.25">
      <c r="B13" s="1751" t="s">
        <v>1397</v>
      </c>
      <c r="C13" s="3762">
        <v>8753.9448581738488</v>
      </c>
      <c r="D13" s="3762">
        <v>1</v>
      </c>
      <c r="E13" s="3755" t="s">
        <v>2153</v>
      </c>
      <c r="F13" s="3762">
        <v>20.777201300000002</v>
      </c>
      <c r="G13" s="3763"/>
      <c r="H13" s="3764"/>
      <c r="I13" s="44"/>
    </row>
    <row r="14" spans="1:13" ht="18" customHeight="1" x14ac:dyDescent="0.25">
      <c r="B14" s="1751" t="s">
        <v>1398</v>
      </c>
      <c r="C14" s="3762">
        <v>3149.6344766999932</v>
      </c>
      <c r="D14" s="3762">
        <v>1</v>
      </c>
      <c r="E14" s="3755" t="s">
        <v>2153</v>
      </c>
      <c r="F14" s="3762">
        <v>224.86254539999999</v>
      </c>
      <c r="G14" s="3763"/>
      <c r="H14" s="3764"/>
      <c r="I14" s="44"/>
    </row>
    <row r="15" spans="1:13" ht="18" customHeight="1" x14ac:dyDescent="0.25">
      <c r="B15" s="1751" t="s">
        <v>1399</v>
      </c>
      <c r="C15" s="3762">
        <v>4596.8904245216963</v>
      </c>
      <c r="D15" s="3762">
        <v>1</v>
      </c>
      <c r="E15" s="3755" t="s">
        <v>2153</v>
      </c>
      <c r="F15" s="3762">
        <v>363.81224150000003</v>
      </c>
      <c r="G15" s="3763"/>
      <c r="H15" s="3764"/>
      <c r="I15" s="44"/>
    </row>
    <row r="16" spans="1:13" ht="18" customHeight="1" x14ac:dyDescent="0.25">
      <c r="B16" s="1751" t="s">
        <v>1400</v>
      </c>
      <c r="C16" s="3762" t="s">
        <v>2147</v>
      </c>
      <c r="D16" s="3762" t="s">
        <v>2147</v>
      </c>
      <c r="E16" s="3755" t="str">
        <f>IF(SUM(C16)=0,"NA",F16/C16)</f>
        <v>NA</v>
      </c>
      <c r="F16" s="3762" t="s">
        <v>2147</v>
      </c>
      <c r="G16" s="3763"/>
      <c r="H16" s="3764"/>
      <c r="I16" s="44"/>
    </row>
    <row r="17" spans="2:10" ht="18" customHeight="1" x14ac:dyDescent="0.25">
      <c r="B17" s="1750" t="s">
        <v>1401</v>
      </c>
      <c r="C17" s="276" t="s">
        <v>2146</v>
      </c>
      <c r="D17" s="276" t="s">
        <v>2147</v>
      </c>
      <c r="E17" s="276" t="s">
        <v>2146</v>
      </c>
      <c r="F17" s="276" t="s">
        <v>2146</v>
      </c>
      <c r="G17" s="1890" t="s">
        <v>2146</v>
      </c>
      <c r="H17" s="1891" t="s">
        <v>2146</v>
      </c>
      <c r="I17" s="44"/>
    </row>
    <row r="18" spans="2:10" ht="18" customHeight="1" x14ac:dyDescent="0.25">
      <c r="B18" s="1242" t="s">
        <v>1396</v>
      </c>
      <c r="C18" s="2291"/>
      <c r="D18" s="2292"/>
      <c r="E18" s="2286"/>
      <c r="F18" s="2292"/>
      <c r="G18" s="2292"/>
      <c r="H18" s="2293"/>
      <c r="I18" s="44"/>
    </row>
    <row r="19" spans="2:10" ht="18" customHeight="1" x14ac:dyDescent="0.25">
      <c r="B19" s="1751" t="s">
        <v>1397</v>
      </c>
      <c r="C19" s="1889" t="s">
        <v>2146</v>
      </c>
      <c r="D19" s="1889" t="s">
        <v>2147</v>
      </c>
      <c r="E19" s="276" t="str">
        <f>IF(SUM(C19)=0,"NA",F19/C19)</f>
        <v>NA</v>
      </c>
      <c r="F19" s="1889" t="s">
        <v>2146</v>
      </c>
      <c r="G19" s="1893"/>
      <c r="H19" s="1894"/>
      <c r="I19" s="44"/>
    </row>
    <row r="20" spans="2:10" ht="18" customHeight="1" x14ac:dyDescent="0.25">
      <c r="B20" s="1751" t="s">
        <v>1398</v>
      </c>
      <c r="C20" s="1889" t="s">
        <v>2146</v>
      </c>
      <c r="D20" s="1889" t="s">
        <v>2147</v>
      </c>
      <c r="E20" s="276" t="str">
        <f>IF(SUM(C20)=0,"NA",F20/C20)</f>
        <v>NA</v>
      </c>
      <c r="F20" s="1889" t="s">
        <v>2146</v>
      </c>
      <c r="G20" s="1893"/>
      <c r="H20" s="1894"/>
      <c r="I20" s="44"/>
    </row>
    <row r="21" spans="2:10" ht="18" customHeight="1" x14ac:dyDescent="0.25">
      <c r="B21" s="1751" t="s">
        <v>1399</v>
      </c>
      <c r="C21" s="1889" t="s">
        <v>2146</v>
      </c>
      <c r="D21" s="1889" t="s">
        <v>2147</v>
      </c>
      <c r="E21" s="276" t="str">
        <f>IF(SUM(C21)=0,"NA",F21/C21)</f>
        <v>NA</v>
      </c>
      <c r="F21" s="1889" t="s">
        <v>2146</v>
      </c>
      <c r="G21" s="1893"/>
      <c r="H21" s="1894"/>
      <c r="I21" s="44"/>
    </row>
    <row r="22" spans="2:10" ht="18" customHeight="1" x14ac:dyDescent="0.25">
      <c r="B22" s="1751" t="s">
        <v>1400</v>
      </c>
      <c r="C22" s="1889" t="s">
        <v>2146</v>
      </c>
      <c r="D22" s="1889" t="s">
        <v>2147</v>
      </c>
      <c r="E22" s="276" t="str">
        <f>IF(SUM(C22)=0,"NA",F22/C22)</f>
        <v>NA</v>
      </c>
      <c r="F22" s="1889" t="s">
        <v>2146</v>
      </c>
      <c r="G22" s="1893"/>
      <c r="H22" s="1894"/>
      <c r="I22" s="44"/>
    </row>
    <row r="23" spans="2:10" ht="18" customHeight="1" x14ac:dyDescent="0.25">
      <c r="B23" s="1750" t="s">
        <v>1402</v>
      </c>
      <c r="C23" s="276" t="s">
        <v>2146</v>
      </c>
      <c r="D23" s="276" t="s">
        <v>2147</v>
      </c>
      <c r="E23" s="276" t="s">
        <v>2146</v>
      </c>
      <c r="F23" s="276" t="s">
        <v>2146</v>
      </c>
      <c r="G23" s="1890" t="s">
        <v>2146</v>
      </c>
      <c r="H23" s="1891" t="s">
        <v>2146</v>
      </c>
      <c r="I23" s="44"/>
    </row>
    <row r="24" spans="2:10" ht="18" customHeight="1" x14ac:dyDescent="0.25">
      <c r="B24" s="1242" t="s">
        <v>1396</v>
      </c>
      <c r="C24" s="2291"/>
      <c r="D24" s="2292"/>
      <c r="E24" s="2286"/>
      <c r="F24" s="2292"/>
      <c r="G24" s="2292"/>
      <c r="H24" s="2293"/>
      <c r="I24" s="44"/>
    </row>
    <row r="25" spans="2:10" ht="18" customHeight="1" x14ac:dyDescent="0.25">
      <c r="B25" s="1751" t="s">
        <v>1397</v>
      </c>
      <c r="C25" s="1889" t="s">
        <v>2146</v>
      </c>
      <c r="D25" s="1889" t="s">
        <v>2147</v>
      </c>
      <c r="E25" s="276" t="str">
        <f>IF(SUM(C25)=0,"NA",F25/C25)</f>
        <v>NA</v>
      </c>
      <c r="F25" s="1889" t="s">
        <v>2146</v>
      </c>
      <c r="G25" s="1893"/>
      <c r="H25" s="1894"/>
      <c r="I25" s="44"/>
    </row>
    <row r="26" spans="2:10" ht="18" customHeight="1" x14ac:dyDescent="0.25">
      <c r="B26" s="1751" t="s">
        <v>1398</v>
      </c>
      <c r="C26" s="1889" t="s">
        <v>2146</v>
      </c>
      <c r="D26" s="1889" t="s">
        <v>2147</v>
      </c>
      <c r="E26" s="276" t="str">
        <f>IF(SUM(C26)=0,"NA",F26/C26)</f>
        <v>NA</v>
      </c>
      <c r="F26" s="1889" t="s">
        <v>2146</v>
      </c>
      <c r="G26" s="1893"/>
      <c r="H26" s="1894"/>
      <c r="I26" s="44"/>
    </row>
    <row r="27" spans="2:10" ht="18" customHeight="1" x14ac:dyDescent="0.25">
      <c r="B27" s="1751" t="s">
        <v>1399</v>
      </c>
      <c r="C27" s="1889" t="s">
        <v>2146</v>
      </c>
      <c r="D27" s="1889" t="s">
        <v>2147</v>
      </c>
      <c r="E27" s="276" t="str">
        <f>IF(SUM(C27)=0,"NA",F27/C27)</f>
        <v>NA</v>
      </c>
      <c r="F27" s="1889" t="s">
        <v>2146</v>
      </c>
      <c r="G27" s="1893"/>
      <c r="H27" s="1894"/>
      <c r="I27" s="44"/>
      <c r="J27" s="1509"/>
    </row>
    <row r="28" spans="2:10" ht="18" customHeight="1" x14ac:dyDescent="0.25">
      <c r="B28" s="1751" t="s">
        <v>1400</v>
      </c>
      <c r="C28" s="1889" t="s">
        <v>2146</v>
      </c>
      <c r="D28" s="1889" t="s">
        <v>2147</v>
      </c>
      <c r="E28" s="276" t="str">
        <f>IF(SUM(C28)=0,"NA",F28/C28)</f>
        <v>NA</v>
      </c>
      <c r="F28" s="1889" t="s">
        <v>2146</v>
      </c>
      <c r="G28" s="1893"/>
      <c r="H28" s="1894"/>
      <c r="I28" s="44"/>
    </row>
    <row r="29" spans="2:10" ht="18" customHeight="1" x14ac:dyDescent="0.25">
      <c r="B29" s="1749" t="s">
        <v>1373</v>
      </c>
      <c r="C29" s="276" t="s">
        <v>2146</v>
      </c>
      <c r="D29" s="276" t="s">
        <v>2147</v>
      </c>
      <c r="E29" s="276" t="s">
        <v>2146</v>
      </c>
      <c r="F29" s="276" t="s">
        <v>2146</v>
      </c>
      <c r="G29" s="1890" t="s">
        <v>2146</v>
      </c>
      <c r="H29" s="1891" t="s">
        <v>2146</v>
      </c>
      <c r="I29" s="44"/>
    </row>
    <row r="30" spans="2:10" ht="18" customHeight="1" x14ac:dyDescent="0.25">
      <c r="B30" s="1242" t="s">
        <v>1396</v>
      </c>
      <c r="C30" s="2291"/>
      <c r="D30" s="2292"/>
      <c r="E30" s="2286"/>
      <c r="F30" s="2292"/>
      <c r="G30" s="2292"/>
      <c r="H30" s="2293"/>
      <c r="I30" s="44"/>
    </row>
    <row r="31" spans="2:10" ht="18" customHeight="1" x14ac:dyDescent="0.25">
      <c r="B31" s="1751" t="s">
        <v>1397</v>
      </c>
      <c r="C31" s="1889" t="s">
        <v>2146</v>
      </c>
      <c r="D31" s="1889" t="s">
        <v>2147</v>
      </c>
      <c r="E31" s="276" t="str">
        <f>IF(SUM(C31)=0,"NA",F31/C31)</f>
        <v>NA</v>
      </c>
      <c r="F31" s="1889" t="s">
        <v>2146</v>
      </c>
      <c r="G31" s="1893"/>
      <c r="H31" s="1894"/>
      <c r="I31" s="44"/>
    </row>
    <row r="32" spans="2:10" ht="18" customHeight="1" x14ac:dyDescent="0.25">
      <c r="B32" s="1751" t="s">
        <v>1398</v>
      </c>
      <c r="C32" s="1889" t="s">
        <v>2146</v>
      </c>
      <c r="D32" s="1889" t="s">
        <v>2147</v>
      </c>
      <c r="E32" s="276" t="str">
        <f>IF(SUM(C32)=0,"NA",F32/C32)</f>
        <v>NA</v>
      </c>
      <c r="F32" s="1889" t="s">
        <v>2146</v>
      </c>
      <c r="G32" s="1893"/>
      <c r="H32" s="1894"/>
      <c r="I32" s="44"/>
    </row>
    <row r="33" spans="2:12" ht="18" customHeight="1" x14ac:dyDescent="0.25">
      <c r="B33" s="1751" t="s">
        <v>1399</v>
      </c>
      <c r="C33" s="1889" t="s">
        <v>2146</v>
      </c>
      <c r="D33" s="1889" t="s">
        <v>2147</v>
      </c>
      <c r="E33" s="276" t="str">
        <f>IF(SUM(C33)=0,"NA",F33/C33)</f>
        <v>NA</v>
      </c>
      <c r="F33" s="1889" t="s">
        <v>2146</v>
      </c>
      <c r="G33" s="1893"/>
      <c r="H33" s="1894"/>
      <c r="I33" s="44"/>
    </row>
    <row r="34" spans="2:12" ht="18" customHeight="1" x14ac:dyDescent="0.25">
      <c r="B34" s="1751" t="s">
        <v>1400</v>
      </c>
      <c r="C34" s="1889" t="s">
        <v>2146</v>
      </c>
      <c r="D34" s="1889" t="s">
        <v>2147</v>
      </c>
      <c r="E34" s="276" t="str">
        <f>IF(SUM(C34)=0,"NA",F34/C34)</f>
        <v>NA</v>
      </c>
      <c r="F34" s="1889" t="s">
        <v>2146</v>
      </c>
      <c r="G34" s="1893"/>
      <c r="H34" s="1894"/>
      <c r="I34" s="44"/>
    </row>
    <row r="35" spans="2:12" ht="18" customHeight="1" x14ac:dyDescent="0.25">
      <c r="B35" s="1749" t="s">
        <v>1374</v>
      </c>
      <c r="C35" s="276" t="s">
        <v>2146</v>
      </c>
      <c r="D35" s="276" t="s">
        <v>2147</v>
      </c>
      <c r="E35" s="276" t="s">
        <v>2146</v>
      </c>
      <c r="F35" s="276" t="s">
        <v>2146</v>
      </c>
      <c r="G35" s="1895" t="s">
        <v>2146</v>
      </c>
      <c r="H35" s="1896" t="s">
        <v>2146</v>
      </c>
      <c r="I35" s="44"/>
    </row>
    <row r="36" spans="2:12" ht="18" customHeight="1" x14ac:dyDescent="0.25">
      <c r="B36" s="1242" t="s">
        <v>1396</v>
      </c>
      <c r="C36" s="2291"/>
      <c r="D36" s="2292"/>
      <c r="E36" s="2286"/>
      <c r="F36" s="2292"/>
      <c r="G36" s="2292"/>
      <c r="H36" s="2293"/>
      <c r="I36" s="44"/>
    </row>
    <row r="37" spans="2:12" ht="18" customHeight="1" x14ac:dyDescent="0.25">
      <c r="B37" s="1751" t="s">
        <v>1397</v>
      </c>
      <c r="C37" s="1511" t="s">
        <v>2146</v>
      </c>
      <c r="D37" s="1511" t="s">
        <v>2147</v>
      </c>
      <c r="E37" s="118" t="str">
        <f>IF(SUM(C37)=0,"NA",F37/C37)</f>
        <v>NA</v>
      </c>
      <c r="F37" s="1511" t="s">
        <v>2146</v>
      </c>
      <c r="G37" s="1510"/>
      <c r="H37" s="1547"/>
      <c r="I37" s="44"/>
    </row>
    <row r="38" spans="2:12" ht="18" customHeight="1" x14ac:dyDescent="0.25">
      <c r="B38" s="1751" t="s">
        <v>1398</v>
      </c>
      <c r="C38" s="1511" t="s">
        <v>2146</v>
      </c>
      <c r="D38" s="1511" t="s">
        <v>2147</v>
      </c>
      <c r="E38" s="118" t="str">
        <f>IF(SUM(C38)=0,"NA",F38/C38)</f>
        <v>NA</v>
      </c>
      <c r="F38" s="1511" t="s">
        <v>2146</v>
      </c>
      <c r="G38" s="1510"/>
      <c r="H38" s="1547"/>
      <c r="I38" s="44"/>
    </row>
    <row r="39" spans="2:12" ht="18" customHeight="1" x14ac:dyDescent="0.25">
      <c r="B39" s="1751" t="s">
        <v>1399</v>
      </c>
      <c r="C39" s="1511" t="s">
        <v>2146</v>
      </c>
      <c r="D39" s="1511" t="s">
        <v>2147</v>
      </c>
      <c r="E39" s="118" t="str">
        <f>IF(SUM(C39)=0,"NA",F39/C39)</f>
        <v>NA</v>
      </c>
      <c r="F39" s="1511" t="s">
        <v>2146</v>
      </c>
      <c r="G39" s="1510"/>
      <c r="H39" s="1547"/>
      <c r="I39" s="44"/>
    </row>
    <row r="40" spans="2:12" ht="18" customHeight="1" thickBot="1" x14ac:dyDescent="0.3">
      <c r="B40" s="1858" t="s">
        <v>1400</v>
      </c>
      <c r="C40" s="1512" t="s">
        <v>2146</v>
      </c>
      <c r="D40" s="1512" t="s">
        <v>2147</v>
      </c>
      <c r="E40" s="56" t="str">
        <f>IF(SUM(C40)=0,"NA",F40/C40)</f>
        <v>NA</v>
      </c>
      <c r="F40" s="1512" t="s">
        <v>2146</v>
      </c>
      <c r="G40" s="1513"/>
      <c r="H40" s="1548"/>
      <c r="I40" s="44"/>
    </row>
    <row r="41" spans="2:12" ht="7.5" customHeight="1" x14ac:dyDescent="0.25">
      <c r="B41" s="1514"/>
      <c r="C41" s="1514"/>
      <c r="D41" s="1514"/>
      <c r="E41" s="1514"/>
      <c r="F41" s="1514"/>
      <c r="G41" s="1514"/>
      <c r="H41" s="1514"/>
      <c r="I41" s="1514"/>
      <c r="J41" s="1514"/>
      <c r="K41" s="1514"/>
      <c r="L41" s="44"/>
    </row>
    <row r="42" spans="2:12" ht="13.2" x14ac:dyDescent="0.25">
      <c r="B42" s="1515"/>
      <c r="L42" s="44"/>
    </row>
    <row r="43" spans="2:12" ht="13.2" x14ac:dyDescent="0.25">
      <c r="B43" s="1516"/>
      <c r="C43" s="159"/>
      <c r="D43" s="159"/>
      <c r="E43" s="159"/>
      <c r="F43" s="159"/>
      <c r="G43" s="159"/>
      <c r="H43" s="159"/>
      <c r="I43" s="159"/>
      <c r="J43" s="159"/>
      <c r="K43" s="159"/>
      <c r="L43" s="44"/>
    </row>
    <row r="44" spans="2:12" ht="13.2" x14ac:dyDescent="0.25">
      <c r="B44" s="1515"/>
      <c r="L44" s="44"/>
    </row>
    <row r="45" spans="2:12" ht="13.2" x14ac:dyDescent="0.25">
      <c r="L45" s="44"/>
    </row>
    <row r="46" spans="2:12" ht="14.4" x14ac:dyDescent="0.25">
      <c r="B46" s="312"/>
      <c r="C46" s="312"/>
      <c r="D46" s="312"/>
      <c r="E46" s="312"/>
      <c r="F46" s="312"/>
      <c r="G46" s="312"/>
      <c r="L46" s="44"/>
    </row>
    <row r="47" spans="2:12" ht="14.4" x14ac:dyDescent="0.25">
      <c r="B47" s="312"/>
      <c r="C47" s="312"/>
      <c r="L47" s="44"/>
    </row>
    <row r="48" spans="2:12" ht="14.4" x14ac:dyDescent="0.3">
      <c r="B48" s="1517"/>
      <c r="C48" s="139"/>
      <c r="D48" s="139"/>
      <c r="E48" s="139"/>
      <c r="F48" s="139"/>
      <c r="G48" s="139"/>
      <c r="H48" s="139"/>
      <c r="I48" s="139"/>
      <c r="J48" s="139"/>
      <c r="K48" s="139"/>
      <c r="L48" s="44"/>
    </row>
    <row r="49" spans="2:12" ht="14.4" x14ac:dyDescent="0.3">
      <c r="B49" s="1517"/>
      <c r="C49" s="139"/>
      <c r="D49" s="139"/>
      <c r="E49" s="139"/>
      <c r="F49" s="139"/>
      <c r="G49" s="139"/>
      <c r="H49" s="139"/>
      <c r="I49" s="139"/>
      <c r="J49" s="139"/>
      <c r="K49" s="139"/>
      <c r="L49" s="44"/>
    </row>
    <row r="50" spans="2:12" ht="14.4" x14ac:dyDescent="0.25">
      <c r="B50" s="1518"/>
      <c r="L50" s="44"/>
    </row>
    <row r="51" spans="2:12" ht="13.2" x14ac:dyDescent="0.25"/>
    <row r="52" spans="2:12" ht="13.2" x14ac:dyDescent="0.25"/>
    <row r="53" spans="2:12" ht="13.8" thickBot="1" x14ac:dyDescent="0.3"/>
    <row r="54" spans="2:12" ht="13.2" x14ac:dyDescent="0.25">
      <c r="B54" s="991" t="s">
        <v>352</v>
      </c>
      <c r="C54" s="992"/>
      <c r="D54" s="992"/>
      <c r="E54" s="992"/>
      <c r="F54" s="992"/>
      <c r="G54" s="992"/>
      <c r="H54" s="993"/>
      <c r="J54" s="4"/>
    </row>
    <row r="55" spans="2:12" ht="13.2" x14ac:dyDescent="0.25">
      <c r="B55" s="186"/>
      <c r="C55" s="1519"/>
      <c r="D55" s="1519"/>
      <c r="E55" s="1519"/>
      <c r="F55" s="1519"/>
      <c r="G55" s="1519"/>
      <c r="H55" s="187"/>
      <c r="J55" s="4"/>
    </row>
    <row r="56" spans="2:12" ht="13.2" x14ac:dyDescent="0.25">
      <c r="B56" s="186"/>
      <c r="C56" s="1519"/>
      <c r="D56" s="1519"/>
      <c r="E56" s="1519"/>
      <c r="F56" s="1519"/>
      <c r="G56" s="1519"/>
      <c r="H56" s="187"/>
      <c r="J56" s="4"/>
    </row>
    <row r="57" spans="2:12" ht="13.2" x14ac:dyDescent="0.25">
      <c r="B57" s="186"/>
      <c r="C57" s="1519"/>
      <c r="D57" s="1519"/>
      <c r="E57" s="1519"/>
      <c r="F57" s="1519"/>
      <c r="G57" s="1519"/>
      <c r="H57" s="187"/>
      <c r="J57" s="4"/>
    </row>
    <row r="58" spans="2:12" ht="13.2" x14ac:dyDescent="0.25">
      <c r="B58" s="186"/>
      <c r="C58" s="1519"/>
      <c r="D58" s="1519"/>
      <c r="E58" s="1519"/>
      <c r="F58" s="1519"/>
      <c r="G58" s="1519"/>
      <c r="H58" s="187"/>
      <c r="J58" s="4"/>
    </row>
    <row r="59" spans="2:12" ht="13.2" x14ac:dyDescent="0.25">
      <c r="B59" s="186"/>
      <c r="C59" s="1519"/>
      <c r="D59" s="1519"/>
      <c r="E59" s="1519"/>
      <c r="F59" s="1519"/>
      <c r="G59" s="1519"/>
      <c r="H59" s="187"/>
      <c r="J59" s="4"/>
    </row>
    <row r="60" spans="2:12" ht="13.2" x14ac:dyDescent="0.25">
      <c r="B60" s="186"/>
      <c r="C60" s="1519"/>
      <c r="D60" s="1519"/>
      <c r="E60" s="1519"/>
      <c r="F60" s="1519"/>
      <c r="G60" s="1519"/>
      <c r="H60" s="187"/>
      <c r="J60" s="4"/>
    </row>
    <row r="61" spans="2:12" ht="13.2" x14ac:dyDescent="0.25">
      <c r="B61" s="186"/>
      <c r="C61" s="1519"/>
      <c r="D61" s="1519"/>
      <c r="E61" s="1519"/>
      <c r="F61" s="1519"/>
      <c r="G61" s="1519"/>
      <c r="H61" s="187"/>
      <c r="J61" s="4"/>
    </row>
    <row r="62" spans="2:12" ht="13.2" x14ac:dyDescent="0.25">
      <c r="B62" s="188"/>
      <c r="C62" s="189"/>
      <c r="D62" s="189"/>
      <c r="E62" s="189"/>
      <c r="F62" s="189"/>
      <c r="G62" s="189"/>
      <c r="H62" s="190"/>
      <c r="J62" s="4"/>
    </row>
    <row r="63" spans="2:12" ht="13.8" thickBot="1" x14ac:dyDescent="0.3">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09375" defaultRowHeight="13.2" x14ac:dyDescent="0.25"/>
  <cols>
    <col min="1" max="1" width="1.88671875" style="110" customWidth="1"/>
    <col min="2" max="2" width="35" style="148" customWidth="1"/>
    <col min="3" max="3" width="26.88671875" style="110" customWidth="1"/>
    <col min="4" max="4" width="9.109375" style="110"/>
    <col min="5" max="5" width="10.88671875" style="110" customWidth="1"/>
    <col min="6" max="7" width="10" style="110" customWidth="1"/>
    <col min="8" max="9" width="23.88671875" style="110" customWidth="1"/>
    <col min="10" max="16384" width="9.109375" style="110"/>
  </cols>
  <sheetData>
    <row r="1" spans="1:9" ht="15.6" x14ac:dyDescent="0.3">
      <c r="B1" s="811" t="s">
        <v>1403</v>
      </c>
      <c r="C1" s="811"/>
      <c r="D1" s="811"/>
      <c r="E1" s="811"/>
      <c r="H1" s="139"/>
      <c r="I1" s="14" t="s">
        <v>2521</v>
      </c>
    </row>
    <row r="2" spans="1:9" ht="15.6" x14ac:dyDescent="0.25">
      <c r="B2" s="811" t="s">
        <v>1404</v>
      </c>
      <c r="C2" s="811"/>
      <c r="I2" s="14" t="s">
        <v>2522</v>
      </c>
    </row>
    <row r="3" spans="1:9" ht="15.6" x14ac:dyDescent="0.25">
      <c r="B3" s="138" t="s">
        <v>62</v>
      </c>
      <c r="I3" s="14" t="s">
        <v>2144</v>
      </c>
    </row>
    <row r="4" spans="1:9" ht="15.6" hidden="1" x14ac:dyDescent="0.25">
      <c r="B4" s="138"/>
      <c r="I4" s="2"/>
    </row>
    <row r="5" spans="1:9" ht="13.8" thickBot="1" x14ac:dyDescent="0.3">
      <c r="B5" s="2458" t="s">
        <v>64</v>
      </c>
    </row>
    <row r="6" spans="1:9" ht="34.200000000000003" x14ac:dyDescent="0.25">
      <c r="B6" s="2459" t="s">
        <v>65</v>
      </c>
      <c r="C6" s="1897" t="s">
        <v>1387</v>
      </c>
      <c r="D6" s="1898" t="s">
        <v>1405</v>
      </c>
      <c r="E6" s="1899"/>
      <c r="F6" s="1752" t="s">
        <v>124</v>
      </c>
      <c r="G6" s="1753"/>
      <c r="H6" s="1754" t="s">
        <v>2036</v>
      </c>
      <c r="I6" s="1755"/>
    </row>
    <row r="7" spans="1:9" ht="15" x14ac:dyDescent="0.25">
      <c r="B7" s="1901"/>
      <c r="C7" s="1900"/>
      <c r="D7" s="1900" t="s">
        <v>2037</v>
      </c>
      <c r="E7" s="1765" t="s">
        <v>68</v>
      </c>
      <c r="F7" s="1756" t="s">
        <v>2039</v>
      </c>
      <c r="G7" s="1757" t="s">
        <v>68</v>
      </c>
      <c r="H7" s="1758" t="s">
        <v>67</v>
      </c>
      <c r="I7" s="1759"/>
    </row>
    <row r="8" spans="1:9" ht="28.2" x14ac:dyDescent="0.25">
      <c r="A8" s="83"/>
      <c r="B8" s="1901"/>
      <c r="C8" s="1760" t="s">
        <v>1406</v>
      </c>
      <c r="D8" s="1760"/>
      <c r="E8" s="1768"/>
      <c r="F8" s="1760"/>
      <c r="G8" s="1761"/>
      <c r="H8" s="92" t="s">
        <v>1407</v>
      </c>
      <c r="I8" s="1746" t="s">
        <v>1408</v>
      </c>
    </row>
    <row r="9" spans="1:9" ht="18" customHeight="1" thickBot="1" x14ac:dyDescent="0.3">
      <c r="B9" s="1902"/>
      <c r="C9" s="1903" t="s">
        <v>1409</v>
      </c>
      <c r="D9" s="1904" t="s">
        <v>1410</v>
      </c>
      <c r="E9" s="1904"/>
      <c r="F9" s="1905" t="s">
        <v>73</v>
      </c>
      <c r="G9" s="1906"/>
      <c r="H9" s="1906"/>
      <c r="I9" s="1907"/>
    </row>
    <row r="10" spans="1:9" ht="18" customHeight="1" thickTop="1" x14ac:dyDescent="0.25">
      <c r="B10" s="1908" t="s">
        <v>1376</v>
      </c>
      <c r="C10" s="1909">
        <f>IF(SUM(C11:C12)=0,"NO",SUM(C11:C12))</f>
        <v>467.02301731999302</v>
      </c>
      <c r="D10" s="1913">
        <f>IF(SUM($C10)=0,"NA",F10*1000/$C10)</f>
        <v>0.74999999999999989</v>
      </c>
      <c r="E10" s="1913">
        <f>IF(SUM($C10)=0,"NA",G10*1000/$C10)</f>
        <v>9.5999999999999988E-2</v>
      </c>
      <c r="F10" s="1909">
        <f>IF(SUM(F11:F12)=0,"NO",SUM(F11:F12))</f>
        <v>0.35026726298999472</v>
      </c>
      <c r="G10" s="1909">
        <f>IF(SUM(G11:G12)=0,"NO",SUM(G11:G12))</f>
        <v>4.4834209662719324E-2</v>
      </c>
      <c r="H10" s="1910"/>
      <c r="I10" s="1911"/>
    </row>
    <row r="11" spans="1:9" ht="18" customHeight="1" x14ac:dyDescent="0.25">
      <c r="B11" s="1526" t="s">
        <v>1411</v>
      </c>
      <c r="C11" s="1912">
        <v>467.02301731999302</v>
      </c>
      <c r="D11" s="1913">
        <f>IF(SUM($C11)=0,"NA",F11*1000/$C11)</f>
        <v>0.74999999999999989</v>
      </c>
      <c r="E11" s="1913">
        <f>IF(SUM($C11)=0,"NA",G11*1000/$C11)</f>
        <v>9.5999999999999988E-2</v>
      </c>
      <c r="F11" s="1912">
        <v>0.35026726298999472</v>
      </c>
      <c r="G11" s="1912">
        <v>4.4834209662719324E-2</v>
      </c>
      <c r="H11" s="1914"/>
      <c r="I11" s="1915"/>
    </row>
    <row r="12" spans="1:9" ht="18" customHeight="1" x14ac:dyDescent="0.25">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5">
      <c r="B13" s="2875" t="s">
        <v>2147</v>
      </c>
      <c r="C13" s="1912" t="s">
        <v>2146</v>
      </c>
      <c r="D13" s="1913" t="str">
        <f t="shared" si="0"/>
        <v>NA</v>
      </c>
      <c r="E13" s="1913" t="str">
        <f t="shared" si="1"/>
        <v>NA</v>
      </c>
      <c r="F13" s="1912" t="s">
        <v>2146</v>
      </c>
      <c r="G13" s="1912" t="s">
        <v>2146</v>
      </c>
      <c r="H13" s="1918"/>
      <c r="I13" s="1917"/>
    </row>
    <row r="14" spans="1:9" ht="32.25" customHeight="1" x14ac:dyDescent="0.25">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5">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5">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3">
      <c r="B17" s="2879" t="s">
        <v>2147</v>
      </c>
      <c r="C17" s="141" t="s">
        <v>2146</v>
      </c>
      <c r="D17" s="2880" t="str">
        <f t="shared" si="0"/>
        <v>NA</v>
      </c>
      <c r="E17" s="2880" t="str">
        <f t="shared" si="1"/>
        <v>NA</v>
      </c>
      <c r="F17" s="141" t="s">
        <v>2146</v>
      </c>
      <c r="G17" s="141" t="s">
        <v>2146</v>
      </c>
      <c r="H17" s="141" t="s">
        <v>2146</v>
      </c>
      <c r="I17" s="155" t="s">
        <v>2146</v>
      </c>
    </row>
    <row r="19" spans="2:10" ht="14.4" x14ac:dyDescent="0.25">
      <c r="B19" s="1527"/>
      <c r="C19"/>
      <c r="D19"/>
      <c r="E19"/>
      <c r="F19"/>
      <c r="G19"/>
      <c r="H19"/>
      <c r="I19"/>
    </row>
    <row r="20" spans="2:10" ht="14.4" x14ac:dyDescent="0.25">
      <c r="B20" s="1517"/>
    </row>
    <row r="21" spans="2:10" ht="14.4" x14ac:dyDescent="0.3">
      <c r="B21" s="1517"/>
      <c r="C21" s="139"/>
      <c r="D21" s="139"/>
      <c r="E21" s="139"/>
      <c r="F21" s="139"/>
      <c r="G21" s="139"/>
      <c r="H21" s="139"/>
      <c r="I21" s="139"/>
      <c r="J21" s="139"/>
    </row>
    <row r="22" spans="2:10" ht="14.4" x14ac:dyDescent="0.3">
      <c r="B22" s="1517"/>
      <c r="C22" s="139"/>
      <c r="D22" s="139"/>
      <c r="E22" s="139"/>
      <c r="F22" s="139"/>
      <c r="G22" s="139"/>
      <c r="H22" s="139"/>
      <c r="I22" s="139"/>
      <c r="J22" s="139"/>
    </row>
    <row r="23" spans="2:10" ht="14.4" x14ac:dyDescent="0.3">
      <c r="B23" s="1517"/>
      <c r="C23" s="139"/>
      <c r="D23" s="139"/>
      <c r="E23" s="139"/>
      <c r="F23" s="139"/>
      <c r="G23" s="139"/>
      <c r="H23" s="139"/>
      <c r="I23" s="139"/>
      <c r="J23" s="139"/>
    </row>
    <row r="24" spans="2:10" ht="14.4" x14ac:dyDescent="0.3">
      <c r="B24" s="1517"/>
      <c r="C24" s="139"/>
      <c r="D24" s="139"/>
      <c r="E24" s="139"/>
      <c r="F24" s="139"/>
      <c r="G24" s="139"/>
      <c r="H24" s="139"/>
      <c r="I24" s="139"/>
      <c r="J24" s="139"/>
    </row>
    <row r="25" spans="2:10" ht="14.4" x14ac:dyDescent="0.3">
      <c r="B25" s="1517"/>
      <c r="C25" s="139"/>
      <c r="D25" s="139"/>
      <c r="E25" s="139"/>
      <c r="F25" s="139"/>
      <c r="G25" s="139"/>
      <c r="H25" s="139"/>
      <c r="I25" s="139"/>
      <c r="J25" s="139"/>
    </row>
    <row r="26" spans="2:10" ht="15" thickBot="1" x14ac:dyDescent="0.35">
      <c r="B26" s="1517"/>
      <c r="C26" s="139"/>
      <c r="D26" s="139"/>
      <c r="E26" s="139"/>
      <c r="F26" s="139"/>
      <c r="G26" s="139"/>
      <c r="H26" s="139"/>
      <c r="I26" s="139"/>
      <c r="J26" s="139"/>
    </row>
    <row r="27" spans="2:10" x14ac:dyDescent="0.25">
      <c r="B27" s="183" t="s">
        <v>352</v>
      </c>
      <c r="C27" s="184"/>
      <c r="D27" s="184"/>
      <c r="E27" s="184"/>
      <c r="F27" s="184"/>
      <c r="G27" s="184"/>
      <c r="H27" s="184"/>
      <c r="I27" s="185"/>
    </row>
    <row r="28" spans="2:10" x14ac:dyDescent="0.25">
      <c r="B28" s="946"/>
      <c r="C28" s="1528"/>
      <c r="D28" s="1528"/>
      <c r="E28" s="1528"/>
      <c r="F28" s="1528"/>
      <c r="G28" s="1528"/>
      <c r="H28" s="1528"/>
      <c r="I28" s="947"/>
    </row>
    <row r="29" spans="2:10" x14ac:dyDescent="0.25">
      <c r="B29" s="946"/>
      <c r="C29" s="1528"/>
      <c r="D29" s="1528"/>
      <c r="E29" s="1528"/>
      <c r="F29" s="1528"/>
      <c r="G29" s="1528"/>
      <c r="H29" s="1528"/>
      <c r="I29" s="947"/>
    </row>
    <row r="30" spans="2:10" x14ac:dyDescent="0.25">
      <c r="B30" s="946"/>
      <c r="C30" s="1528"/>
      <c r="D30" s="1528"/>
      <c r="E30" s="1528"/>
      <c r="F30" s="1528"/>
      <c r="G30" s="1528"/>
      <c r="H30" s="1528"/>
      <c r="I30" s="947"/>
    </row>
    <row r="31" spans="2:10" x14ac:dyDescent="0.25">
      <c r="B31" s="192"/>
      <c r="C31" s="193"/>
      <c r="D31" s="193"/>
      <c r="E31" s="193"/>
      <c r="F31" s="193"/>
      <c r="G31" s="193"/>
      <c r="H31" s="193"/>
      <c r="I31" s="194"/>
    </row>
    <row r="32" spans="2:10" ht="13.8" thickBot="1" x14ac:dyDescent="0.3">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3.2" x14ac:dyDescent="0.25"/>
  <cols>
    <col min="1" max="1" width="1.88671875" customWidth="1"/>
    <col min="2" max="2" width="42.44140625" customWidth="1"/>
    <col min="3" max="3" width="23.88671875" customWidth="1"/>
    <col min="4" max="9" width="12.88671875" customWidth="1"/>
  </cols>
  <sheetData>
    <row r="1" spans="1:9" ht="15.6" x14ac:dyDescent="0.25">
      <c r="B1" s="214" t="s">
        <v>1416</v>
      </c>
      <c r="C1" s="214"/>
      <c r="D1" s="214"/>
      <c r="E1" s="214"/>
      <c r="F1" s="1529"/>
      <c r="G1" s="1529"/>
      <c r="H1" s="1529" t="s">
        <v>389</v>
      </c>
      <c r="I1" s="14" t="s">
        <v>2521</v>
      </c>
    </row>
    <row r="2" spans="1:9" ht="15.6" x14ac:dyDescent="0.25">
      <c r="B2" s="811" t="s">
        <v>1417</v>
      </c>
      <c r="C2" s="214"/>
      <c r="D2" s="214"/>
      <c r="E2" s="214"/>
      <c r="F2" s="214"/>
      <c r="G2" s="214"/>
      <c r="H2" s="214"/>
      <c r="I2" s="14" t="s">
        <v>2522</v>
      </c>
    </row>
    <row r="3" spans="1:9" ht="15.6" x14ac:dyDescent="0.25">
      <c r="B3" s="955" t="s">
        <v>62</v>
      </c>
      <c r="C3" s="1529"/>
      <c r="D3" s="1529"/>
      <c r="E3" s="1529"/>
      <c r="F3" s="1529"/>
      <c r="G3" s="1529"/>
      <c r="H3" s="1529"/>
      <c r="I3" s="14" t="s">
        <v>2144</v>
      </c>
    </row>
    <row r="4" spans="1:9" ht="15.6" hidden="1" x14ac:dyDescent="0.25">
      <c r="B4" s="955"/>
      <c r="C4" s="1529"/>
      <c r="D4" s="1529"/>
      <c r="E4" s="1529"/>
      <c r="F4" s="1529"/>
      <c r="G4" s="1529"/>
      <c r="H4" s="1529"/>
      <c r="I4" s="1530"/>
    </row>
    <row r="5" spans="1:9" ht="15.6" hidden="1" x14ac:dyDescent="0.25">
      <c r="B5" s="955"/>
      <c r="C5" s="1529"/>
      <c r="D5" s="1529"/>
      <c r="E5" s="1529"/>
      <c r="F5" s="1529"/>
      <c r="G5" s="1529"/>
      <c r="H5" s="1529"/>
      <c r="I5" s="1530"/>
    </row>
    <row r="6" spans="1:9" ht="13.8" thickBot="1" x14ac:dyDescent="0.3">
      <c r="B6" s="2460" t="s">
        <v>64</v>
      </c>
      <c r="C6" s="1529"/>
      <c r="D6" s="1529"/>
      <c r="E6" s="1529"/>
      <c r="F6" s="1529"/>
      <c r="G6" s="1529"/>
      <c r="H6" s="1529"/>
      <c r="I6" s="1531"/>
    </row>
    <row r="7" spans="1:9" x14ac:dyDescent="0.25">
      <c r="B7" s="156" t="s">
        <v>1418</v>
      </c>
      <c r="C7" s="11" t="s">
        <v>419</v>
      </c>
      <c r="D7" s="1532" t="s">
        <v>305</v>
      </c>
      <c r="E7" s="1533"/>
      <c r="F7" s="1534"/>
      <c r="G7" s="1532" t="s">
        <v>124</v>
      </c>
      <c r="H7" s="1533"/>
      <c r="I7" s="1535"/>
    </row>
    <row r="8" spans="1:9" ht="20.25" customHeight="1" x14ac:dyDescent="0.25">
      <c r="B8" s="157" t="s">
        <v>328</v>
      </c>
      <c r="C8" s="1536" t="s">
        <v>1419</v>
      </c>
      <c r="D8" s="182" t="s">
        <v>1420</v>
      </c>
      <c r="E8" s="182" t="s">
        <v>424</v>
      </c>
      <c r="F8" s="1537" t="s">
        <v>425</v>
      </c>
      <c r="G8" s="86" t="s">
        <v>1421</v>
      </c>
      <c r="H8" s="86" t="s">
        <v>424</v>
      </c>
      <c r="I8" s="1538" t="s">
        <v>425</v>
      </c>
    </row>
    <row r="9" spans="1:9" ht="18" customHeight="1" thickBot="1" x14ac:dyDescent="0.3">
      <c r="A9" s="83"/>
      <c r="B9" s="206"/>
      <c r="C9" s="207" t="s">
        <v>1422</v>
      </c>
      <c r="D9" s="1523" t="s">
        <v>1423</v>
      </c>
      <c r="E9" s="1524"/>
      <c r="F9" s="1539"/>
      <c r="G9" s="1523" t="s">
        <v>73</v>
      </c>
      <c r="H9" s="1524"/>
      <c r="I9" s="1525"/>
    </row>
    <row r="10" spans="1:9" ht="18" customHeight="1" thickTop="1" x14ac:dyDescent="0.25">
      <c r="B10" s="2550" t="s">
        <v>1424</v>
      </c>
      <c r="C10" s="2886">
        <f>IF(SUM(C11,C21)=0,"NO",SUM(C11,C21))</f>
        <v>11.18491846632603</v>
      </c>
      <c r="D10" s="2887">
        <f>IF(SUM(G10)=0,"NA",G10*1000/$C10)</f>
        <v>6601.8759493059397</v>
      </c>
      <c r="E10" s="2887">
        <f t="shared" ref="E10:E20" si="0">IF(SUM(H10)=0,"NA",H10*1000/$C10)</f>
        <v>8.2853710806208678</v>
      </c>
      <c r="F10" s="2887">
        <f t="shared" ref="F10:F20" si="1">IF(SUM(I10)=0,"NA",I10*1000/$C10)</f>
        <v>3.395643885500355</v>
      </c>
      <c r="G10" s="2887">
        <f>IF(SUM(G11,G21)=0,"NO",SUM(G11,G21))</f>
        <v>73.841444217785693</v>
      </c>
      <c r="H10" s="2887">
        <f>IF(SUM(H11,H21)=0,"NO,NE",SUM(H11,H21))</f>
        <v>9.2671199999999995E-2</v>
      </c>
      <c r="I10" s="2888">
        <f>IF(SUM(I11,I21)=0,"NO,NE",SUM(I11,I21))</f>
        <v>3.7979999999999993E-2</v>
      </c>
    </row>
    <row r="11" spans="1:9" ht="18" customHeight="1" x14ac:dyDescent="0.25">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5">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5">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5">
      <c r="B14" s="1279" t="s">
        <v>1359</v>
      </c>
      <c r="C14" s="2294"/>
      <c r="D14" s="2295"/>
      <c r="E14" s="2295"/>
      <c r="F14" s="2295"/>
      <c r="G14" s="2295"/>
      <c r="H14" s="2295"/>
      <c r="I14" s="2296"/>
    </row>
    <row r="15" spans="1:9" ht="18" customHeight="1" x14ac:dyDescent="0.25">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5">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5">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5">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5">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5">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5">
      <c r="B21" s="1367" t="s">
        <v>1433</v>
      </c>
      <c r="C21" s="2889">
        <f>IF(SUM(C22:C23)=0,"NO",SUM(C22:C23))</f>
        <v>11.18491846632603</v>
      </c>
      <c r="D21" s="116">
        <f>IF(SUM(G21)=0,"NA",G21*1000/$C21)</f>
        <v>6601.8759493059397</v>
      </c>
      <c r="E21" s="116">
        <f t="shared" ref="E21:F21" si="3">IF(SUM(H21)=0,"NA",H21*1000/$C21)</f>
        <v>8.2853710806208678</v>
      </c>
      <c r="F21" s="116">
        <f t="shared" si="3"/>
        <v>3.395643885500355</v>
      </c>
      <c r="G21" s="2889">
        <f>IF(SUM(G22:G23)=0,"NO",SUM(G22:G23))</f>
        <v>73.841444217785693</v>
      </c>
      <c r="H21" s="116">
        <f>IF(SUM(H22:H23)=0,"NO,NE",SUM(H22:H23))</f>
        <v>9.2671199999999995E-2</v>
      </c>
      <c r="I21" s="2890">
        <f>IF(SUM(I22:I23)=0,"NO,NE",SUM(I22:I23))</f>
        <v>3.7979999999999993E-2</v>
      </c>
    </row>
    <row r="22" spans="2:9" ht="18" customHeight="1" x14ac:dyDescent="0.25">
      <c r="B22" s="1526" t="s">
        <v>1434</v>
      </c>
      <c r="C22" s="143">
        <v>0.25319999999999998</v>
      </c>
      <c r="D22" s="116">
        <f t="shared" ref="D22:D38" si="4">IF(SUM(G22)=0,"NA",G22*1000/$C22)</f>
        <v>205333.33333333334</v>
      </c>
      <c r="E22" s="116">
        <f t="shared" ref="E22:E38" si="5">IF(SUM(H22)=0,"NA",H22*1000/$C22)</f>
        <v>366</v>
      </c>
      <c r="F22" s="116">
        <f t="shared" ref="F22:F38" si="6">IF(SUM(I22)=0,"NA",I22*1000/$C22)</f>
        <v>149.99999999999997</v>
      </c>
      <c r="G22" s="143">
        <v>51.990400000000001</v>
      </c>
      <c r="H22" s="143">
        <v>9.2671199999999995E-2</v>
      </c>
      <c r="I22" s="140">
        <v>3.7979999999999993E-2</v>
      </c>
    </row>
    <row r="23" spans="2:9" ht="18" customHeight="1" x14ac:dyDescent="0.25">
      <c r="B23" s="1526" t="s">
        <v>1435</v>
      </c>
      <c r="C23" s="2889">
        <f>IF(SUM(C25:C29)=0,"NO",SUM(C25:C29))</f>
        <v>10.93171846632603</v>
      </c>
      <c r="D23" s="116">
        <f t="shared" si="4"/>
        <v>1998.8663525405877</v>
      </c>
      <c r="E23" s="151" t="str">
        <f t="shared" si="5"/>
        <v>NA</v>
      </c>
      <c r="F23" s="151" t="str">
        <f t="shared" si="6"/>
        <v>NA</v>
      </c>
      <c r="G23" s="151">
        <f>IF(SUM(G25:G30)=0,"NO",SUM(G25:G30))</f>
        <v>21.851044217785699</v>
      </c>
      <c r="H23" s="151" t="str">
        <f>IF(SUM(H25:H30)=0,"NE",SUM(H25:H30))</f>
        <v>NE</v>
      </c>
      <c r="I23" s="152" t="str">
        <f>IF(SUM(I25:I30)=0,"NE",SUM(I25:I30))</f>
        <v>NE</v>
      </c>
    </row>
    <row r="24" spans="2:9" ht="18" customHeight="1" x14ac:dyDescent="0.25">
      <c r="B24" s="1279" t="s">
        <v>1359</v>
      </c>
      <c r="C24" s="2294"/>
      <c r="D24" s="2295"/>
      <c r="E24" s="2295"/>
      <c r="F24" s="2295"/>
      <c r="G24" s="2295"/>
      <c r="H24" s="2295"/>
      <c r="I24" s="2296"/>
    </row>
    <row r="25" spans="2:9" ht="18" customHeight="1" x14ac:dyDescent="0.25">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5">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5">
      <c r="B27" s="1540" t="s">
        <v>1438</v>
      </c>
      <c r="C27" s="3777">
        <v>10.93171846632603</v>
      </c>
      <c r="D27" s="116">
        <f t="shared" si="4"/>
        <v>880.00000000000023</v>
      </c>
      <c r="E27" s="116" t="str">
        <f t="shared" si="5"/>
        <v>NA</v>
      </c>
      <c r="F27" s="116" t="str">
        <f t="shared" si="6"/>
        <v>NA</v>
      </c>
      <c r="G27" s="2897">
        <v>9.6199122503669088</v>
      </c>
      <c r="H27" s="2895" t="s">
        <v>2154</v>
      </c>
      <c r="I27" s="2896" t="s">
        <v>2154</v>
      </c>
    </row>
    <row r="28" spans="2:9" ht="18" customHeight="1" x14ac:dyDescent="0.25">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5">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5">
      <c r="B30" s="1540" t="s">
        <v>1441</v>
      </c>
      <c r="C30" s="1541">
        <f>C31</f>
        <v>3.9882391963671502</v>
      </c>
      <c r="D30" s="116">
        <f t="shared" si="4"/>
        <v>3066.8000000000034</v>
      </c>
      <c r="E30" s="153" t="str">
        <f t="shared" si="5"/>
        <v>NA</v>
      </c>
      <c r="F30" s="153" t="str">
        <f t="shared" si="6"/>
        <v>NA</v>
      </c>
      <c r="G30" s="1541">
        <f>G31</f>
        <v>12.231131967418788</v>
      </c>
      <c r="H30" s="1541" t="str">
        <f>H31</f>
        <v>NE</v>
      </c>
      <c r="I30" s="2894" t="str">
        <f>I31</f>
        <v>NE</v>
      </c>
    </row>
    <row r="31" spans="2:9" ht="18" customHeight="1" x14ac:dyDescent="0.25">
      <c r="B31" s="2891" t="s">
        <v>2257</v>
      </c>
      <c r="C31" s="162">
        <v>3.9882391963671502</v>
      </c>
      <c r="D31" s="116">
        <f t="shared" si="4"/>
        <v>3066.8000000000034</v>
      </c>
      <c r="E31" s="153" t="str">
        <f t="shared" si="5"/>
        <v>NA</v>
      </c>
      <c r="F31" s="153" t="str">
        <f t="shared" si="6"/>
        <v>NA</v>
      </c>
      <c r="G31" s="161">
        <v>12.231131967418788</v>
      </c>
      <c r="H31" s="2895" t="s">
        <v>2154</v>
      </c>
      <c r="I31" s="2896" t="s">
        <v>2154</v>
      </c>
    </row>
    <row r="32" spans="2:9" ht="18" customHeight="1" x14ac:dyDescent="0.25">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5">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5">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5">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5">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5">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5">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5">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3">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5">
      <c r="B41" s="119"/>
      <c r="C41" s="119"/>
      <c r="D41" s="119"/>
      <c r="E41" s="119"/>
      <c r="F41" s="119"/>
      <c r="G41" s="119"/>
      <c r="H41" s="119"/>
      <c r="I41" s="119"/>
    </row>
    <row r="42" spans="2:9" x14ac:dyDescent="0.25">
      <c r="B42" s="1542"/>
      <c r="C42" s="1542"/>
      <c r="D42" s="1542"/>
      <c r="E42" s="1542"/>
      <c r="F42" s="1542"/>
      <c r="G42" s="1542"/>
      <c r="H42" s="1542"/>
      <c r="I42" s="1542"/>
    </row>
    <row r="43" spans="2:9" x14ac:dyDescent="0.25">
      <c r="B43" s="1543"/>
      <c r="C43" s="1542"/>
      <c r="D43" s="1542"/>
      <c r="E43" s="1542"/>
      <c r="F43" s="1542"/>
      <c r="G43" s="1542"/>
      <c r="H43" s="1542"/>
      <c r="I43" s="1542"/>
    </row>
    <row r="44" spans="2:9" ht="14.4" x14ac:dyDescent="0.25">
      <c r="B44" s="1544"/>
      <c r="C44" s="1544"/>
      <c r="D44" s="1544"/>
      <c r="E44" s="1544"/>
      <c r="F44" s="1544"/>
      <c r="G44" s="1544"/>
      <c r="H44" s="1544"/>
      <c r="I44" s="1544"/>
    </row>
    <row r="45" spans="2:9" ht="14.4" x14ac:dyDescent="0.25">
      <c r="B45" s="1545"/>
      <c r="C45" s="1544"/>
      <c r="D45" s="1544"/>
      <c r="E45" s="1544"/>
      <c r="F45" s="1544"/>
      <c r="G45" s="1544"/>
      <c r="H45" s="1544"/>
      <c r="I45" s="1544"/>
    </row>
    <row r="46" spans="2:9" ht="14.4" x14ac:dyDescent="0.25">
      <c r="B46" s="1544"/>
      <c r="C46" s="1544"/>
      <c r="D46" s="1544"/>
      <c r="E46" s="1544"/>
      <c r="F46" s="1544"/>
      <c r="G46" s="1544"/>
      <c r="H46" s="1544"/>
      <c r="I46" s="1544"/>
    </row>
    <row r="47" spans="2:9" ht="14.4" x14ac:dyDescent="0.25">
      <c r="B47" s="1545"/>
      <c r="C47" s="1544"/>
      <c r="D47" s="1544"/>
      <c r="E47" s="1544"/>
      <c r="F47" s="1544"/>
      <c r="G47" s="1544"/>
      <c r="H47" s="1544"/>
      <c r="I47" s="1544"/>
    </row>
    <row r="48" spans="2:9" ht="14.4" x14ac:dyDescent="0.25">
      <c r="B48" s="1544"/>
      <c r="C48" s="1544"/>
      <c r="D48" s="1544"/>
      <c r="E48" s="1544"/>
      <c r="F48" s="1544"/>
      <c r="G48" s="1544"/>
      <c r="H48" s="1544"/>
      <c r="I48" s="1544"/>
    </row>
    <row r="49" spans="2:9" ht="14.4" x14ac:dyDescent="0.25">
      <c r="B49" s="1544"/>
      <c r="C49" s="1544"/>
      <c r="D49" s="1544"/>
      <c r="E49" s="1544"/>
      <c r="F49" s="1544"/>
      <c r="G49" s="1544"/>
      <c r="H49" s="1544"/>
      <c r="I49" s="1544"/>
    </row>
    <row r="50" spans="2:9" ht="14.4" x14ac:dyDescent="0.25">
      <c r="B50" s="1545"/>
      <c r="C50" s="1544"/>
      <c r="D50" s="1544"/>
      <c r="E50" s="1544"/>
      <c r="F50" s="1544"/>
      <c r="G50" s="1544"/>
      <c r="H50" s="1544"/>
      <c r="I50" s="1544"/>
    </row>
    <row r="51" spans="2:9" ht="14.4" x14ac:dyDescent="0.25">
      <c r="B51" s="1517"/>
      <c r="C51" s="1517"/>
      <c r="D51" s="1517"/>
      <c r="E51" s="1517"/>
      <c r="F51" s="1517"/>
      <c r="G51" s="1517"/>
      <c r="H51" s="1517"/>
      <c r="I51" s="1517"/>
    </row>
    <row r="52" spans="2:9" ht="14.4" x14ac:dyDescent="0.25">
      <c r="B52" s="1517"/>
      <c r="C52" s="1517"/>
      <c r="D52" s="1517"/>
      <c r="E52" s="1517"/>
      <c r="F52" s="1517"/>
      <c r="G52" s="1517"/>
      <c r="H52" s="1517"/>
      <c r="I52" s="1517"/>
    </row>
    <row r="53" spans="2:9" ht="14.4" x14ac:dyDescent="0.25">
      <c r="B53" s="1517"/>
      <c r="C53" s="1517"/>
      <c r="D53" s="1517"/>
      <c r="E53" s="1517"/>
      <c r="F53" s="1517"/>
      <c r="G53" s="1517"/>
      <c r="H53" s="1517"/>
      <c r="I53" s="1517"/>
    </row>
    <row r="54" spans="2:9" ht="13.8" thickBot="1" x14ac:dyDescent="0.3">
      <c r="B54" s="1546"/>
      <c r="C54" s="1546"/>
      <c r="D54" s="1546"/>
      <c r="E54" s="1546"/>
      <c r="F54" s="1546"/>
      <c r="G54" s="1546"/>
      <c r="H54" s="1546"/>
      <c r="I54" s="1546"/>
    </row>
    <row r="55" spans="2:9" x14ac:dyDescent="0.25">
      <c r="B55" s="183" t="s">
        <v>352</v>
      </c>
      <c r="C55" s="184"/>
      <c r="D55" s="184"/>
      <c r="E55" s="184"/>
      <c r="F55" s="184"/>
      <c r="G55" s="184"/>
      <c r="H55" s="184"/>
      <c r="I55" s="185"/>
    </row>
    <row r="56" spans="2:9" x14ac:dyDescent="0.25">
      <c r="B56" s="946"/>
      <c r="C56" s="1528"/>
      <c r="D56" s="1528"/>
      <c r="E56" s="1528"/>
      <c r="F56" s="1528"/>
      <c r="G56" s="1528"/>
      <c r="H56" s="1528"/>
      <c r="I56" s="947"/>
    </row>
    <row r="57" spans="2:9" x14ac:dyDescent="0.25">
      <c r="B57" s="946"/>
      <c r="C57" s="1528"/>
      <c r="D57" s="1528"/>
      <c r="E57" s="1528"/>
      <c r="F57" s="1528"/>
      <c r="G57" s="1528"/>
      <c r="H57" s="1528"/>
      <c r="I57" s="947"/>
    </row>
    <row r="58" spans="2:9" x14ac:dyDescent="0.25">
      <c r="B58" s="946"/>
      <c r="C58" s="1528"/>
      <c r="D58" s="1528"/>
      <c r="E58" s="1528"/>
      <c r="F58" s="1528"/>
      <c r="G58" s="1528"/>
      <c r="H58" s="1528"/>
      <c r="I58" s="947"/>
    </row>
    <row r="59" spans="2:9" x14ac:dyDescent="0.25">
      <c r="B59" s="191"/>
      <c r="C59" s="1528"/>
      <c r="D59" s="1528"/>
      <c r="E59" s="1528"/>
      <c r="F59" s="1528"/>
      <c r="G59" s="1528"/>
      <c r="H59" s="1528"/>
      <c r="I59" s="947"/>
    </row>
    <row r="60" spans="2:9" x14ac:dyDescent="0.25">
      <c r="B60" s="191"/>
      <c r="C60" s="1528"/>
      <c r="D60" s="1528"/>
      <c r="E60" s="1528"/>
      <c r="F60" s="1528"/>
      <c r="G60" s="1528"/>
      <c r="H60" s="1528"/>
      <c r="I60" s="947"/>
    </row>
    <row r="61" spans="2:9" ht="13.8" thickBot="1" x14ac:dyDescent="0.3">
      <c r="B61" s="198"/>
      <c r="C61" s="953"/>
      <c r="D61" s="953"/>
      <c r="E61" s="953"/>
      <c r="F61" s="953"/>
      <c r="G61" s="953"/>
      <c r="H61" s="953"/>
      <c r="I61" s="954"/>
    </row>
    <row r="62" spans="2:9" ht="13.8" thickBot="1" x14ac:dyDescent="0.3">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5"/>
  <cols>
    <col min="1" max="1" width="1.88671875" style="110" customWidth="1"/>
    <col min="2" max="2" width="24.88671875" style="110" bestFit="1" customWidth="1"/>
    <col min="3" max="3" width="13" style="110" customWidth="1"/>
    <col min="4" max="4" width="8.88671875" style="110" bestFit="1" customWidth="1"/>
    <col min="5" max="5" width="10.88671875" style="110" bestFit="1" customWidth="1"/>
    <col min="6" max="7" width="18.33203125" style="110" customWidth="1"/>
    <col min="8" max="10" width="11.109375" style="110" customWidth="1"/>
    <col min="11" max="12" width="20.6640625" style="110" customWidth="1"/>
    <col min="13" max="13" width="8" style="110"/>
    <col min="14" max="14" width="25.33203125" style="110" customWidth="1"/>
    <col min="15" max="15" width="12.5546875" style="110" customWidth="1"/>
    <col min="16" max="16" width="6.88671875" style="110" customWidth="1"/>
    <col min="17" max="16384" width="8" style="110"/>
  </cols>
  <sheetData>
    <row r="1" spans="1:15" ht="15.75" customHeight="1" x14ac:dyDescent="0.25">
      <c r="A1"/>
      <c r="B1" s="213" t="s">
        <v>1447</v>
      </c>
      <c r="C1" s="213"/>
      <c r="D1" s="213"/>
      <c r="E1" s="213"/>
      <c r="F1"/>
      <c r="G1"/>
      <c r="H1"/>
      <c r="I1"/>
      <c r="J1"/>
      <c r="K1" s="226"/>
      <c r="L1" s="14" t="s">
        <v>2521</v>
      </c>
      <c r="M1"/>
      <c r="N1"/>
      <c r="O1"/>
    </row>
    <row r="2" spans="1:15" ht="15.75" customHeight="1" x14ac:dyDescent="0.25">
      <c r="A2"/>
      <c r="B2" s="213" t="s">
        <v>1448</v>
      </c>
      <c r="C2" s="213"/>
      <c r="D2"/>
      <c r="E2"/>
      <c r="F2"/>
      <c r="G2"/>
      <c r="H2"/>
      <c r="I2"/>
      <c r="J2"/>
      <c r="K2" s="226"/>
      <c r="L2" s="14" t="s">
        <v>2522</v>
      </c>
      <c r="M2"/>
      <c r="N2"/>
      <c r="O2"/>
    </row>
    <row r="3" spans="1:15" ht="15.75" customHeight="1" x14ac:dyDescent="0.25">
      <c r="A3"/>
      <c r="B3" s="3" t="s">
        <v>62</v>
      </c>
      <c r="C3"/>
      <c r="D3"/>
      <c r="E3"/>
      <c r="F3"/>
      <c r="G3"/>
      <c r="H3"/>
      <c r="I3"/>
      <c r="J3"/>
      <c r="K3" s="226"/>
      <c r="L3" s="14" t="s">
        <v>2144</v>
      </c>
      <c r="M3"/>
      <c r="N3"/>
      <c r="O3"/>
    </row>
    <row r="4" spans="1:15" ht="15.75" customHeight="1" x14ac:dyDescent="0.25">
      <c r="A4"/>
      <c r="B4" s="3"/>
      <c r="C4"/>
      <c r="D4"/>
      <c r="E4"/>
      <c r="F4"/>
      <c r="G4"/>
      <c r="H4"/>
      <c r="I4"/>
      <c r="J4"/>
      <c r="K4" s="226"/>
      <c r="L4" s="226"/>
      <c r="M4"/>
      <c r="N4"/>
      <c r="O4"/>
    </row>
    <row r="5" spans="1:15" ht="12.75" customHeight="1" thickBot="1" x14ac:dyDescent="0.3">
      <c r="A5"/>
      <c r="B5" s="2446" t="s">
        <v>64</v>
      </c>
      <c r="C5"/>
      <c r="D5"/>
      <c r="E5"/>
      <c r="F5"/>
      <c r="G5"/>
      <c r="H5"/>
      <c r="I5"/>
      <c r="J5"/>
      <c r="K5"/>
      <c r="L5"/>
      <c r="M5"/>
      <c r="N5"/>
      <c r="O5"/>
    </row>
    <row r="6" spans="1:15" ht="23.4" thickBot="1" x14ac:dyDescent="0.3">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5">
      <c r="A7"/>
      <c r="B7" s="1764"/>
      <c r="C7" s="433"/>
      <c r="D7" s="1765"/>
      <c r="E7" s="1765"/>
      <c r="F7" s="325" t="s">
        <v>1452</v>
      </c>
      <c r="G7" s="433" t="s">
        <v>68</v>
      </c>
      <c r="H7" s="1721" t="s">
        <v>1453</v>
      </c>
      <c r="I7" s="335" t="s">
        <v>68</v>
      </c>
      <c r="J7" s="1766"/>
      <c r="K7" s="335" t="s">
        <v>67</v>
      </c>
      <c r="L7" s="331"/>
      <c r="M7"/>
      <c r="N7" s="1767" t="s">
        <v>1454</v>
      </c>
      <c r="O7" s="3439">
        <v>16940.557000000001</v>
      </c>
    </row>
    <row r="8" spans="1:15" ht="28.2" x14ac:dyDescent="0.25">
      <c r="A8" s="83"/>
      <c r="B8" s="1764"/>
      <c r="C8" s="92" t="s">
        <v>1455</v>
      </c>
      <c r="D8" s="1768" t="s">
        <v>1456</v>
      </c>
      <c r="E8" s="1768" t="s">
        <v>1457</v>
      </c>
      <c r="F8" s="1769"/>
      <c r="G8" s="92"/>
      <c r="H8" s="1745"/>
      <c r="I8" s="1761" t="s">
        <v>1458</v>
      </c>
      <c r="J8" s="92" t="s">
        <v>1459</v>
      </c>
      <c r="K8" s="1761" t="s">
        <v>1407</v>
      </c>
      <c r="L8" s="1746" t="s">
        <v>1460</v>
      </c>
      <c r="M8"/>
      <c r="N8" s="1770" t="s">
        <v>1461</v>
      </c>
      <c r="O8" s="3778">
        <v>36.280999999999999</v>
      </c>
    </row>
    <row r="9" spans="1:15" ht="18" customHeight="1" thickBot="1" x14ac:dyDescent="0.3">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5">
      <c r="A10"/>
      <c r="B10" s="1774" t="s">
        <v>1382</v>
      </c>
      <c r="C10" s="3435">
        <v>1781.05335590001</v>
      </c>
      <c r="D10" s="3435">
        <v>1322.1984020750899</v>
      </c>
      <c r="E10" s="3435">
        <v>98.339255762720001</v>
      </c>
      <c r="F10" s="3436">
        <f>(SUM(H10)-SUM(K10:L10))/C10</f>
        <v>5.9162751937335445E-2</v>
      </c>
      <c r="G10" s="3437">
        <f>SUM(I10:J10)/E10/(44/28)</f>
        <v>3.3066458262309265E-3</v>
      </c>
      <c r="H10" s="3434">
        <v>81.312085809911764</v>
      </c>
      <c r="I10" s="3223">
        <v>0.51098628369242716</v>
      </c>
      <c r="J10" s="3223" t="s">
        <v>2153</v>
      </c>
      <c r="K10" s="3438">
        <v>-24.059932072359352</v>
      </c>
      <c r="L10" s="2911" t="s">
        <v>2153</v>
      </c>
      <c r="M10"/>
      <c r="N10" s="1770" t="s">
        <v>1468</v>
      </c>
      <c r="O10" s="3440">
        <v>1</v>
      </c>
    </row>
    <row r="11" spans="1:15" ht="18" customHeight="1" x14ac:dyDescent="0.25">
      <c r="A11"/>
      <c r="B11" s="1749" t="s">
        <v>1383</v>
      </c>
      <c r="C11" s="3435">
        <v>1493.9057989380699</v>
      </c>
      <c r="D11" s="3435">
        <v>222.47266770449201</v>
      </c>
      <c r="E11" s="691" t="s">
        <v>2153</v>
      </c>
      <c r="F11" s="3162">
        <f>(SUM(H11)-SUM(K11:L11))/C11</f>
        <v>9.4392681600286868E-2</v>
      </c>
      <c r="G11" s="3162" t="s">
        <v>2147</v>
      </c>
      <c r="H11" s="691">
        <v>138.47573206538874</v>
      </c>
      <c r="I11" s="691" t="s">
        <v>2153</v>
      </c>
      <c r="J11" s="691" t="s">
        <v>2153</v>
      </c>
      <c r="K11" s="3147" t="s">
        <v>2153</v>
      </c>
      <c r="L11" s="2911">
        <v>-2.5380423545946518</v>
      </c>
      <c r="M11"/>
      <c r="N11" s="275" t="s">
        <v>1469</v>
      </c>
      <c r="O11" s="3440">
        <v>1</v>
      </c>
    </row>
    <row r="12" spans="1:15" ht="18" customHeight="1" thickBot="1" x14ac:dyDescent="0.3">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3">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5">
      <c r="A14"/>
      <c r="B14" s="1781"/>
      <c r="C14" s="1782"/>
      <c r="D14" s="1782"/>
      <c r="E14" s="1783"/>
      <c r="F14" s="1783"/>
      <c r="G14" s="1782"/>
      <c r="H14" s="1784"/>
      <c r="I14" s="1784"/>
      <c r="J14" s="1785"/>
      <c r="K14" s="1785"/>
      <c r="L14"/>
      <c r="M14" s="1786"/>
      <c r="N14"/>
      <c r="O14"/>
    </row>
    <row r="15" spans="1:15" ht="14.4" x14ac:dyDescent="0.25">
      <c r="A15"/>
      <c r="B15" s="1787"/>
      <c r="C15" s="1788"/>
      <c r="D15" s="1788"/>
      <c r="E15" s="1788"/>
      <c r="F15" s="1788"/>
      <c r="G15" s="1788"/>
      <c r="H15" s="1788"/>
      <c r="I15" s="1788"/>
      <c r="J15" s="1788"/>
      <c r="K15" s="1789"/>
      <c r="L15" s="1785"/>
      <c r="M15" s="173"/>
      <c r="N15"/>
      <c r="O15"/>
    </row>
    <row r="16" spans="1:15" ht="14.4" x14ac:dyDescent="0.25">
      <c r="A16"/>
      <c r="B16" s="1790"/>
      <c r="C16" s="1788"/>
      <c r="D16" s="1788"/>
      <c r="E16" s="1788"/>
      <c r="F16" s="1788"/>
      <c r="G16" s="1788"/>
      <c r="H16" s="1788"/>
      <c r="I16" s="1788"/>
      <c r="J16" s="1788"/>
      <c r="K16" s="1789"/>
      <c r="L16" s="1785"/>
      <c r="M16" s="173"/>
      <c r="N16" s="173"/>
      <c r="O16"/>
    </row>
    <row r="17" spans="1:15" ht="14.4" x14ac:dyDescent="0.25">
      <c r="A17"/>
      <c r="B17" s="994"/>
      <c r="C17" s="994"/>
      <c r="D17" s="994"/>
      <c r="E17" s="994"/>
      <c r="F17" s="994"/>
      <c r="G17" s="994"/>
      <c r="H17" s="994"/>
      <c r="I17" s="994"/>
      <c r="J17"/>
      <c r="K17"/>
      <c r="L17" s="1789"/>
      <c r="M17"/>
      <c r="N17" s="173"/>
      <c r="O17"/>
    </row>
    <row r="18" spans="1:15" ht="14.4" x14ac:dyDescent="0.25">
      <c r="A18"/>
      <c r="B18" s="994"/>
      <c r="C18" s="994"/>
      <c r="D18" s="994"/>
      <c r="E18" s="994"/>
      <c r="F18" s="994"/>
      <c r="G18" s="994"/>
      <c r="H18" s="994"/>
      <c r="I18" s="994"/>
      <c r="J18"/>
      <c r="K18"/>
      <c r="L18"/>
      <c r="M18"/>
      <c r="N18"/>
      <c r="O18"/>
    </row>
    <row r="19" spans="1:15" ht="14.4" x14ac:dyDescent="0.25">
      <c r="A19"/>
      <c r="B19" s="994"/>
      <c r="C19" s="994"/>
      <c r="D19" s="994"/>
      <c r="E19"/>
      <c r="F19"/>
      <c r="G19"/>
      <c r="H19"/>
      <c r="I19"/>
      <c r="J19"/>
      <c r="K19"/>
      <c r="L19"/>
      <c r="M19"/>
      <c r="N19"/>
      <c r="O19"/>
    </row>
    <row r="20" spans="1:15" ht="14.4" x14ac:dyDescent="0.25">
      <c r="A20"/>
      <c r="B20" s="994"/>
      <c r="C20" s="994"/>
      <c r="D20" s="994"/>
      <c r="E20" s="994"/>
      <c r="F20" s="994"/>
      <c r="G20"/>
      <c r="H20"/>
      <c r="I20"/>
      <c r="J20"/>
      <c r="K20"/>
      <c r="L20"/>
      <c r="M20"/>
      <c r="N20"/>
      <c r="O20"/>
    </row>
    <row r="21" spans="1:15" ht="14.4" x14ac:dyDescent="0.25">
      <c r="A21"/>
      <c r="B21" s="1789"/>
      <c r="C21" s="1791"/>
      <c r="D21" s="1791"/>
      <c r="E21" s="1791"/>
      <c r="F21" s="1791"/>
      <c r="G21" s="1791"/>
      <c r="H21" s="1791"/>
      <c r="I21" s="1791"/>
      <c r="J21" s="1791"/>
      <c r="K21" s="1791"/>
      <c r="L21"/>
      <c r="M21"/>
      <c r="N21"/>
      <c r="O21"/>
    </row>
    <row r="22" spans="1:15" ht="14.4" x14ac:dyDescent="0.25">
      <c r="A22"/>
      <c r="B22" s="1789"/>
      <c r="C22" s="1791"/>
      <c r="D22" s="1791"/>
      <c r="E22" s="1791"/>
      <c r="F22" s="1791"/>
      <c r="G22" s="1791"/>
      <c r="H22" s="1791"/>
      <c r="I22" s="1791"/>
      <c r="J22" s="1791"/>
      <c r="K22" s="1791"/>
      <c r="L22"/>
      <c r="M22"/>
      <c r="N22"/>
      <c r="O22"/>
    </row>
    <row r="23" spans="1:15" ht="14.4" x14ac:dyDescent="0.25">
      <c r="A23"/>
      <c r="B23" s="1789"/>
      <c r="C23" s="1791"/>
      <c r="D23" s="1791"/>
      <c r="E23" s="1791"/>
      <c r="F23" s="1791"/>
      <c r="G23" s="1791"/>
      <c r="H23" s="1791"/>
      <c r="I23" s="1791"/>
      <c r="J23" s="1791"/>
      <c r="K23" s="1791"/>
      <c r="L23"/>
      <c r="M23"/>
      <c r="N23"/>
      <c r="O23"/>
    </row>
    <row r="24" spans="1:15" ht="14.4" x14ac:dyDescent="0.25">
      <c r="A24"/>
      <c r="B24" s="1789"/>
      <c r="C24" s="1791"/>
      <c r="D24" s="1791"/>
      <c r="E24" s="1791"/>
      <c r="F24" s="1791"/>
      <c r="G24" s="1791"/>
      <c r="H24" s="1791"/>
      <c r="I24" s="1791"/>
      <c r="J24" s="1791"/>
      <c r="K24" s="1791"/>
      <c r="L24"/>
      <c r="M24"/>
      <c r="N24"/>
      <c r="O24"/>
    </row>
    <row r="25" spans="1:15" ht="15" thickBot="1" x14ac:dyDescent="0.3">
      <c r="A25"/>
      <c r="B25" s="1789"/>
      <c r="C25" s="1791"/>
      <c r="D25" s="1791"/>
      <c r="E25" s="1791"/>
      <c r="F25" s="1791"/>
      <c r="G25" s="1791"/>
      <c r="H25" s="1791"/>
      <c r="I25" s="1791"/>
      <c r="J25" s="1791"/>
      <c r="K25" s="1791"/>
      <c r="L25"/>
      <c r="M25"/>
      <c r="N25"/>
      <c r="O25"/>
    </row>
    <row r="26" spans="1:15" ht="13.2" x14ac:dyDescent="0.25">
      <c r="A26"/>
      <c r="B26" s="223" t="s">
        <v>352</v>
      </c>
      <c r="C26" s="224"/>
      <c r="D26" s="224"/>
      <c r="E26" s="224"/>
      <c r="F26" s="224"/>
      <c r="G26" s="224"/>
      <c r="H26" s="224"/>
      <c r="I26" s="224"/>
      <c r="J26" s="224"/>
      <c r="K26" s="224"/>
      <c r="L26" s="225"/>
      <c r="M26"/>
      <c r="N26"/>
      <c r="O26"/>
    </row>
    <row r="27" spans="1:15" ht="13.2" x14ac:dyDescent="0.25">
      <c r="A27"/>
      <c r="B27" s="1792"/>
      <c r="C27" s="1793"/>
      <c r="D27" s="1793"/>
      <c r="E27" s="1793"/>
      <c r="F27" s="1793"/>
      <c r="G27" s="1793"/>
      <c r="H27" s="1793"/>
      <c r="I27" s="1793"/>
      <c r="J27" s="1793"/>
      <c r="K27" s="1793"/>
      <c r="L27" s="1794"/>
      <c r="M27"/>
      <c r="N27"/>
      <c r="O27"/>
    </row>
    <row r="28" spans="1:15" ht="13.2" x14ac:dyDescent="0.25">
      <c r="A28"/>
      <c r="B28" s="1792"/>
      <c r="C28" s="1793"/>
      <c r="D28" s="1793"/>
      <c r="E28" s="1793"/>
      <c r="F28" s="1793"/>
      <c r="G28" s="1793"/>
      <c r="H28" s="1793"/>
      <c r="I28" s="1793"/>
      <c r="J28" s="1793"/>
      <c r="K28" s="1793"/>
      <c r="L28" s="1794"/>
      <c r="M28"/>
      <c r="N28"/>
      <c r="O28"/>
    </row>
    <row r="29" spans="1:15" ht="13.2" x14ac:dyDescent="0.25">
      <c r="A29"/>
      <c r="B29" s="1792"/>
      <c r="C29" s="1793"/>
      <c r="D29" s="1793"/>
      <c r="E29" s="1793"/>
      <c r="F29" s="1793"/>
      <c r="G29" s="1793"/>
      <c r="H29" s="1793"/>
      <c r="I29" s="1793"/>
      <c r="J29" s="1793"/>
      <c r="K29" s="1793"/>
      <c r="L29" s="1794"/>
      <c r="M29"/>
      <c r="N29"/>
      <c r="O29"/>
    </row>
    <row r="30" spans="1:15" ht="13.2" x14ac:dyDescent="0.25">
      <c r="A30"/>
      <c r="B30" s="1792"/>
      <c r="C30" s="1793"/>
      <c r="D30" s="1793"/>
      <c r="E30" s="1793"/>
      <c r="F30" s="1793"/>
      <c r="G30" s="1793"/>
      <c r="H30" s="1793"/>
      <c r="I30" s="1793"/>
      <c r="J30" s="1793"/>
      <c r="K30" s="1793"/>
      <c r="L30" s="1794"/>
      <c r="M30"/>
      <c r="N30"/>
      <c r="O30"/>
    </row>
    <row r="31" spans="1:15" ht="13.2" x14ac:dyDescent="0.25">
      <c r="A31"/>
      <c r="B31" s="1792"/>
      <c r="C31" s="1793"/>
      <c r="D31" s="1793"/>
      <c r="E31" s="1793"/>
      <c r="F31" s="1793"/>
      <c r="G31" s="1793"/>
      <c r="H31" s="1793"/>
      <c r="I31" s="1793"/>
      <c r="J31" s="1793"/>
      <c r="K31" s="1793"/>
      <c r="L31" s="1794"/>
      <c r="M31"/>
      <c r="N31"/>
      <c r="O31"/>
    </row>
    <row r="32" spans="1:15" ht="13.2" x14ac:dyDescent="0.25">
      <c r="A32"/>
      <c r="B32" s="1795"/>
      <c r="C32" s="1796"/>
      <c r="D32" s="1796"/>
      <c r="E32" s="1796"/>
      <c r="F32" s="1796"/>
      <c r="G32" s="1796"/>
      <c r="H32" s="1796"/>
      <c r="I32" s="1796"/>
      <c r="J32" s="1796"/>
      <c r="K32" s="1796"/>
      <c r="L32" s="1797"/>
      <c r="M32"/>
      <c r="N32"/>
      <c r="O32"/>
    </row>
    <row r="33" spans="1:15" ht="13.8" thickBot="1" x14ac:dyDescent="0.3">
      <c r="A33"/>
      <c r="B33" s="4485"/>
      <c r="C33" s="4486"/>
      <c r="D33" s="4486"/>
      <c r="E33" s="4486"/>
      <c r="F33" s="4486"/>
      <c r="G33" s="4486"/>
      <c r="H33" s="4486"/>
      <c r="I33" s="4486"/>
      <c r="J33" s="4486"/>
      <c r="K33" s="4486"/>
      <c r="L33" s="4487"/>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09375" defaultRowHeight="14.4" x14ac:dyDescent="0.3"/>
  <cols>
    <col min="1" max="1" width="1.88671875" style="1126" customWidth="1"/>
    <col min="2" max="2" width="53.88671875" style="1126" bestFit="1" customWidth="1"/>
    <col min="3" max="3" width="14" style="1126" customWidth="1"/>
    <col min="4" max="7" width="11.5546875" style="1126" customWidth="1"/>
    <col min="8" max="8" width="13.6640625" style="1126" customWidth="1"/>
    <col min="9" max="14" width="11.5546875" style="1126" customWidth="1"/>
    <col min="15" max="15" width="24.6640625" style="1126" customWidth="1"/>
    <col min="16" max="16384" width="9.109375" style="1126"/>
  </cols>
  <sheetData>
    <row r="1" spans="1:15" ht="15.6" x14ac:dyDescent="0.3">
      <c r="B1" s="213" t="s">
        <v>1472</v>
      </c>
      <c r="C1" s="213"/>
      <c r="D1" s="213"/>
      <c r="E1" s="213"/>
      <c r="F1" s="213"/>
      <c r="G1" s="213"/>
      <c r="N1" s="2"/>
      <c r="O1" s="14" t="s">
        <v>2521</v>
      </c>
    </row>
    <row r="2" spans="1:15" ht="15.6" x14ac:dyDescent="0.3">
      <c r="A2" s="1127"/>
      <c r="B2" s="3" t="s">
        <v>62</v>
      </c>
      <c r="N2" s="2"/>
      <c r="O2" s="14" t="s">
        <v>2522</v>
      </c>
    </row>
    <row r="3" spans="1:15" x14ac:dyDescent="0.3">
      <c r="N3" s="2"/>
      <c r="O3" s="14" t="s">
        <v>2144</v>
      </c>
    </row>
    <row r="4" spans="1:15" hidden="1" x14ac:dyDescent="0.3">
      <c r="N4" s="2"/>
      <c r="O4" s="2"/>
    </row>
    <row r="5" spans="1:15" hidden="1" x14ac:dyDescent="0.3">
      <c r="N5" s="2"/>
      <c r="O5" s="2"/>
    </row>
    <row r="6" spans="1:15" hidden="1" x14ac:dyDescent="0.3">
      <c r="N6" s="2"/>
      <c r="O6" s="2"/>
    </row>
    <row r="7" spans="1:15" ht="15" thickBot="1" x14ac:dyDescent="0.35">
      <c r="B7" s="2461" t="s">
        <v>64</v>
      </c>
      <c r="D7" s="1128"/>
      <c r="N7" s="611"/>
      <c r="O7" s="611"/>
    </row>
    <row r="8" spans="1:15" ht="68.25" customHeight="1" x14ac:dyDescent="0.3">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5">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5">
      <c r="B10" s="1119" t="s">
        <v>1475</v>
      </c>
      <c r="C10" s="4212">
        <f t="shared" ref="C10:G10" si="0">SUM(C11,C22,C31,C42,C51)</f>
        <v>451741.62831893959</v>
      </c>
      <c r="D10" s="4213">
        <f t="shared" si="0"/>
        <v>5732.0666826775268</v>
      </c>
      <c r="E10" s="4213">
        <f t="shared" si="0"/>
        <v>69.677868825907694</v>
      </c>
      <c r="F10" s="4213">
        <f t="shared" si="0"/>
        <v>1193.6537599999999</v>
      </c>
      <c r="G10" s="4213">
        <f t="shared" si="0"/>
        <v>4143.5315389337156</v>
      </c>
      <c r="H10" s="4213" t="str">
        <f>IF(SUM(H11,H22,H31,H42,H51)=0,"NO",SUM(H11,H22,H31,H42,H51))</f>
        <v>NO</v>
      </c>
      <c r="I10" s="4213">
        <f t="shared" ref="I10:N10" si="1">IF(SUM(I11,I22,I31,I42,I51)=0,"NO",SUM(I11,I22,I31,I42,I51))</f>
        <v>9.6736708047799533E-3</v>
      </c>
      <c r="J10" s="3834" t="str">
        <f t="shared" si="1"/>
        <v>NO</v>
      </c>
      <c r="K10" s="4213">
        <f t="shared" si="1"/>
        <v>2425.7764506605372</v>
      </c>
      <c r="L10" s="4213">
        <f t="shared" si="1"/>
        <v>28606.767821428952</v>
      </c>
      <c r="M10" s="4213">
        <f t="shared" si="1"/>
        <v>2634.9918871361219</v>
      </c>
      <c r="N10" s="4214">
        <f t="shared" si="1"/>
        <v>1585.1759779137747</v>
      </c>
      <c r="O10" s="3818">
        <f>IF(SUM(C10:J10)=0,"NO",SUM(C10,F10:H10)+28*SUM(D10)+265*SUM(E10)+23500*SUM(I10)+16100*SUM(J10))</f>
        <v>636268.64723562193</v>
      </c>
    </row>
    <row r="11" spans="1:15" ht="18" customHeight="1" x14ac:dyDescent="0.3">
      <c r="B11" s="1120" t="s">
        <v>1476</v>
      </c>
      <c r="C11" s="2552">
        <f>Table1!C10</f>
        <v>258951.78460704247</v>
      </c>
      <c r="D11" s="3810">
        <f>Table1!D10</f>
        <v>1310.3339481307389</v>
      </c>
      <c r="E11" s="3810">
        <f>Table1!E10</f>
        <v>6.5822252886058914</v>
      </c>
      <c r="F11" s="4215"/>
      <c r="G11" s="4215"/>
      <c r="H11" s="4216"/>
      <c r="I11" s="4215"/>
      <c r="J11" s="98"/>
      <c r="K11" s="3810">
        <f>Table1!F10</f>
        <v>1555.2536257430033</v>
      </c>
      <c r="L11" s="3810">
        <f>Table1!G10</f>
        <v>5262.8719420722582</v>
      </c>
      <c r="M11" s="3810">
        <f>Table1!H10</f>
        <v>798.56234600212474</v>
      </c>
      <c r="N11" s="4217">
        <f>Table1!I10</f>
        <v>560.29188011979056</v>
      </c>
      <c r="O11" s="3781">
        <f t="shared" ref="O11:O58" si="2">IF(SUM(C11:J11)=0,"NO",SUM(C11,F11:H11)+28*SUM(D11)+265*SUM(E11)+23500*SUM(I11)+16100*SUM(J11))</f>
        <v>297385.4248561837</v>
      </c>
    </row>
    <row r="12" spans="1:15" ht="18" customHeight="1" x14ac:dyDescent="0.3">
      <c r="B12" s="1370" t="s">
        <v>1477</v>
      </c>
      <c r="C12" s="4218">
        <f>Table1!C11</f>
        <v>251679.28872254473</v>
      </c>
      <c r="D12" s="4219">
        <f>Table1!D11</f>
        <v>131.64849530369335</v>
      </c>
      <c r="E12" s="4219">
        <f>Table1!E11</f>
        <v>6.4471737052587219</v>
      </c>
      <c r="F12" s="69"/>
      <c r="G12" s="69"/>
      <c r="H12" s="69"/>
      <c r="I12" s="69"/>
      <c r="J12" s="69"/>
      <c r="K12" s="4219">
        <f>Table1!F11</f>
        <v>1551.0907917052798</v>
      </c>
      <c r="L12" s="4219">
        <f>Table1!G11</f>
        <v>5238.7261046534622</v>
      </c>
      <c r="M12" s="4219">
        <f>Table1!H11</f>
        <v>619.22966598668847</v>
      </c>
      <c r="N12" s="4220">
        <f>Table1!I11</f>
        <v>560.29188011979056</v>
      </c>
      <c r="O12" s="3782">
        <f t="shared" si="2"/>
        <v>257073.94762294172</v>
      </c>
    </row>
    <row r="13" spans="1:15" ht="18" customHeight="1" x14ac:dyDescent="0.3">
      <c r="B13" s="1371" t="s">
        <v>1478</v>
      </c>
      <c r="C13" s="4218">
        <f>Table1!C12</f>
        <v>142550.68803032237</v>
      </c>
      <c r="D13" s="4219">
        <f>Table1!D12</f>
        <v>6.1186320590812242</v>
      </c>
      <c r="E13" s="4219">
        <f>Table1!E12</f>
        <v>1.7009294785985118</v>
      </c>
      <c r="F13" s="69"/>
      <c r="G13" s="69"/>
      <c r="H13" s="69"/>
      <c r="I13" s="69"/>
      <c r="J13" s="69"/>
      <c r="K13" s="4219">
        <f>Table1!F12</f>
        <v>497.22413598484798</v>
      </c>
      <c r="L13" s="4219">
        <f>Table1!G12</f>
        <v>69.848222145047913</v>
      </c>
      <c r="M13" s="4219">
        <f>Table1!H12</f>
        <v>9.9195002545177626</v>
      </c>
      <c r="N13" s="4220">
        <f>Table1!I12</f>
        <v>408.55299865570981</v>
      </c>
      <c r="O13" s="3783">
        <f t="shared" si="2"/>
        <v>143172.75603980524</v>
      </c>
    </row>
    <row r="14" spans="1:15" ht="18" customHeight="1" x14ac:dyDescent="0.3">
      <c r="B14" s="1371" t="s">
        <v>1479</v>
      </c>
      <c r="C14" s="4218">
        <f>Table1!C16</f>
        <v>35866.538631108204</v>
      </c>
      <c r="D14" s="4221">
        <f>Table1!D16</f>
        <v>2.0601759875475625</v>
      </c>
      <c r="E14" s="4221">
        <f>Table1!E16</f>
        <v>1.134710846917538</v>
      </c>
      <c r="F14" s="3784"/>
      <c r="G14" s="3784"/>
      <c r="H14" s="3784"/>
      <c r="I14" s="3784"/>
      <c r="J14" s="69"/>
      <c r="K14" s="4221">
        <f>Table1!F16</f>
        <v>489.65028701797826</v>
      </c>
      <c r="L14" s="4221">
        <f>Table1!G16</f>
        <v>163.67831876735977</v>
      </c>
      <c r="M14" s="4221">
        <f>Table1!H16</f>
        <v>71.036113398548565</v>
      </c>
      <c r="N14" s="4222">
        <f>Table1!I16</f>
        <v>108.1075225959341</v>
      </c>
      <c r="O14" s="3785">
        <f t="shared" si="2"/>
        <v>36224.92193319268</v>
      </c>
    </row>
    <row r="15" spans="1:15" ht="18" customHeight="1" x14ac:dyDescent="0.3">
      <c r="B15" s="1371" t="s">
        <v>1480</v>
      </c>
      <c r="C15" s="4218">
        <f>Table1!C24</f>
        <v>59818.85626807365</v>
      </c>
      <c r="D15" s="4219">
        <f>Table1!D24</f>
        <v>26.345084452755309</v>
      </c>
      <c r="E15" s="4219">
        <f>Table1!E24</f>
        <v>3.0681889642603744</v>
      </c>
      <c r="F15" s="69"/>
      <c r="G15" s="69"/>
      <c r="H15" s="69"/>
      <c r="I15" s="69"/>
      <c r="J15" s="69"/>
      <c r="K15" s="4219">
        <f>Table1!F24</f>
        <v>361.44922480394467</v>
      </c>
      <c r="L15" s="4219">
        <f>Table1!G24</f>
        <v>3915.0502143912031</v>
      </c>
      <c r="M15" s="4219">
        <f>Table1!H24</f>
        <v>377.6735277242451</v>
      </c>
      <c r="N15" s="4220">
        <f>Table1!I24</f>
        <v>36.262719229362709</v>
      </c>
      <c r="O15" s="3783">
        <f t="shared" si="2"/>
        <v>61369.5887082798</v>
      </c>
    </row>
    <row r="16" spans="1:15" ht="18" customHeight="1" x14ac:dyDescent="0.3">
      <c r="B16" s="1371" t="s">
        <v>1481</v>
      </c>
      <c r="C16" s="4218">
        <f>Table1!C30</f>
        <v>13024.210275118596</v>
      </c>
      <c r="D16" s="4219">
        <f>Table1!D30</f>
        <v>97.09841881283171</v>
      </c>
      <c r="E16" s="4219">
        <f>Table1!E30</f>
        <v>0.53214797381676537</v>
      </c>
      <c r="F16" s="69"/>
      <c r="G16" s="69"/>
      <c r="H16" s="69"/>
      <c r="I16" s="69"/>
      <c r="J16" s="69"/>
      <c r="K16" s="4219">
        <f>Table1!F30</f>
        <v>198.36036237624759</v>
      </c>
      <c r="L16" s="4219">
        <f>Table1!G30</f>
        <v>1084.2346034130699</v>
      </c>
      <c r="M16" s="4219">
        <f>Table1!H30</f>
        <v>160.09076931222788</v>
      </c>
      <c r="N16" s="4220">
        <f>Table1!I30</f>
        <v>7.1768312165339516</v>
      </c>
      <c r="O16" s="3783">
        <f t="shared" si="2"/>
        <v>15883.985214939326</v>
      </c>
    </row>
    <row r="17" spans="2:15" ht="18" customHeight="1" x14ac:dyDescent="0.3">
      <c r="B17" s="1371" t="s">
        <v>1482</v>
      </c>
      <c r="C17" s="4218">
        <f>Table1!C34</f>
        <v>418.99551792193483</v>
      </c>
      <c r="D17" s="4219">
        <f>Table1!D34</f>
        <v>2.6183991477554312E-2</v>
      </c>
      <c r="E17" s="4219">
        <f>Table1!E34</f>
        <v>1.1196441665532852E-2</v>
      </c>
      <c r="F17" s="69"/>
      <c r="G17" s="69"/>
      <c r="H17" s="69"/>
      <c r="I17" s="69"/>
      <c r="J17" s="69"/>
      <c r="K17" s="4219">
        <f>Table1!F34</f>
        <v>4.4067815222614115</v>
      </c>
      <c r="L17" s="4219">
        <f>Table1!G34</f>
        <v>5.9147459367815376</v>
      </c>
      <c r="M17" s="4219">
        <f>Table1!H34</f>
        <v>0.50975529714912982</v>
      </c>
      <c r="N17" s="4220">
        <f>Table1!I34</f>
        <v>0.19180842224998343</v>
      </c>
      <c r="O17" s="3783">
        <f t="shared" si="2"/>
        <v>422.69572672467257</v>
      </c>
    </row>
    <row r="18" spans="2:15" ht="18" customHeight="1" x14ac:dyDescent="0.3">
      <c r="B18" s="1370" t="s">
        <v>99</v>
      </c>
      <c r="C18" s="4223">
        <f>Table1!C37</f>
        <v>7272.4958844977455</v>
      </c>
      <c r="D18" s="4224">
        <f>Table1!D37</f>
        <v>1178.6854528270455</v>
      </c>
      <c r="E18" s="4224">
        <f>Table1!E37</f>
        <v>0.13505158334716988</v>
      </c>
      <c r="F18" s="69"/>
      <c r="G18" s="69"/>
      <c r="H18" s="69"/>
      <c r="I18" s="69"/>
      <c r="J18" s="69"/>
      <c r="K18" s="4224">
        <f>Table1!F37</f>
        <v>4.1628340377234334</v>
      </c>
      <c r="L18" s="4219">
        <f>Table1!G37</f>
        <v>24.14583741879591</v>
      </c>
      <c r="M18" s="4219">
        <f>Table1!H37</f>
        <v>179.33268001543632</v>
      </c>
      <c r="N18" s="4220" t="str">
        <f>Table1!I37</f>
        <v>NO</v>
      </c>
      <c r="O18" s="3783">
        <f t="shared" si="2"/>
        <v>40311.477233242018</v>
      </c>
    </row>
    <row r="19" spans="2:15" ht="18" customHeight="1" x14ac:dyDescent="0.3">
      <c r="B19" s="1371" t="s">
        <v>1483</v>
      </c>
      <c r="C19" s="4225">
        <f>Table1!C38</f>
        <v>1183.8805823664281</v>
      </c>
      <c r="D19" s="4226">
        <f>Table1!D38</f>
        <v>871.21359774724669</v>
      </c>
      <c r="E19" s="4224">
        <f>Table1!E38</f>
        <v>5.329956551366039E-7</v>
      </c>
      <c r="F19" s="69"/>
      <c r="G19" s="69"/>
      <c r="H19" s="69"/>
      <c r="I19" s="69"/>
      <c r="J19" s="69"/>
      <c r="K19" s="4224" t="str">
        <f>Table1!F38</f>
        <v>NO</v>
      </c>
      <c r="L19" s="4219" t="str">
        <f>Table1!G38</f>
        <v>NO</v>
      </c>
      <c r="M19" s="4219" t="str">
        <f>Table1!H38</f>
        <v>NO</v>
      </c>
      <c r="N19" s="4220" t="str">
        <f>Table1!I38</f>
        <v>NO</v>
      </c>
      <c r="O19" s="3783">
        <f t="shared" si="2"/>
        <v>25577.861460533186</v>
      </c>
    </row>
    <row r="20" spans="2:15" ht="18" customHeight="1" x14ac:dyDescent="0.3">
      <c r="B20" s="1372" t="s">
        <v>1484</v>
      </c>
      <c r="C20" s="4225">
        <f>Table1!C42</f>
        <v>6088.6153021313175</v>
      </c>
      <c r="D20" s="4227">
        <f>Table1!D42</f>
        <v>307.47185507979884</v>
      </c>
      <c r="E20" s="4224">
        <f>Table1!E42</f>
        <v>0.13505105035151474</v>
      </c>
      <c r="F20" s="3784"/>
      <c r="G20" s="3784"/>
      <c r="H20" s="3784"/>
      <c r="I20" s="3784"/>
      <c r="J20" s="69"/>
      <c r="K20" s="4224">
        <f>Table1!F42</f>
        <v>4.1628340377234334</v>
      </c>
      <c r="L20" s="4221">
        <f>Table1!G42</f>
        <v>24.14583741879591</v>
      </c>
      <c r="M20" s="4221">
        <f>Table1!H42</f>
        <v>179.33268001543632</v>
      </c>
      <c r="N20" s="4222" t="str">
        <f>Table1!I42</f>
        <v>NO</v>
      </c>
      <c r="O20" s="3785">
        <f t="shared" si="2"/>
        <v>14733.615772708838</v>
      </c>
    </row>
    <row r="21" spans="2:15" ht="18" customHeight="1" thickBot="1" x14ac:dyDescent="0.35">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3">
      <c r="B22" s="1374" t="s">
        <v>1486</v>
      </c>
      <c r="C22" s="4229">
        <f>'Table2(I)'!C10</f>
        <v>18552.628794626791</v>
      </c>
      <c r="D22" s="4230">
        <f>'Table2(I)'!D10</f>
        <v>3.2646478675884056</v>
      </c>
      <c r="E22" s="4231">
        <f>'Table2(I)'!E10</f>
        <v>3.4138016387751899</v>
      </c>
      <c r="F22" s="3810">
        <f>'Table2(I)'!F10</f>
        <v>1193.6537599999999</v>
      </c>
      <c r="G22" s="3810">
        <f>'Table2(I)'!G10</f>
        <v>4143.5315389337156</v>
      </c>
      <c r="H22" s="3810" t="str">
        <f>'Table2(I)'!H10</f>
        <v>NO</v>
      </c>
      <c r="I22" s="3810">
        <f>'Table2(I)'!I10</f>
        <v>9.6736708047799533E-3</v>
      </c>
      <c r="J22" s="3810" t="str">
        <f>'Table2(I)'!J10</f>
        <v>NO</v>
      </c>
      <c r="K22" s="3810">
        <f>'Table2(I)'!K10</f>
        <v>38.265821273188067</v>
      </c>
      <c r="L22" s="3810">
        <f>'Table2(I)'!L10</f>
        <v>10.241960561549931</v>
      </c>
      <c r="M22" s="3810">
        <f>'Table2(I)'!M10</f>
        <v>218.48962991146141</v>
      </c>
      <c r="N22" s="4217">
        <f>'Table2(I)'!N10</f>
        <v>1024.884097793984</v>
      </c>
      <c r="O22" s="3781">
        <f t="shared" si="2"/>
        <v>25113.212932040737</v>
      </c>
    </row>
    <row r="23" spans="2:15" ht="18" customHeight="1" x14ac:dyDescent="0.3">
      <c r="B23" s="1133" t="s">
        <v>1487</v>
      </c>
      <c r="C23" s="4232">
        <f>'Table2(I)'!C11</f>
        <v>5489.5881371538135</v>
      </c>
      <c r="D23" s="3789"/>
      <c r="E23" s="98"/>
      <c r="F23" s="98"/>
      <c r="G23" s="98"/>
      <c r="H23" s="98"/>
      <c r="I23" s="98"/>
      <c r="J23" s="69"/>
      <c r="K23" s="4233" t="str">
        <f>'Table2(I)'!K11</f>
        <v>NO</v>
      </c>
      <c r="L23" s="4233" t="str">
        <f>'Table2(I)'!L11</f>
        <v>NO</v>
      </c>
      <c r="M23" s="4233" t="str">
        <f>'Table2(I)'!M11</f>
        <v>NO</v>
      </c>
      <c r="N23" s="4234" t="str">
        <f>'Table2(I)'!N11</f>
        <v>NO</v>
      </c>
      <c r="O23" s="3782">
        <f t="shared" si="2"/>
        <v>5489.5881371538135</v>
      </c>
    </row>
    <row r="24" spans="2:15" ht="18" customHeight="1" x14ac:dyDescent="0.3">
      <c r="B24" s="1133" t="s">
        <v>621</v>
      </c>
      <c r="C24" s="4232">
        <f>'Table2(I)'!C16</f>
        <v>1054.6897029809475</v>
      </c>
      <c r="D24" s="4235">
        <f>'Table2(I)'!D16</f>
        <v>0.43762607399999998</v>
      </c>
      <c r="E24" s="4236">
        <f>'Table2(I)'!E16</f>
        <v>3.33906306</v>
      </c>
      <c r="F24" s="4219">
        <f>'Table2(I)'!F16</f>
        <v>1193.6537599999999</v>
      </c>
      <c r="G24" s="4219" t="str">
        <f>'Table2(I)'!G16</f>
        <v>NO</v>
      </c>
      <c r="H24" s="4219" t="str">
        <f>'Table2(I)'!H16</f>
        <v>NO</v>
      </c>
      <c r="I24" s="4219" t="str">
        <f>'Table2(I)'!I16</f>
        <v>NO</v>
      </c>
      <c r="J24" s="616" t="str">
        <f>'Table2(I)'!J16</f>
        <v>NO</v>
      </c>
      <c r="K24" s="4219" t="str">
        <f>'Table2(I)'!K16</f>
        <v>NO</v>
      </c>
      <c r="L24" s="4219" t="str">
        <f>'Table2(I)'!L16</f>
        <v>NO</v>
      </c>
      <c r="M24" s="4219">
        <f>'Table2(I)'!M16</f>
        <v>4.1018873770000006</v>
      </c>
      <c r="N24" s="4220" t="str">
        <f>'Table2(I)'!N16</f>
        <v>NO</v>
      </c>
      <c r="O24" s="3783">
        <f t="shared" si="2"/>
        <v>3145.4487039529472</v>
      </c>
    </row>
    <row r="25" spans="2:15" ht="18" customHeight="1" x14ac:dyDescent="0.3">
      <c r="B25" s="1133" t="s">
        <v>459</v>
      </c>
      <c r="C25" s="4232">
        <f>'Table2(I)'!C27</f>
        <v>11644.473410340323</v>
      </c>
      <c r="D25" s="4235">
        <f>'Table2(I)'!D27</f>
        <v>2.8270217935884054</v>
      </c>
      <c r="E25" s="4236">
        <f>'Table2(I)'!E27</f>
        <v>7.4738578775190162E-2</v>
      </c>
      <c r="F25" s="4219" t="str">
        <f>'Table2(I)'!F27</f>
        <v>NO</v>
      </c>
      <c r="G25" s="4219">
        <f>'Table2(I)'!G27</f>
        <v>4143.5315389337156</v>
      </c>
      <c r="H25" s="4219" t="str">
        <f>'Table2(I)'!H27</f>
        <v>NO</v>
      </c>
      <c r="I25" s="4219" t="str">
        <f>'Table2(I)'!I27</f>
        <v>NO</v>
      </c>
      <c r="J25" s="4219" t="str">
        <f>'Table2(I)'!J27</f>
        <v>NO</v>
      </c>
      <c r="K25" s="4219">
        <f>'Table2(I)'!K27</f>
        <v>38.265821273188067</v>
      </c>
      <c r="L25" s="4219">
        <f>'Table2(I)'!L27</f>
        <v>10.241960561549931</v>
      </c>
      <c r="M25" s="4219">
        <f>'Table2(I)'!M27</f>
        <v>9.2903543299075117E-2</v>
      </c>
      <c r="N25" s="4220">
        <f>'Table2(I)'!N27</f>
        <v>1024.884097793984</v>
      </c>
      <c r="O25" s="3783">
        <f t="shared" si="2"/>
        <v>15886.96728286994</v>
      </c>
    </row>
    <row r="26" spans="2:15" ht="18" customHeight="1" x14ac:dyDescent="0.3">
      <c r="B26" s="1133" t="s">
        <v>1488</v>
      </c>
      <c r="C26" s="4232">
        <f>'Table2(I)'!C35</f>
        <v>281.30450949999999</v>
      </c>
      <c r="D26" s="3790" t="str">
        <f>'Table2(I)'!D35</f>
        <v>NO</v>
      </c>
      <c r="E26" s="616" t="str">
        <f>'Table2(I)'!E35</f>
        <v>NO</v>
      </c>
      <c r="F26" s="69"/>
      <c r="G26" s="69"/>
      <c r="H26" s="69"/>
      <c r="I26" s="69"/>
      <c r="J26" s="69"/>
      <c r="K26" s="616" t="str">
        <f>'Table2(I)'!K35</f>
        <v>NO</v>
      </c>
      <c r="L26" s="4236" t="str">
        <f>'Table2(I)'!L35</f>
        <v>NO</v>
      </c>
      <c r="M26" s="4236">
        <f>'Table2(I)'!M35</f>
        <v>174.2911424911623</v>
      </c>
      <c r="N26" s="4237" t="str">
        <f>'Table2(I)'!N35</f>
        <v>NO</v>
      </c>
      <c r="O26" s="3783">
        <f t="shared" si="2"/>
        <v>281.30450949999999</v>
      </c>
    </row>
    <row r="27" spans="2:15" ht="18" customHeight="1" x14ac:dyDescent="0.3">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3">
      <c r="B28" s="1133" t="s">
        <v>1490</v>
      </c>
      <c r="C28" s="3791"/>
      <c r="D28" s="3792"/>
      <c r="E28" s="3784"/>
      <c r="F28" s="4221" t="str">
        <f>'Table2(I)'!F45</f>
        <v>NO</v>
      </c>
      <c r="G28" s="4221" t="str">
        <f>'Table2(I)'!G45</f>
        <v>NO</v>
      </c>
      <c r="H28" s="4221" t="str">
        <f>'Table2(I)'!H45</f>
        <v>NO</v>
      </c>
      <c r="I28" s="4221" t="str">
        <f>'Table2(I)'!I45</f>
        <v>NO</v>
      </c>
      <c r="J28" s="4221" t="str">
        <f>'Table2(I)'!J45</f>
        <v>NO</v>
      </c>
      <c r="K28" s="3784"/>
      <c r="L28" s="3784"/>
      <c r="M28" s="3784"/>
      <c r="N28" s="3793"/>
      <c r="O28" s="3785" t="str">
        <f t="shared" si="2"/>
        <v>NO</v>
      </c>
    </row>
    <row r="29" spans="2:15" ht="18" customHeight="1" x14ac:dyDescent="0.3">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9.6736708047799533E-3</v>
      </c>
      <c r="J29" s="616" t="str">
        <f>'Table2(I)'!J52</f>
        <v>NO</v>
      </c>
      <c r="K29" s="3796" t="str">
        <f>'Table2(I)'!K52</f>
        <v>NO</v>
      </c>
      <c r="L29" s="3796" t="str">
        <f>'Table2(I)'!L52</f>
        <v>NO</v>
      </c>
      <c r="M29" s="3796" t="str">
        <f>'Table2(I)'!M52</f>
        <v>NO</v>
      </c>
      <c r="N29" s="3797" t="str">
        <f>'Table2(I)'!N52</f>
        <v>NO</v>
      </c>
      <c r="O29" s="3785">
        <f t="shared" si="2"/>
        <v>227.33126391232889</v>
      </c>
    </row>
    <row r="30" spans="2:15" ht="18" customHeight="1" thickBot="1" x14ac:dyDescent="0.35">
      <c r="B30" s="1375" t="s">
        <v>2040</v>
      </c>
      <c r="C30" s="4239">
        <f>'Table2(I)'!C57</f>
        <v>82.573034651705768</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40.003696500000004</v>
      </c>
      <c r="N30" s="4242" t="str">
        <f>'Table2(I)'!N57</f>
        <v>NA</v>
      </c>
      <c r="O30" s="3798">
        <f t="shared" si="2"/>
        <v>82.573034651705768</v>
      </c>
    </row>
    <row r="31" spans="2:15" ht="18" customHeight="1" x14ac:dyDescent="0.3">
      <c r="B31" s="1134" t="s">
        <v>1491</v>
      </c>
      <c r="C31" s="3817">
        <f>Table3!C10</f>
        <v>582.01320937951778</v>
      </c>
      <c r="D31" s="3799">
        <f>Table3!D10</f>
        <v>2862.0554635349013</v>
      </c>
      <c r="E31" s="3800">
        <f>Table3!E10</f>
        <v>42.929199844169084</v>
      </c>
      <c r="F31" s="3801"/>
      <c r="G31" s="3801"/>
      <c r="H31" s="3801"/>
      <c r="I31" s="3801"/>
      <c r="J31" s="3801"/>
      <c r="K31" s="4243">
        <f>Table3!F10</f>
        <v>26.929788553329907</v>
      </c>
      <c r="L31" s="4243">
        <f>Table3!G10</f>
        <v>455.45136336696817</v>
      </c>
      <c r="M31" s="4243">
        <f>Table3!H10</f>
        <v>26.567996196406483</v>
      </c>
      <c r="N31" s="4244" t="str">
        <f>Table3!I10</f>
        <v>NO</v>
      </c>
      <c r="O31" s="3782">
        <f t="shared" si="2"/>
        <v>92095.804147061557</v>
      </c>
    </row>
    <row r="32" spans="2:15" ht="18" customHeight="1" x14ac:dyDescent="0.3">
      <c r="B32" s="1135" t="s">
        <v>1492</v>
      </c>
      <c r="C32" s="3791"/>
      <c r="D32" s="4245">
        <f>Table3!D11</f>
        <v>2585.3162725086167</v>
      </c>
      <c r="E32" s="98"/>
      <c r="F32" s="3802"/>
      <c r="G32" s="3802"/>
      <c r="H32" s="3789"/>
      <c r="I32" s="3802"/>
      <c r="J32" s="3789"/>
      <c r="K32" s="98"/>
      <c r="L32" s="98"/>
      <c r="M32" s="98"/>
      <c r="N32" s="3803"/>
      <c r="O32" s="3782">
        <f t="shared" si="2"/>
        <v>72388.855630241276</v>
      </c>
    </row>
    <row r="33" spans="2:15" ht="18" customHeight="1" x14ac:dyDescent="0.3">
      <c r="B33" s="1135" t="s">
        <v>1493</v>
      </c>
      <c r="C33" s="3791"/>
      <c r="D33" s="4226">
        <f>Table3!D20</f>
        <v>246.036108794439</v>
      </c>
      <c r="E33" s="4226">
        <f>Table3!E20</f>
        <v>0.76816438643373786</v>
      </c>
      <c r="F33" s="3802"/>
      <c r="G33" s="3802"/>
      <c r="H33" s="3802"/>
      <c r="I33" s="3802"/>
      <c r="J33" s="3802"/>
      <c r="K33" s="69"/>
      <c r="L33" s="69"/>
      <c r="M33" s="4246" t="str">
        <f>Table3!H20</f>
        <v>NE</v>
      </c>
      <c r="N33" s="3804"/>
      <c r="O33" s="3783">
        <f t="shared" si="2"/>
        <v>7092.5746086492327</v>
      </c>
    </row>
    <row r="34" spans="2:15" ht="18" customHeight="1" x14ac:dyDescent="0.3">
      <c r="B34" s="1135" t="s">
        <v>1494</v>
      </c>
      <c r="C34" s="3791"/>
      <c r="D34" s="4226">
        <f>Table3!D31</f>
        <v>19.024842145513141</v>
      </c>
      <c r="E34" s="69"/>
      <c r="F34" s="3802"/>
      <c r="G34" s="3802"/>
      <c r="H34" s="3802"/>
      <c r="I34" s="3802"/>
      <c r="J34" s="3802"/>
      <c r="K34" s="69"/>
      <c r="L34" s="69"/>
      <c r="M34" s="4246" t="str">
        <f>Table3!H31</f>
        <v>NE</v>
      </c>
      <c r="N34" s="3804"/>
      <c r="O34" s="3783">
        <f t="shared" si="2"/>
        <v>532.69558007436797</v>
      </c>
    </row>
    <row r="35" spans="2:15" ht="18" customHeight="1" x14ac:dyDescent="0.3">
      <c r="B35" s="1135" t="s">
        <v>1495</v>
      </c>
      <c r="C35" s="4247"/>
      <c r="D35" s="4226" t="str">
        <f>Table3!D32</f>
        <v>NE</v>
      </c>
      <c r="E35" s="4226">
        <f>Table3!E32</f>
        <v>41.694921519213942</v>
      </c>
      <c r="F35" s="3802"/>
      <c r="G35" s="3802"/>
      <c r="H35" s="3802"/>
      <c r="I35" s="3802"/>
      <c r="J35" s="3802"/>
      <c r="K35" s="4246" t="str">
        <f>Table3!F32</f>
        <v>NO</v>
      </c>
      <c r="L35" s="4246" t="str">
        <f>Table3!G32</f>
        <v>NO</v>
      </c>
      <c r="M35" s="4246" t="str">
        <f>Table3!H32</f>
        <v>NO</v>
      </c>
      <c r="N35" s="3804"/>
      <c r="O35" s="3783">
        <f t="shared" si="2"/>
        <v>11049.154202591695</v>
      </c>
    </row>
    <row r="36" spans="2:15" ht="18" customHeight="1" x14ac:dyDescent="0.3">
      <c r="B36" s="1135" t="s">
        <v>1496</v>
      </c>
      <c r="C36" s="3791"/>
      <c r="D36" s="4226" t="str">
        <f>Table3!D42</f>
        <v>NA</v>
      </c>
      <c r="E36" s="4226" t="str">
        <f>Table3!E42</f>
        <v>NA</v>
      </c>
      <c r="F36" s="3802"/>
      <c r="G36" s="3802"/>
      <c r="H36" s="3802"/>
      <c r="I36" s="3802"/>
      <c r="J36" s="3802"/>
      <c r="K36" s="4246" t="str">
        <f>Table3!F42</f>
        <v>NA</v>
      </c>
      <c r="L36" s="4246" t="str">
        <f>Table3!G42</f>
        <v>NA</v>
      </c>
      <c r="M36" s="4246" t="str">
        <f>Table3!H42</f>
        <v>NA</v>
      </c>
      <c r="N36" s="4246" t="str">
        <f>Table3!I42</f>
        <v>NA</v>
      </c>
      <c r="O36" s="3783" t="s">
        <v>2147</v>
      </c>
    </row>
    <row r="37" spans="2:15" ht="18" customHeight="1" x14ac:dyDescent="0.3">
      <c r="B37" s="1135" t="s">
        <v>1497</v>
      </c>
      <c r="C37" s="3791"/>
      <c r="D37" s="4226">
        <f>Table3!D43</f>
        <v>11.678240086332517</v>
      </c>
      <c r="E37" s="4226">
        <f>Table3!E43</f>
        <v>0.4661139385214037</v>
      </c>
      <c r="F37" s="3802"/>
      <c r="G37" s="3802"/>
      <c r="H37" s="3802"/>
      <c r="I37" s="3802"/>
      <c r="J37" s="3802"/>
      <c r="K37" s="4246">
        <f>Table3!F43</f>
        <v>26.929788553329907</v>
      </c>
      <c r="L37" s="4246">
        <f>Table3!G43</f>
        <v>455.45136336696817</v>
      </c>
      <c r="M37" s="4246">
        <f>Table3!H43</f>
        <v>26.567996196406483</v>
      </c>
      <c r="N37" s="4246" t="str">
        <f>Table3!I43</f>
        <v>NO</v>
      </c>
      <c r="O37" s="3783">
        <f t="shared" si="2"/>
        <v>450.51091612548242</v>
      </c>
    </row>
    <row r="38" spans="2:15" ht="18" customHeight="1" x14ac:dyDescent="0.3">
      <c r="B38" s="1136" t="s">
        <v>721</v>
      </c>
      <c r="C38" s="3794">
        <f>Table3!C44</f>
        <v>215.34654271285109</v>
      </c>
      <c r="D38" s="4248"/>
      <c r="E38" s="4248"/>
      <c r="F38" s="3792"/>
      <c r="G38" s="3792"/>
      <c r="H38" s="3792"/>
      <c r="I38" s="3792"/>
      <c r="J38" s="3792"/>
      <c r="K38" s="3805"/>
      <c r="L38" s="3805"/>
      <c r="M38" s="3805"/>
      <c r="N38" s="3793"/>
      <c r="O38" s="3785">
        <f t="shared" si="2"/>
        <v>215.34654271285109</v>
      </c>
    </row>
    <row r="39" spans="2:15" ht="18" customHeight="1" x14ac:dyDescent="0.3">
      <c r="B39" s="1136" t="s">
        <v>722</v>
      </c>
      <c r="C39" s="3806">
        <f>Table3!C45</f>
        <v>366.66666666666663</v>
      </c>
      <c r="D39" s="4248"/>
      <c r="E39" s="4248"/>
      <c r="F39" s="3792"/>
      <c r="G39" s="3792"/>
      <c r="H39" s="3792"/>
      <c r="I39" s="3792"/>
      <c r="J39" s="3792"/>
      <c r="K39" s="3805"/>
      <c r="L39" s="3805"/>
      <c r="M39" s="3805"/>
      <c r="N39" s="3793"/>
      <c r="O39" s="3785">
        <f t="shared" si="2"/>
        <v>366.66666666666663</v>
      </c>
    </row>
    <row r="40" spans="2:15" ht="18" customHeight="1" x14ac:dyDescent="0.3">
      <c r="B40" s="1136" t="s">
        <v>1498</v>
      </c>
      <c r="C40" s="3806" t="str">
        <f>Table3!C46</f>
        <v>NE</v>
      </c>
      <c r="D40" s="4248"/>
      <c r="E40" s="4248"/>
      <c r="F40" s="3792"/>
      <c r="G40" s="3792"/>
      <c r="H40" s="3792"/>
      <c r="I40" s="3792"/>
      <c r="J40" s="3792"/>
      <c r="K40" s="3805"/>
      <c r="L40" s="3805"/>
      <c r="M40" s="3805"/>
      <c r="N40" s="3793"/>
      <c r="O40" s="3785" t="s">
        <v>2154</v>
      </c>
    </row>
    <row r="41" spans="2:15" ht="18" customHeight="1" thickBot="1" x14ac:dyDescent="0.35">
      <c r="B41" s="1376" t="s">
        <v>1499</v>
      </c>
      <c r="C41" s="3833" t="str">
        <f>Table3!C47</f>
        <v>NO</v>
      </c>
      <c r="D41" s="4240" t="str">
        <f>Table3!D47</f>
        <v>NO</v>
      </c>
      <c r="E41" s="4241" t="str">
        <f>Table3!E47</f>
        <v>NO</v>
      </c>
      <c r="F41" s="3807"/>
      <c r="G41" s="3807"/>
      <c r="H41" s="3807"/>
      <c r="I41" s="3807"/>
      <c r="J41" s="87"/>
      <c r="K41" s="4246" t="str">
        <f>Table3!F47</f>
        <v>NO</v>
      </c>
      <c r="L41" s="4246" t="str">
        <f>Table3!G47</f>
        <v>NO</v>
      </c>
      <c r="M41" s="4246" t="str">
        <f>Table3!H47</f>
        <v>NO</v>
      </c>
      <c r="N41" s="4249" t="str">
        <f>Table3!I47</f>
        <v>NO</v>
      </c>
      <c r="O41" s="3798" t="str">
        <f t="shared" si="2"/>
        <v>NO</v>
      </c>
    </row>
    <row r="42" spans="2:15" ht="18" customHeight="1" x14ac:dyDescent="0.3">
      <c r="B42" s="1134" t="s">
        <v>2041</v>
      </c>
      <c r="C42" s="3808">
        <f>Table4!C10</f>
        <v>173581.36026367306</v>
      </c>
      <c r="D42" s="3809">
        <f>Table4!D10</f>
        <v>726.72987860600801</v>
      </c>
      <c r="E42" s="3810">
        <f>Table4!E10</f>
        <v>16.158841561002379</v>
      </c>
      <c r="F42" s="3801"/>
      <c r="G42" s="3801"/>
      <c r="H42" s="3801"/>
      <c r="I42" s="3801"/>
      <c r="J42" s="3801"/>
      <c r="K42" s="4250">
        <f>Table4!F10</f>
        <v>805.327215091016</v>
      </c>
      <c r="L42" s="4250">
        <f>Table4!G10</f>
        <v>22878.202555428175</v>
      </c>
      <c r="M42" s="4250">
        <f>Table4!H10</f>
        <v>1120.360602102716</v>
      </c>
      <c r="N42" s="4251" t="str">
        <f>N50</f>
        <v>NO</v>
      </c>
      <c r="O42" s="3781">
        <f t="shared" si="2"/>
        <v>198211.88987830692</v>
      </c>
    </row>
    <row r="43" spans="2:15" ht="18" customHeight="1" x14ac:dyDescent="0.3">
      <c r="B43" s="1135" t="s">
        <v>2042</v>
      </c>
      <c r="C43" s="4252">
        <f>Table4!C11</f>
        <v>-15706.288508129443</v>
      </c>
      <c r="D43" s="4253">
        <f>Table4!D11</f>
        <v>232.28726783832354</v>
      </c>
      <c r="E43" s="4254">
        <f>Table4!E11</f>
        <v>4.5564987128722096</v>
      </c>
      <c r="F43" s="3792"/>
      <c r="G43" s="3792"/>
      <c r="H43" s="3792"/>
      <c r="I43" s="3792"/>
      <c r="J43" s="3792"/>
      <c r="K43" s="4246">
        <f>Table4!F11</f>
        <v>250.68526459747403</v>
      </c>
      <c r="L43" s="4246">
        <f>Table4!G11</f>
        <v>6795.9477145028586</v>
      </c>
      <c r="M43" s="4246">
        <f>Table4!H11</f>
        <v>247.7119062261927</v>
      </c>
      <c r="N43" s="3811"/>
      <c r="O43" s="3812">
        <f t="shared" si="2"/>
        <v>-7994.7728497452481</v>
      </c>
    </row>
    <row r="44" spans="2:15" ht="18" customHeight="1" x14ac:dyDescent="0.3">
      <c r="B44" s="1135" t="s">
        <v>2043</v>
      </c>
      <c r="C44" s="4252">
        <f>Table4!C14</f>
        <v>45095.37484836088</v>
      </c>
      <c r="D44" s="4255">
        <f>Table4!D14</f>
        <v>23.279248799999998</v>
      </c>
      <c r="E44" s="4255">
        <f>Table4!E14</f>
        <v>0.56256655724854365</v>
      </c>
      <c r="F44" s="3802"/>
      <c r="G44" s="3802"/>
      <c r="H44" s="3802"/>
      <c r="I44" s="3802"/>
      <c r="J44" s="3802"/>
      <c r="K44" s="4246">
        <f>Table4!F14</f>
        <v>17.528720078571428</v>
      </c>
      <c r="L44" s="4246">
        <f>Table4!G14</f>
        <v>686.52229100000011</v>
      </c>
      <c r="M44" s="4246">
        <f>Table4!H14</f>
        <v>82.986211000000011</v>
      </c>
      <c r="N44" s="4256"/>
      <c r="O44" s="3783">
        <f t="shared" si="2"/>
        <v>45896.273952431744</v>
      </c>
    </row>
    <row r="45" spans="2:15" ht="18" customHeight="1" x14ac:dyDescent="0.3">
      <c r="B45" s="1135" t="s">
        <v>2044</v>
      </c>
      <c r="C45" s="4252">
        <f>Table4!C17</f>
        <v>142919.7014527928</v>
      </c>
      <c r="D45" s="4255">
        <f>Table4!D17</f>
        <v>375.31344528811064</v>
      </c>
      <c r="E45" s="4255">
        <f>Table4!E17</f>
        <v>10.622257691750296</v>
      </c>
      <c r="F45" s="3802"/>
      <c r="G45" s="3802"/>
      <c r="H45" s="3802"/>
      <c r="I45" s="3802"/>
      <c r="J45" s="3802"/>
      <c r="K45" s="4246">
        <f>Table4!F17</f>
        <v>513.57839919310254</v>
      </c>
      <c r="L45" s="4246">
        <f>Table4!G17</f>
        <v>14755.023040524793</v>
      </c>
      <c r="M45" s="4246">
        <f>Table4!H17</f>
        <v>765.57018836849954</v>
      </c>
      <c r="N45" s="4256"/>
      <c r="O45" s="3783">
        <f t="shared" si="2"/>
        <v>156243.37620917373</v>
      </c>
    </row>
    <row r="46" spans="2:15" ht="18" customHeight="1" x14ac:dyDescent="0.3">
      <c r="B46" s="1135" t="s">
        <v>2045</v>
      </c>
      <c r="C46" s="4252">
        <f>Table4!C20</f>
        <v>1393.2728901558985</v>
      </c>
      <c r="D46" s="4255">
        <f>Table4!D20</f>
        <v>89.171434279573845</v>
      </c>
      <c r="E46" s="4255">
        <f>Table4!E20</f>
        <v>0.25716816698448591</v>
      </c>
      <c r="F46" s="3802"/>
      <c r="G46" s="3802"/>
      <c r="H46" s="3802"/>
      <c r="I46" s="3802"/>
      <c r="J46" s="3802"/>
      <c r="K46" s="4246">
        <f>Table4!F20</f>
        <v>18.506092986153668</v>
      </c>
      <c r="L46" s="4246">
        <f>Table4!G20</f>
        <v>443.75611640052279</v>
      </c>
      <c r="M46" s="4246">
        <f>Table4!H20</f>
        <v>0.28474350802366877</v>
      </c>
      <c r="N46" s="4256"/>
      <c r="O46" s="3783">
        <f t="shared" si="2"/>
        <v>3958.222614234855</v>
      </c>
    </row>
    <row r="47" spans="2:15" ht="18" customHeight="1" x14ac:dyDescent="0.3">
      <c r="B47" s="1135" t="s">
        <v>2046</v>
      </c>
      <c r="C47" s="4252">
        <f>Table4!C23</f>
        <v>7263.3273582147913</v>
      </c>
      <c r="D47" s="4255">
        <f>Table4!D23</f>
        <v>6.6784824</v>
      </c>
      <c r="E47" s="4257">
        <f>Table4!E23</f>
        <v>0.1475923807182756</v>
      </c>
      <c r="F47" s="3802"/>
      <c r="G47" s="3802"/>
      <c r="H47" s="3802"/>
      <c r="I47" s="3802"/>
      <c r="J47" s="3802"/>
      <c r="K47" s="4246">
        <f>Table4!F23</f>
        <v>5.0287382357142851</v>
      </c>
      <c r="L47" s="4246">
        <f>Table4!G23</f>
        <v>196.95339300000003</v>
      </c>
      <c r="M47" s="4246">
        <f>Table4!H23</f>
        <v>23.807552999999999</v>
      </c>
      <c r="N47" s="1838"/>
      <c r="O47" s="3783">
        <f t="shared" si="2"/>
        <v>7489.4368463051342</v>
      </c>
    </row>
    <row r="48" spans="2:15" ht="18" customHeight="1" x14ac:dyDescent="0.3">
      <c r="B48" s="1135" t="s">
        <v>2047</v>
      </c>
      <c r="C48" s="4252" t="str">
        <f>Table4!C26</f>
        <v>NO</v>
      </c>
      <c r="D48" s="4258" t="str">
        <f>Table4!D26</f>
        <v>NO</v>
      </c>
      <c r="E48" s="4259" t="str">
        <f>Table4!E26</f>
        <v>NO</v>
      </c>
      <c r="F48" s="3792"/>
      <c r="G48" s="3792"/>
      <c r="H48" s="3792"/>
      <c r="I48" s="3792"/>
      <c r="J48" s="3792"/>
      <c r="K48" s="4246" t="str">
        <f>Table4!F26</f>
        <v>NO</v>
      </c>
      <c r="L48" s="4246" t="str">
        <f>Table4!G26</f>
        <v>NO</v>
      </c>
      <c r="M48" s="4246" t="str">
        <f>Table4!H26</f>
        <v>NO</v>
      </c>
      <c r="N48" s="3813"/>
      <c r="O48" s="3785" t="str">
        <f t="shared" si="2"/>
        <v>NO</v>
      </c>
    </row>
    <row r="49" spans="2:15" ht="18" customHeight="1" x14ac:dyDescent="0.3">
      <c r="B49" s="1135" t="s">
        <v>2048</v>
      </c>
      <c r="C49" s="4260">
        <f>Table4!C29</f>
        <v>-7384.0277777218835</v>
      </c>
      <c r="D49" s="3792"/>
      <c r="E49" s="3792"/>
      <c r="F49" s="3792"/>
      <c r="G49" s="3792"/>
      <c r="H49" s="3792"/>
      <c r="I49" s="3792"/>
      <c r="J49" s="3792"/>
      <c r="K49" s="3792"/>
      <c r="L49" s="3792"/>
      <c r="M49" s="3792"/>
      <c r="N49" s="3814"/>
      <c r="O49" s="3785">
        <f t="shared" si="2"/>
        <v>-7384.0277777218835</v>
      </c>
    </row>
    <row r="50" spans="2:15" ht="18" customHeight="1" thickBot="1" x14ac:dyDescent="0.35">
      <c r="B50" s="1376" t="s">
        <v>2049</v>
      </c>
      <c r="C50" s="4261" t="str">
        <f>Table4!C30</f>
        <v>NO</v>
      </c>
      <c r="D50" s="4262" t="str">
        <f>Table4!D30</f>
        <v>NO</v>
      </c>
      <c r="E50" s="4262">
        <f>Table4!E30</f>
        <v>1.2758051428571431E-2</v>
      </c>
      <c r="F50" s="3807"/>
      <c r="G50" s="3807"/>
      <c r="H50" s="3807"/>
      <c r="I50" s="3807"/>
      <c r="J50" s="3807"/>
      <c r="K50" s="4263" t="str">
        <f>Table4!F30</f>
        <v>NO</v>
      </c>
      <c r="L50" s="4263" t="str">
        <f>Table4!G30</f>
        <v>NO</v>
      </c>
      <c r="M50" s="4263" t="str">
        <f>Table4!H30</f>
        <v>NO</v>
      </c>
      <c r="N50" s="4263" t="s">
        <v>2146</v>
      </c>
      <c r="O50" s="3798">
        <f t="shared" si="2"/>
        <v>3.3808836285714294</v>
      </c>
    </row>
    <row r="51" spans="2:15" ht="18" customHeight="1" x14ac:dyDescent="0.3">
      <c r="B51" s="1377" t="s">
        <v>1500</v>
      </c>
      <c r="C51" s="3815">
        <f>Table5!C10</f>
        <v>73.841444217785693</v>
      </c>
      <c r="D51" s="3799">
        <f>Table5!D10</f>
        <v>829.68274453829054</v>
      </c>
      <c r="E51" s="3800">
        <f>Table5!E10</f>
        <v>0.59380049335514651</v>
      </c>
      <c r="F51" s="3801"/>
      <c r="G51" s="3801"/>
      <c r="H51" s="3801"/>
      <c r="I51" s="3801"/>
      <c r="J51" s="3801"/>
      <c r="K51" s="4243" t="str">
        <f>Table5!F10</f>
        <v>NO</v>
      </c>
      <c r="L51" s="4243" t="str">
        <f>Table5!G10</f>
        <v>NO</v>
      </c>
      <c r="M51" s="4243">
        <f>Table5!H10</f>
        <v>471.0113129234133</v>
      </c>
      <c r="N51" s="4244" t="str">
        <f>Table5!I10</f>
        <v>NO</v>
      </c>
      <c r="O51" s="4264">
        <f t="shared" si="2"/>
        <v>23462.315422029034</v>
      </c>
    </row>
    <row r="52" spans="2:15" ht="18" customHeight="1" x14ac:dyDescent="0.3">
      <c r="B52" s="1135" t="s">
        <v>2050</v>
      </c>
      <c r="C52" s="4247"/>
      <c r="D52" s="4245">
        <f>Table5!D11</f>
        <v>609.45198819999996</v>
      </c>
      <c r="E52" s="3816"/>
      <c r="F52" s="3801"/>
      <c r="G52" s="3801"/>
      <c r="H52" s="3801"/>
      <c r="I52" s="3801"/>
      <c r="J52" s="3801"/>
      <c r="K52" s="4246" t="str">
        <f>Table5!F11</f>
        <v>NO</v>
      </c>
      <c r="L52" s="4246" t="str">
        <f>Table5!G11</f>
        <v>NO</v>
      </c>
      <c r="M52" s="4246">
        <f>Table5!H11</f>
        <v>2.7188361346809455</v>
      </c>
      <c r="N52" s="3803"/>
      <c r="O52" s="4264">
        <f t="shared" si="2"/>
        <v>17064.655669599997</v>
      </c>
    </row>
    <row r="53" spans="2:15" ht="18" customHeight="1" x14ac:dyDescent="0.3">
      <c r="B53" s="1135" t="s">
        <v>1501</v>
      </c>
      <c r="C53" s="4247"/>
      <c r="D53" s="4245">
        <f>Table5!D15</f>
        <v>0.35026726298999472</v>
      </c>
      <c r="E53" s="4245">
        <f>Table5!E15</f>
        <v>4.4834209662719324E-2</v>
      </c>
      <c r="F53" s="3802"/>
      <c r="G53" s="3802"/>
      <c r="H53" s="3802"/>
      <c r="I53" s="3802"/>
      <c r="J53" s="3802"/>
      <c r="K53" s="4246" t="str">
        <f>Table5!F15</f>
        <v>NA,NE</v>
      </c>
      <c r="L53" s="4246" t="str">
        <f>Table5!G15</f>
        <v>NA,NE</v>
      </c>
      <c r="M53" s="4246" t="str">
        <f>Table5!H15</f>
        <v>NA,NE</v>
      </c>
      <c r="N53" s="3803"/>
      <c r="O53" s="3782">
        <f t="shared" si="2"/>
        <v>21.688548924340473</v>
      </c>
    </row>
    <row r="54" spans="2:15" ht="18" customHeight="1" x14ac:dyDescent="0.3">
      <c r="B54" s="1135" t="s">
        <v>2051</v>
      </c>
      <c r="C54" s="4265">
        <f>Table5!C18</f>
        <v>73.841444217785693</v>
      </c>
      <c r="D54" s="4226">
        <f>Table5!D18</f>
        <v>9.2671199999999995E-2</v>
      </c>
      <c r="E54" s="4226">
        <f>Table5!E18</f>
        <v>3.7979999999999993E-2</v>
      </c>
      <c r="F54" s="3802"/>
      <c r="G54" s="3802"/>
      <c r="H54" s="3802"/>
      <c r="I54" s="3802"/>
      <c r="J54" s="3802"/>
      <c r="K54" s="4246" t="str">
        <f>Table5!F18</f>
        <v>NA</v>
      </c>
      <c r="L54" s="4246" t="str">
        <f>Table5!G18</f>
        <v>NA</v>
      </c>
      <c r="M54" s="4246" t="str">
        <f>Table5!H18</f>
        <v>NA</v>
      </c>
      <c r="N54" s="4266" t="str">
        <f>Table5!I18</f>
        <v>NA</v>
      </c>
      <c r="O54" s="4267">
        <f t="shared" si="2"/>
        <v>86.500937817785697</v>
      </c>
    </row>
    <row r="55" spans="2:15" ht="18" customHeight="1" x14ac:dyDescent="0.3">
      <c r="B55" s="1135" t="s">
        <v>1502</v>
      </c>
      <c r="C55" s="3791"/>
      <c r="D55" s="4226">
        <f>Table5!D21</f>
        <v>219.7878178753005</v>
      </c>
      <c r="E55" s="4226">
        <f>Table5!E21</f>
        <v>0.51098628369242716</v>
      </c>
      <c r="F55" s="3802"/>
      <c r="G55" s="3802"/>
      <c r="H55" s="3802"/>
      <c r="I55" s="3802"/>
      <c r="J55" s="3802"/>
      <c r="K55" s="4246" t="str">
        <f>Table5!F21</f>
        <v>NO</v>
      </c>
      <c r="L55" s="4246" t="str">
        <f>Table5!G21</f>
        <v>NO</v>
      </c>
      <c r="M55" s="4246">
        <f>Table5!H21</f>
        <v>468.29247678873236</v>
      </c>
      <c r="N55" s="3803"/>
      <c r="O55" s="4267">
        <f t="shared" si="2"/>
        <v>6289.4702656869067</v>
      </c>
    </row>
    <row r="56" spans="2:15" ht="18" customHeight="1" thickBot="1" x14ac:dyDescent="0.35">
      <c r="B56" s="1376" t="s">
        <v>2052</v>
      </c>
      <c r="C56" s="4239" t="str">
        <f>Table5!C25</f>
        <v>NE</v>
      </c>
      <c r="D56" s="4240" t="str">
        <f>Table5!D25</f>
        <v>NE</v>
      </c>
      <c r="E56" s="4240" t="str">
        <f>Table5!E25</f>
        <v>NE</v>
      </c>
      <c r="F56" s="3807"/>
      <c r="G56" s="3807"/>
      <c r="H56" s="3807"/>
      <c r="I56" s="3807"/>
      <c r="J56" s="3807"/>
      <c r="K56" s="4263" t="str">
        <f>Table5!F25</f>
        <v>NE</v>
      </c>
      <c r="L56" s="4263" t="str">
        <f>Table5!G25</f>
        <v>NE</v>
      </c>
      <c r="M56" s="4263" t="str">
        <f>Table5!H25</f>
        <v>NE</v>
      </c>
      <c r="N56" s="4249" t="str">
        <f>Table5!I25</f>
        <v>NE</v>
      </c>
      <c r="O56" s="4268" t="s">
        <v>2154</v>
      </c>
    </row>
    <row r="57" spans="2:15" ht="18" customHeight="1" x14ac:dyDescent="0.3">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0" t="str">
        <f t="shared" si="3"/>
        <v>NO</v>
      </c>
      <c r="L57" s="4250" t="str">
        <f t="shared" si="3"/>
        <v>NO</v>
      </c>
      <c r="M57" s="4250" t="str">
        <f t="shared" si="3"/>
        <v>NO</v>
      </c>
      <c r="N57" s="4251" t="str">
        <f t="shared" si="3"/>
        <v>NO</v>
      </c>
      <c r="O57" s="4269" t="str">
        <f t="shared" si="2"/>
        <v>NO</v>
      </c>
    </row>
    <row r="58" spans="2:15" ht="18" customHeight="1" thickBot="1" x14ac:dyDescent="0.35">
      <c r="B58" s="4270" t="s">
        <v>2147</v>
      </c>
      <c r="C58" s="4271" t="s">
        <v>2146</v>
      </c>
      <c r="D58" s="4272" t="s">
        <v>2146</v>
      </c>
      <c r="E58" s="4273" t="s">
        <v>2146</v>
      </c>
      <c r="F58" s="4273" t="s">
        <v>2146</v>
      </c>
      <c r="G58" s="4273" t="s">
        <v>2146</v>
      </c>
      <c r="H58" s="4273" t="s">
        <v>2146</v>
      </c>
      <c r="I58" s="4273" t="s">
        <v>2146</v>
      </c>
      <c r="J58" s="4273" t="s">
        <v>2146</v>
      </c>
      <c r="K58" s="3831" t="s">
        <v>2146</v>
      </c>
      <c r="L58" s="3831" t="s">
        <v>2146</v>
      </c>
      <c r="M58" s="3831" t="s">
        <v>2146</v>
      </c>
      <c r="N58" s="3832" t="s">
        <v>2146</v>
      </c>
      <c r="O58" s="4274" t="str">
        <f t="shared" si="2"/>
        <v>NO</v>
      </c>
    </row>
    <row r="59" spans="2:15" ht="18" customHeight="1" thickBot="1" x14ac:dyDescent="0.35">
      <c r="B59" s="2514"/>
      <c r="C59" s="2515"/>
      <c r="D59" s="2515"/>
      <c r="E59" s="2515"/>
      <c r="F59" s="2515"/>
      <c r="G59" s="2515"/>
      <c r="H59" s="2515"/>
      <c r="I59" s="2515"/>
      <c r="J59" s="2515"/>
      <c r="K59" s="4275"/>
      <c r="L59" s="4275"/>
      <c r="M59" s="4275"/>
      <c r="N59" s="4275"/>
      <c r="O59" s="4275"/>
    </row>
    <row r="60" spans="2:15" ht="18" customHeight="1" x14ac:dyDescent="0.3">
      <c r="B60" s="1378" t="s">
        <v>2054</v>
      </c>
      <c r="C60" s="2519"/>
      <c r="D60" s="2520"/>
      <c r="E60" s="2520"/>
      <c r="F60" s="2520"/>
      <c r="G60" s="2520"/>
      <c r="H60" s="2520"/>
      <c r="I60" s="2520"/>
      <c r="J60" s="2520"/>
      <c r="K60" s="2520"/>
      <c r="L60" s="2520"/>
      <c r="M60" s="2520"/>
      <c r="N60" s="2521"/>
      <c r="O60" s="1557"/>
    </row>
    <row r="61" spans="2:15" ht="18" customHeight="1" x14ac:dyDescent="0.3">
      <c r="B61" s="1379" t="s">
        <v>110</v>
      </c>
      <c r="C61" s="3819">
        <f>Table1!C52</f>
        <v>6460.402</v>
      </c>
      <c r="D61" s="3820">
        <f>Table1!D52</f>
        <v>0.20738744833333336</v>
      </c>
      <c r="E61" s="3820">
        <f>Table1!E52</f>
        <v>7.9993873321929823E-2</v>
      </c>
      <c r="F61" s="628"/>
      <c r="G61" s="628"/>
      <c r="H61" s="628"/>
      <c r="I61" s="628"/>
      <c r="J61" s="628"/>
      <c r="K61" s="3820">
        <f>Table1!F52</f>
        <v>76.895369280614034</v>
      </c>
      <c r="L61" s="3820">
        <f>Table1!G52</f>
        <v>8.8486802076315776</v>
      </c>
      <c r="M61" s="3820">
        <f>Table1!H52</f>
        <v>5.0486217502543864</v>
      </c>
      <c r="N61" s="3821">
        <f>Table1!I52</f>
        <v>30.231947792172743</v>
      </c>
      <c r="O61" s="4264">
        <f t="shared" ref="O61:O67" si="4">IF(SUM(C61:J61)=0,"NO",SUM(C61,F61:H61)+28*SUM(D61)+265*SUM(E61)+23500*SUM(I61)+16100*SUM(J61))</f>
        <v>6487.4072249836445</v>
      </c>
    </row>
    <row r="62" spans="2:15" ht="18" customHeight="1" x14ac:dyDescent="0.3">
      <c r="B62" s="1371" t="s">
        <v>111</v>
      </c>
      <c r="C62" s="4276">
        <f>Table1!C53</f>
        <v>4382.7120000000004</v>
      </c>
      <c r="D62" s="4233">
        <f>Table1!D53</f>
        <v>7.8174483333333343E-3</v>
      </c>
      <c r="E62" s="4233">
        <f>Table1!E53</f>
        <v>2.2973873321929825E-2</v>
      </c>
      <c r="F62" s="628"/>
      <c r="G62" s="628"/>
      <c r="H62" s="628"/>
      <c r="I62" s="628"/>
      <c r="J62" s="2135"/>
      <c r="K62" s="4233">
        <f>Table1!F53</f>
        <v>22.218969280614033</v>
      </c>
      <c r="L62" s="4233">
        <f>Table1!G53</f>
        <v>6.9302202076315771</v>
      </c>
      <c r="M62" s="4233">
        <f>Table1!H53</f>
        <v>3.3473517502543864</v>
      </c>
      <c r="N62" s="4234">
        <f>Table1!I53</f>
        <v>0.51635400000000009</v>
      </c>
      <c r="O62" s="3782">
        <f t="shared" si="4"/>
        <v>4389.0189649836448</v>
      </c>
    </row>
    <row r="63" spans="2:15" ht="18" customHeight="1" x14ac:dyDescent="0.3">
      <c r="B63" s="1380" t="s">
        <v>1503</v>
      </c>
      <c r="C63" s="4276">
        <f>Table1!C54</f>
        <v>2077.69</v>
      </c>
      <c r="D63" s="4219">
        <f>Table1!D54</f>
        <v>0.19957000000000003</v>
      </c>
      <c r="E63" s="4219">
        <f>Table1!E54</f>
        <v>5.7020000000000001E-2</v>
      </c>
      <c r="F63" s="628"/>
      <c r="G63" s="628"/>
      <c r="H63" s="628"/>
      <c r="I63" s="628"/>
      <c r="J63" s="628"/>
      <c r="K63" s="4219">
        <f>Table1!F54</f>
        <v>54.676400000000001</v>
      </c>
      <c r="L63" s="4219">
        <f>Table1!G54</f>
        <v>1.9184600000000001</v>
      </c>
      <c r="M63" s="4219">
        <f>Table1!H54</f>
        <v>1.7012700000000001</v>
      </c>
      <c r="N63" s="4220">
        <f>Table1!I54</f>
        <v>29.715593792172744</v>
      </c>
      <c r="O63" s="3783">
        <f t="shared" si="4"/>
        <v>2098.3882599999997</v>
      </c>
    </row>
    <row r="64" spans="2:15" ht="18" customHeight="1" x14ac:dyDescent="0.3">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3">
      <c r="B65" s="1382" t="s">
        <v>114</v>
      </c>
      <c r="C65" s="3822">
        <f>Table1!C56</f>
        <v>15142.26513</v>
      </c>
      <c r="D65" s="3823"/>
      <c r="E65" s="3823"/>
      <c r="F65" s="3824"/>
      <c r="G65" s="3824"/>
      <c r="H65" s="3824"/>
      <c r="I65" s="3824"/>
      <c r="J65" s="3823"/>
      <c r="K65" s="3823"/>
      <c r="L65" s="3823"/>
      <c r="M65" s="3823"/>
      <c r="N65" s="3825"/>
      <c r="O65" s="3812">
        <f t="shared" si="4"/>
        <v>15142.26513</v>
      </c>
    </row>
    <row r="66" spans="2:15" ht="18" customHeight="1" x14ac:dyDescent="0.3">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5">
      <c r="B67" s="1384" t="s">
        <v>1505</v>
      </c>
      <c r="C67" s="3826">
        <f>Table5!C28</f>
        <v>-186838.5274408925</v>
      </c>
      <c r="D67" s="3824"/>
      <c r="E67" s="3824"/>
      <c r="F67" s="3828"/>
      <c r="G67" s="3824"/>
      <c r="H67" s="3824"/>
      <c r="I67" s="3824"/>
      <c r="J67" s="3824"/>
      <c r="K67" s="3824"/>
      <c r="L67" s="3824"/>
      <c r="M67" s="3824"/>
      <c r="N67" s="3829"/>
      <c r="O67" s="3785">
        <f t="shared" si="4"/>
        <v>-186838.5274408925</v>
      </c>
    </row>
    <row r="68" spans="2:15" ht="18" customHeight="1" thickBot="1" x14ac:dyDescent="0.35">
      <c r="B68" s="1137" t="s">
        <v>1506</v>
      </c>
      <c r="C68" s="4277"/>
      <c r="D68" s="4278"/>
      <c r="E68" s="4279" t="str">
        <f>Table6!I10</f>
        <v>IE,NE,NO</v>
      </c>
      <c r="F68" s="4278"/>
      <c r="G68" s="4278"/>
      <c r="H68" s="4278"/>
      <c r="I68" s="4278"/>
      <c r="J68" s="4278"/>
      <c r="K68" s="4278"/>
      <c r="L68" s="4278"/>
      <c r="M68" s="4278"/>
      <c r="N68" s="4280"/>
      <c r="O68" s="3830" t="str">
        <f>E68</f>
        <v>IE,NE,NO</v>
      </c>
    </row>
    <row r="69" spans="2:15" ht="18" customHeight="1" thickBot="1" x14ac:dyDescent="0.35">
      <c r="B69" s="2513"/>
      <c r="C69" s="4281"/>
      <c r="D69" s="4281"/>
      <c r="E69" s="4281"/>
      <c r="F69" s="4281"/>
      <c r="G69" s="4281"/>
      <c r="H69" s="4281"/>
      <c r="I69" s="4281"/>
      <c r="J69" s="4281"/>
      <c r="K69" s="4281"/>
      <c r="L69" s="4281"/>
      <c r="M69" s="4281"/>
      <c r="N69" s="4281"/>
      <c r="O69" s="4281"/>
    </row>
    <row r="70" spans="2:15" ht="18" customHeight="1" thickBot="1" x14ac:dyDescent="0.35">
      <c r="B70" s="1138" t="s">
        <v>1507</v>
      </c>
      <c r="C70" s="4279" t="str">
        <f>Table6!H10</f>
        <v>NE,NO</v>
      </c>
      <c r="D70" s="4282"/>
      <c r="E70" s="4283"/>
      <c r="F70" s="4283"/>
      <c r="G70" s="4283"/>
      <c r="H70" s="4283"/>
      <c r="I70" s="4283"/>
      <c r="J70" s="4283"/>
      <c r="K70" s="4283"/>
      <c r="L70" s="4283"/>
      <c r="M70" s="4283"/>
      <c r="N70" s="4284"/>
      <c r="O70" s="3830" t="str">
        <f>C70</f>
        <v>NE,NO</v>
      </c>
    </row>
    <row r="71" spans="2:15" x14ac:dyDescent="0.3">
      <c r="B71" s="1139"/>
    </row>
    <row r="72" spans="2:15" x14ac:dyDescent="0.3">
      <c r="B72" s="1140"/>
      <c r="C72" s="1140"/>
      <c r="D72" s="1140"/>
      <c r="E72" s="1140"/>
      <c r="F72" s="1140"/>
      <c r="G72" s="1140"/>
      <c r="H72" s="1140"/>
      <c r="I72" s="1140"/>
      <c r="J72" s="1140"/>
      <c r="K72" s="1140"/>
      <c r="L72" s="1140"/>
      <c r="M72" s="1140"/>
      <c r="N72" s="1140"/>
      <c r="O72" s="1140"/>
    </row>
    <row r="73" spans="2:15" x14ac:dyDescent="0.3">
      <c r="B73" s="1141"/>
      <c r="C73" s="1140"/>
      <c r="D73" s="1140"/>
      <c r="E73" s="1140"/>
      <c r="F73" s="1140"/>
      <c r="G73" s="1140"/>
      <c r="H73" s="1140"/>
      <c r="I73" s="1140"/>
      <c r="J73" s="1140"/>
      <c r="K73" s="1140"/>
      <c r="L73" s="1140"/>
      <c r="M73" s="1140"/>
      <c r="N73" s="1140"/>
      <c r="O73" s="1140"/>
    </row>
    <row r="74" spans="2:15" x14ac:dyDescent="0.3">
      <c r="B74" s="1142"/>
      <c r="C74" s="1142"/>
      <c r="D74" s="1142"/>
      <c r="E74" s="1142"/>
      <c r="F74" s="1142"/>
      <c r="G74" s="1142"/>
      <c r="H74" s="1142"/>
      <c r="I74" s="1142"/>
      <c r="J74" s="1142"/>
      <c r="K74" s="1142"/>
      <c r="L74" s="1142"/>
      <c r="M74" s="1142"/>
      <c r="N74" s="1143"/>
      <c r="O74" s="1143"/>
    </row>
    <row r="75" spans="2:15" x14ac:dyDescent="0.3">
      <c r="B75" s="1144"/>
      <c r="C75" s="1142"/>
      <c r="D75" s="1142"/>
      <c r="E75" s="1142"/>
      <c r="F75" s="1142"/>
      <c r="G75" s="1142"/>
      <c r="H75" s="1142"/>
      <c r="I75" s="1142"/>
      <c r="J75" s="1142"/>
      <c r="K75" s="1142"/>
      <c r="L75" s="1142"/>
      <c r="M75" s="1142"/>
      <c r="N75" s="1143"/>
      <c r="O75" s="1143"/>
    </row>
    <row r="76" spans="2:15" x14ac:dyDescent="0.3">
      <c r="B76" s="1145"/>
      <c r="C76" s="1145"/>
      <c r="D76" s="1145"/>
      <c r="E76" s="1145"/>
      <c r="F76" s="1145"/>
      <c r="G76" s="1143"/>
      <c r="H76" s="1143"/>
      <c r="I76" s="1143"/>
      <c r="J76" s="1143"/>
      <c r="K76" s="1143"/>
      <c r="L76" s="1143"/>
      <c r="M76" s="1143"/>
      <c r="N76" s="1143"/>
      <c r="O76" s="1143"/>
    </row>
    <row r="77" spans="2:15" x14ac:dyDescent="0.3">
      <c r="B77" s="1145"/>
      <c r="C77" s="1145"/>
      <c r="D77" s="1145"/>
      <c r="E77" s="1145"/>
      <c r="F77" s="1145"/>
      <c r="G77" s="1143"/>
      <c r="H77" s="1143"/>
      <c r="I77" s="1143"/>
      <c r="J77" s="1143"/>
      <c r="K77" s="1143"/>
      <c r="L77" s="1143"/>
      <c r="M77" s="1143"/>
      <c r="N77" s="1143"/>
      <c r="O77" s="1143"/>
    </row>
    <row r="78" spans="2:15" x14ac:dyDescent="0.3">
      <c r="B78" s="962"/>
      <c r="C78" s="962"/>
      <c r="D78" s="962"/>
      <c r="E78" s="962"/>
      <c r="F78" s="962"/>
      <c r="G78" s="962"/>
      <c r="H78" s="1143"/>
      <c r="I78" s="1143"/>
      <c r="J78" s="1143"/>
      <c r="K78" s="1143"/>
      <c r="L78" s="1143"/>
      <c r="M78" s="1143"/>
      <c r="N78" s="1143"/>
      <c r="O78" s="1143"/>
    </row>
    <row r="79" spans="2:15" x14ac:dyDescent="0.3">
      <c r="B79" s="1146"/>
      <c r="C79" s="1143"/>
      <c r="D79" s="1143"/>
      <c r="E79" s="1143"/>
      <c r="F79" s="1143"/>
      <c r="G79" s="1143"/>
      <c r="H79" s="1143"/>
      <c r="I79" s="1143"/>
      <c r="J79" s="1143"/>
      <c r="K79" s="1143"/>
      <c r="L79" s="1143"/>
      <c r="M79" s="1143"/>
      <c r="N79" s="1143"/>
      <c r="O79" s="1143"/>
    </row>
    <row r="80" spans="2:15" x14ac:dyDescent="0.3">
      <c r="B80" s="1147"/>
      <c r="C80" s="1143"/>
      <c r="D80" s="1143"/>
      <c r="E80" s="1143"/>
      <c r="F80" s="1143"/>
      <c r="G80" s="1143"/>
      <c r="H80" s="1143"/>
      <c r="I80" s="1143"/>
      <c r="J80" s="1143"/>
      <c r="K80" s="1143"/>
      <c r="L80" s="1143"/>
      <c r="M80" s="1143"/>
      <c r="N80" s="1143"/>
      <c r="O80" s="1143"/>
    </row>
    <row r="81" spans="2:15" x14ac:dyDescent="0.3">
      <c r="B81" s="1146"/>
      <c r="C81" s="1146"/>
      <c r="D81" s="1146"/>
      <c r="E81" s="1146"/>
      <c r="F81" s="1146"/>
      <c r="G81" s="1146"/>
      <c r="H81" s="1146"/>
      <c r="I81" s="1146"/>
    </row>
    <row r="82" spans="2:15" x14ac:dyDescent="0.3">
      <c r="B82" s="1148"/>
      <c r="C82" s="1148"/>
      <c r="D82" s="1148"/>
      <c r="E82" s="1148"/>
      <c r="F82" s="1148"/>
      <c r="G82" s="1148"/>
      <c r="H82" s="1148"/>
      <c r="I82" s="1148"/>
      <c r="J82" s="1148"/>
      <c r="K82" s="1148"/>
      <c r="L82" s="1148"/>
      <c r="M82" s="1148"/>
      <c r="N82" s="1149"/>
      <c r="O82" s="1149"/>
    </row>
    <row r="83" spans="2:15" x14ac:dyDescent="0.3">
      <c r="B83" s="1147"/>
    </row>
    <row r="84" spans="2:15" x14ac:dyDescent="0.3">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3.2" x14ac:dyDescent="0.25"/>
  <cols>
    <col min="1" max="1" width="1.88671875" customWidth="1"/>
    <col min="2" max="2" width="60.33203125" customWidth="1"/>
    <col min="3" max="11" width="14.88671875" customWidth="1"/>
    <col min="12" max="12" width="10.88671875" customWidth="1"/>
  </cols>
  <sheetData>
    <row r="1" spans="2:12" ht="18" x14ac:dyDescent="0.25">
      <c r="B1" s="213" t="s">
        <v>1508</v>
      </c>
      <c r="C1" s="213"/>
      <c r="D1" s="213"/>
      <c r="E1" s="213"/>
      <c r="F1" s="213"/>
      <c r="K1" s="14" t="s">
        <v>2521</v>
      </c>
    </row>
    <row r="2" spans="2:12" ht="15.6" x14ac:dyDescent="0.25">
      <c r="B2" s="3" t="s">
        <v>62</v>
      </c>
      <c r="K2" s="14" t="s">
        <v>2522</v>
      </c>
    </row>
    <row r="3" spans="2:12" x14ac:dyDescent="0.25">
      <c r="K3" s="14" t="s">
        <v>2144</v>
      </c>
    </row>
    <row r="4" spans="2:12" hidden="1" x14ac:dyDescent="0.25">
      <c r="K4" s="2"/>
    </row>
    <row r="5" spans="2:12" hidden="1" x14ac:dyDescent="0.25">
      <c r="K5" s="2"/>
    </row>
    <row r="6" spans="2:12" hidden="1" x14ac:dyDescent="0.25">
      <c r="K6" s="2"/>
    </row>
    <row r="7" spans="2:12" ht="13.8" thickBot="1" x14ac:dyDescent="0.3">
      <c r="B7" s="2446" t="s">
        <v>64</v>
      </c>
      <c r="K7" s="623"/>
    </row>
    <row r="8" spans="2:12" ht="22.8" x14ac:dyDescent="0.25">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3">
      <c r="B9" s="2549" t="s">
        <v>328</v>
      </c>
      <c r="C9" s="1921" t="s">
        <v>1515</v>
      </c>
      <c r="D9" s="1922"/>
      <c r="E9" s="1922"/>
      <c r="F9" s="1922"/>
      <c r="G9" s="1922"/>
      <c r="H9" s="1922"/>
      <c r="I9" s="614"/>
      <c r="J9" s="614"/>
      <c r="K9" s="626"/>
    </row>
    <row r="10" spans="2:12" ht="18" customHeight="1" thickTop="1" thickBot="1" x14ac:dyDescent="0.3">
      <c r="B10" s="1391" t="s">
        <v>1516</v>
      </c>
      <c r="C10" s="4213">
        <f>Summary1!C10</f>
        <v>451741.62831893959</v>
      </c>
      <c r="D10" s="4213">
        <f>IFERROR(Summary1!D10*28,Summary1!D10)</f>
        <v>160497.86711497075</v>
      </c>
      <c r="E10" s="4213">
        <f>IFERROR(Summary1!E10*265,Summary1!E10)</f>
        <v>18464.63523886554</v>
      </c>
      <c r="F10" s="4213">
        <f>Summary1!F10</f>
        <v>1193.6537599999999</v>
      </c>
      <c r="G10" s="4213">
        <f>Summary1!G10</f>
        <v>4143.5315389337156</v>
      </c>
      <c r="H10" s="4213" t="str">
        <f>Summary1!H10</f>
        <v>NO</v>
      </c>
      <c r="I10" s="4285">
        <f>IFERROR(Summary1!I10*23500,Summary1!I10)</f>
        <v>227.33126391232889</v>
      </c>
      <c r="J10" s="4286" t="str">
        <f>IFERROR(Summary1!J10*16100,Summary1!J10)</f>
        <v>NO</v>
      </c>
      <c r="K10" s="4214">
        <f>IF(SUM(C10:J10)=0,"NO",SUM(C10:J10))</f>
        <v>636268.64723562193</v>
      </c>
    </row>
    <row r="11" spans="2:12" ht="18" customHeight="1" x14ac:dyDescent="0.25">
      <c r="B11" s="1550" t="s">
        <v>1476</v>
      </c>
      <c r="C11" s="4250">
        <f>Summary1!C11</f>
        <v>258951.78460704247</v>
      </c>
      <c r="D11" s="4250">
        <f>IFERROR(Summary1!D11*28,Summary1!D11)</f>
        <v>36689.350547660688</v>
      </c>
      <c r="E11" s="4250">
        <f>IFERROR(Summary1!E11*265,Summary1!E11)</f>
        <v>1744.2897014805612</v>
      </c>
      <c r="F11" s="1929"/>
      <c r="G11" s="1929"/>
      <c r="H11" s="1930"/>
      <c r="I11" s="1930"/>
      <c r="J11" s="627"/>
      <c r="K11" s="4287">
        <f t="shared" ref="K11:K55" si="0">IF(SUM(C11:J11)=0,"NO",SUM(C11:J11))</f>
        <v>297385.4248561837</v>
      </c>
      <c r="L11" s="19"/>
    </row>
    <row r="12" spans="2:12" ht="18" customHeight="1" x14ac:dyDescent="0.25">
      <c r="B12" s="620" t="s">
        <v>131</v>
      </c>
      <c r="C12" s="4246">
        <f>Summary1!C12</f>
        <v>251679.28872254473</v>
      </c>
      <c r="D12" s="4246">
        <f>IFERROR(Summary1!D12*28,Summary1!D12)</f>
        <v>3686.1578685034137</v>
      </c>
      <c r="E12" s="4246">
        <f>IFERROR(Summary1!E12*265,Summary1!E12)</f>
        <v>1708.5010318935613</v>
      </c>
      <c r="F12" s="628"/>
      <c r="G12" s="628"/>
      <c r="H12" s="628"/>
      <c r="I12" s="69"/>
      <c r="J12" s="69"/>
      <c r="K12" s="4288">
        <f t="shared" si="0"/>
        <v>257073.94762294172</v>
      </c>
      <c r="L12" s="19"/>
    </row>
    <row r="13" spans="2:12" ht="18" customHeight="1" x14ac:dyDescent="0.25">
      <c r="B13" s="1392" t="s">
        <v>1478</v>
      </c>
      <c r="C13" s="4246">
        <f>Summary1!C13</f>
        <v>142550.68803032237</v>
      </c>
      <c r="D13" s="4246">
        <f>IFERROR(Summary1!D13*28,Summary1!D13)</f>
        <v>171.32169765427429</v>
      </c>
      <c r="E13" s="4246">
        <f>IFERROR(Summary1!E13*265,Summary1!E13)</f>
        <v>450.74631182860566</v>
      </c>
      <c r="F13" s="628"/>
      <c r="G13" s="628"/>
      <c r="H13" s="628"/>
      <c r="I13" s="69"/>
      <c r="J13" s="69"/>
      <c r="K13" s="4288">
        <f t="shared" si="0"/>
        <v>143172.75603980524</v>
      </c>
      <c r="L13" s="19"/>
    </row>
    <row r="14" spans="2:12" ht="18" customHeight="1" x14ac:dyDescent="0.25">
      <c r="B14" s="1392" t="s">
        <v>1517</v>
      </c>
      <c r="C14" s="4246">
        <f>Summary1!C14</f>
        <v>35866.538631108204</v>
      </c>
      <c r="D14" s="4246">
        <f>IFERROR(Summary1!D14*28,Summary1!D14)</f>
        <v>57.684927651331748</v>
      </c>
      <c r="E14" s="4246">
        <f>IFERROR(Summary1!E14*265,Summary1!E14)</f>
        <v>300.69837443314759</v>
      </c>
      <c r="F14" s="628"/>
      <c r="G14" s="628"/>
      <c r="H14" s="628"/>
      <c r="I14" s="69"/>
      <c r="J14" s="69"/>
      <c r="K14" s="4288">
        <f t="shared" si="0"/>
        <v>36224.92193319268</v>
      </c>
      <c r="L14" s="19"/>
    </row>
    <row r="15" spans="2:12" ht="18" customHeight="1" x14ac:dyDescent="0.25">
      <c r="B15" s="1392" t="s">
        <v>1480</v>
      </c>
      <c r="C15" s="4246">
        <f>Summary1!C15</f>
        <v>59818.85626807365</v>
      </c>
      <c r="D15" s="4246">
        <f>IFERROR(Summary1!D15*28,Summary1!D15)</f>
        <v>737.66236467714862</v>
      </c>
      <c r="E15" s="4246">
        <f>IFERROR(Summary1!E15*265,Summary1!E15)</f>
        <v>813.07007552899915</v>
      </c>
      <c r="F15" s="628"/>
      <c r="G15" s="628"/>
      <c r="H15" s="628"/>
      <c r="I15" s="69"/>
      <c r="J15" s="69"/>
      <c r="K15" s="4288">
        <f t="shared" si="0"/>
        <v>61369.5887082798</v>
      </c>
      <c r="L15" s="19"/>
    </row>
    <row r="16" spans="2:12" ht="18" customHeight="1" x14ac:dyDescent="0.25">
      <c r="B16" s="1392" t="s">
        <v>1481</v>
      </c>
      <c r="C16" s="4246">
        <f>Summary1!C16</f>
        <v>13024.210275118596</v>
      </c>
      <c r="D16" s="4246">
        <f>IFERROR(Summary1!D16*28,Summary1!D16)</f>
        <v>2718.7557267592879</v>
      </c>
      <c r="E16" s="4246">
        <f>IFERROR(Summary1!E16*265,Summary1!E16)</f>
        <v>141.01921306144283</v>
      </c>
      <c r="F16" s="628"/>
      <c r="G16" s="628"/>
      <c r="H16" s="628"/>
      <c r="I16" s="69"/>
      <c r="J16" s="69"/>
      <c r="K16" s="4288">
        <f t="shared" si="0"/>
        <v>15883.985214939326</v>
      </c>
      <c r="L16" s="19"/>
    </row>
    <row r="17" spans="2:12" ht="18" customHeight="1" x14ac:dyDescent="0.25">
      <c r="B17" s="1392" t="s">
        <v>1482</v>
      </c>
      <c r="C17" s="4246">
        <f>Summary1!C17</f>
        <v>418.99551792193483</v>
      </c>
      <c r="D17" s="4246">
        <f>IFERROR(Summary1!D17*28,Summary1!D17)</f>
        <v>0.73315176137152072</v>
      </c>
      <c r="E17" s="4246">
        <f>IFERROR(Summary1!E17*265,Summary1!E17)</f>
        <v>2.9670570413662061</v>
      </c>
      <c r="F17" s="628"/>
      <c r="G17" s="628"/>
      <c r="H17" s="628"/>
      <c r="I17" s="69"/>
      <c r="J17" s="69"/>
      <c r="K17" s="4288">
        <f t="shared" si="0"/>
        <v>422.69572672467257</v>
      </c>
      <c r="L17" s="19"/>
    </row>
    <row r="18" spans="2:12" ht="18" customHeight="1" x14ac:dyDescent="0.25">
      <c r="B18" s="620" t="s">
        <v>99</v>
      </c>
      <c r="C18" s="4246">
        <f>Summary1!C18</f>
        <v>7272.4958844977455</v>
      </c>
      <c r="D18" s="4246">
        <f>IFERROR(Summary1!D18*28,Summary1!D18)</f>
        <v>33003.192679157277</v>
      </c>
      <c r="E18" s="4246">
        <f>IFERROR(Summary1!E18*265,Summary1!E18)</f>
        <v>35.788669587000015</v>
      </c>
      <c r="F18" s="628"/>
      <c r="G18" s="628"/>
      <c r="H18" s="628"/>
      <c r="I18" s="69"/>
      <c r="J18" s="69"/>
      <c r="K18" s="4288">
        <f t="shared" si="0"/>
        <v>40311.477233242018</v>
      </c>
      <c r="L18" s="19"/>
    </row>
    <row r="19" spans="2:12" ht="18" customHeight="1" x14ac:dyDescent="0.25">
      <c r="B19" s="1392" t="s">
        <v>1483</v>
      </c>
      <c r="C19" s="4246">
        <f>Summary1!C19</f>
        <v>1183.8805823664281</v>
      </c>
      <c r="D19" s="4246">
        <f>IFERROR(Summary1!D19*28,Summary1!D19)</f>
        <v>24393.980736922909</v>
      </c>
      <c r="E19" s="4246">
        <f>IFERROR(Summary1!E19*265,Summary1!E19)</f>
        <v>1.4124384861120004E-4</v>
      </c>
      <c r="F19" s="628"/>
      <c r="G19" s="628"/>
      <c r="H19" s="628"/>
      <c r="I19" s="69"/>
      <c r="J19" s="69"/>
      <c r="K19" s="4288">
        <f t="shared" si="0"/>
        <v>25577.861460533186</v>
      </c>
      <c r="L19" s="19"/>
    </row>
    <row r="20" spans="2:12" ht="18" customHeight="1" x14ac:dyDescent="0.25">
      <c r="B20" s="1393" t="s">
        <v>1484</v>
      </c>
      <c r="C20" s="4246">
        <f>Summary1!C20</f>
        <v>6088.6153021313175</v>
      </c>
      <c r="D20" s="4246">
        <f>IFERROR(Summary1!D20*28,Summary1!D20)</f>
        <v>8609.2119422343676</v>
      </c>
      <c r="E20" s="4246">
        <f>IFERROR(Summary1!E20*265,Summary1!E20)</f>
        <v>35.788528343151405</v>
      </c>
      <c r="F20" s="628"/>
      <c r="G20" s="628"/>
      <c r="H20" s="628"/>
      <c r="I20" s="69"/>
      <c r="J20" s="69"/>
      <c r="K20" s="4288">
        <f t="shared" si="0"/>
        <v>14733.615772708838</v>
      </c>
      <c r="L20" s="19"/>
    </row>
    <row r="21" spans="2:12" ht="18" customHeight="1" thickBot="1" x14ac:dyDescent="0.3">
      <c r="B21" s="1407" t="s">
        <v>1518</v>
      </c>
      <c r="C21" s="4263" t="str">
        <f>Summary1!C21</f>
        <v>NO</v>
      </c>
      <c r="D21" s="1923"/>
      <c r="E21" s="1923"/>
      <c r="F21" s="1923"/>
      <c r="G21" s="1923"/>
      <c r="H21" s="1923"/>
      <c r="I21" s="87"/>
      <c r="J21" s="87"/>
      <c r="K21" s="4289" t="str">
        <f t="shared" si="0"/>
        <v>NO</v>
      </c>
      <c r="L21" s="19"/>
    </row>
    <row r="22" spans="2:12" ht="18" customHeight="1" x14ac:dyDescent="0.25">
      <c r="B22" s="1551" t="s">
        <v>1486</v>
      </c>
      <c r="C22" s="4250">
        <f>Summary1!C22</f>
        <v>18552.628794626791</v>
      </c>
      <c r="D22" s="4250">
        <f>IFERROR(Summary1!D22*28,Summary1!D22)</f>
        <v>91.410140292475361</v>
      </c>
      <c r="E22" s="4250">
        <f>IFERROR(Summary1!E22*265,Summary1!E22)</f>
        <v>904.65743427542532</v>
      </c>
      <c r="F22" s="4250">
        <f>Summary1!F22</f>
        <v>1193.6537599999999</v>
      </c>
      <c r="G22" s="4250">
        <f>Summary1!G22</f>
        <v>4143.5315389337156</v>
      </c>
      <c r="H22" s="4250" t="str">
        <f>Summary1!H22</f>
        <v>NO</v>
      </c>
      <c r="I22" s="4250">
        <f>IFERROR(Summary1!I22*23500,Summary1!I22)</f>
        <v>227.33126391232889</v>
      </c>
      <c r="J22" s="4290" t="str">
        <f>IFERROR(Summary1!J22*16100,Summary1!J22)</f>
        <v>NO</v>
      </c>
      <c r="K22" s="4287">
        <f t="shared" si="0"/>
        <v>25113.212932040737</v>
      </c>
      <c r="L22" s="19"/>
    </row>
    <row r="23" spans="2:12" ht="18" customHeight="1" x14ac:dyDescent="0.25">
      <c r="B23" s="1394" t="s">
        <v>1487</v>
      </c>
      <c r="C23" s="4246">
        <f>Summary1!C23</f>
        <v>5489.5881371538135</v>
      </c>
      <c r="D23" s="628"/>
      <c r="E23" s="628"/>
      <c r="F23" s="628"/>
      <c r="G23" s="628"/>
      <c r="H23" s="628"/>
      <c r="I23" s="69"/>
      <c r="J23" s="69"/>
      <c r="K23" s="4288">
        <f t="shared" si="0"/>
        <v>5489.5881371538135</v>
      </c>
      <c r="L23" s="19"/>
    </row>
    <row r="24" spans="2:12" ht="18" customHeight="1" x14ac:dyDescent="0.25">
      <c r="B24" s="1394" t="s">
        <v>621</v>
      </c>
      <c r="C24" s="4246">
        <f>Summary1!C24</f>
        <v>1054.6897029809475</v>
      </c>
      <c r="D24" s="4246">
        <f>IFERROR(Summary1!D24*28,Summary1!D24)</f>
        <v>12.253530072</v>
      </c>
      <c r="E24" s="4246">
        <f>IFERROR(Summary1!E24*265,Summary1!E24)</f>
        <v>884.85171089999994</v>
      </c>
      <c r="F24" s="1924">
        <f>Summary1!F24</f>
        <v>1193.6537599999999</v>
      </c>
      <c r="G24" s="1924" t="str">
        <f>Summary1!G24</f>
        <v>NO</v>
      </c>
      <c r="H24" s="1924" t="str">
        <f>Summary1!H24</f>
        <v>NO</v>
      </c>
      <c r="I24" s="616" t="str">
        <f>IFERROR(Summary1!I24*23500,Summary1!I24)</f>
        <v>NO</v>
      </c>
      <c r="J24" s="616" t="str">
        <f>IFERROR(Summary1!J24*16100,Summary1!J24)</f>
        <v>NO</v>
      </c>
      <c r="K24" s="4288">
        <f t="shared" si="0"/>
        <v>3145.4487039529477</v>
      </c>
      <c r="L24" s="19"/>
    </row>
    <row r="25" spans="2:12" ht="18" customHeight="1" x14ac:dyDescent="0.25">
      <c r="B25" s="1394" t="s">
        <v>459</v>
      </c>
      <c r="C25" s="4246">
        <f>Summary1!C25</f>
        <v>11644.473410340323</v>
      </c>
      <c r="D25" s="4246">
        <f>IFERROR(Summary1!D25*28,Summary1!D25)</f>
        <v>79.156610220475358</v>
      </c>
      <c r="E25" s="4246">
        <f>IFERROR(Summary1!E25*265,Summary1!E25)</f>
        <v>19.805723375425394</v>
      </c>
      <c r="F25" s="1924" t="str">
        <f>Summary1!F25</f>
        <v>NO</v>
      </c>
      <c r="G25" s="4246">
        <f>Summary1!G25</f>
        <v>4143.5315389337156</v>
      </c>
      <c r="H25" s="4246" t="str">
        <f>Summary1!H25</f>
        <v>NO</v>
      </c>
      <c r="I25" s="4246" t="str">
        <f>IFERROR(Summary1!I25*23500,Summary1!I25)</f>
        <v>NO</v>
      </c>
      <c r="J25" s="4246" t="str">
        <f>IFERROR(Summary1!J25*16100,Summary1!J25)</f>
        <v>NO</v>
      </c>
      <c r="K25" s="4288">
        <f t="shared" si="0"/>
        <v>15886.96728286994</v>
      </c>
      <c r="L25" s="19"/>
    </row>
    <row r="26" spans="2:12" ht="18" customHeight="1" x14ac:dyDescent="0.25">
      <c r="B26" s="1395" t="s">
        <v>1519</v>
      </c>
      <c r="C26" s="4246">
        <f>Summary1!C26</f>
        <v>281.30450949999999</v>
      </c>
      <c r="D26" s="4246" t="str">
        <f>IFERROR(Summary1!D26*28,Summary1!D26)</f>
        <v>NO</v>
      </c>
      <c r="E26" s="4246" t="str">
        <f>IFERROR(Summary1!E26*265,Summary1!E26)</f>
        <v>NO</v>
      </c>
      <c r="F26" s="628"/>
      <c r="G26" s="628"/>
      <c r="H26" s="628"/>
      <c r="I26" s="69"/>
      <c r="J26" s="69"/>
      <c r="K26" s="4288">
        <f t="shared" si="0"/>
        <v>281.30450949999999</v>
      </c>
      <c r="L26" s="19"/>
    </row>
    <row r="27" spans="2:12" ht="18" customHeight="1" x14ac:dyDescent="0.25">
      <c r="B27" s="1395" t="s">
        <v>1520</v>
      </c>
      <c r="C27" s="628"/>
      <c r="D27" s="628"/>
      <c r="E27" s="4246" t="str">
        <f>IFERROR(Summary1!E27*265,Summary1!E27)</f>
        <v>NO</v>
      </c>
      <c r="F27" s="1924" t="str">
        <f>Summary1!F27</f>
        <v>NO</v>
      </c>
      <c r="G27" s="4246" t="str">
        <f>Summary1!G27</f>
        <v>NO</v>
      </c>
      <c r="H27" s="4246" t="str">
        <f>Summary1!H27</f>
        <v>NO</v>
      </c>
      <c r="I27" s="4246" t="str">
        <f>IFERROR(Summary1!I27*23500,Summary1!I27)</f>
        <v>NO</v>
      </c>
      <c r="J27" s="4246" t="str">
        <f>IFERROR(Summary1!J27*16100,Summary1!J27)</f>
        <v>NO</v>
      </c>
      <c r="K27" s="4288" t="str">
        <f t="shared" si="0"/>
        <v>NO</v>
      </c>
      <c r="L27" s="19"/>
    </row>
    <row r="28" spans="2:12" ht="18" customHeight="1" x14ac:dyDescent="0.25">
      <c r="B28" s="1395" t="s">
        <v>1521</v>
      </c>
      <c r="C28" s="628"/>
      <c r="D28" s="628"/>
      <c r="E28" s="628"/>
      <c r="F28" s="1924" t="str">
        <f>Summary1!F28</f>
        <v>NO</v>
      </c>
      <c r="G28" s="4246" t="str">
        <f>Summary1!G28</f>
        <v>NO</v>
      </c>
      <c r="H28" s="4246" t="str">
        <f>Summary1!H28</f>
        <v>NO</v>
      </c>
      <c r="I28" s="4246" t="str">
        <f>IFERROR(Summary1!I28*23500,Summary1!I28)</f>
        <v>NO</v>
      </c>
      <c r="J28" s="4246" t="str">
        <f>IFERROR(Summary1!J28*16100,Summary1!J28)</f>
        <v>NO</v>
      </c>
      <c r="K28" s="4288" t="str">
        <f t="shared" si="0"/>
        <v>NO</v>
      </c>
      <c r="L28" s="19"/>
    </row>
    <row r="29" spans="2:12" ht="18" customHeight="1" x14ac:dyDescent="0.25">
      <c r="B29" s="1395" t="s">
        <v>1522</v>
      </c>
      <c r="C29" s="4246" t="str">
        <f>Summary1!C29</f>
        <v>NO</v>
      </c>
      <c r="D29" s="4246" t="str">
        <f>IFERROR(Summary1!D29*28,Summary1!D29)</f>
        <v>NO</v>
      </c>
      <c r="E29" s="4246" t="str">
        <f>IFERROR(Summary1!E29*265,Summary1!E29)</f>
        <v>IE</v>
      </c>
      <c r="F29" s="1924" t="str">
        <f>Summary1!F29</f>
        <v>NO</v>
      </c>
      <c r="G29" s="4246" t="str">
        <f>Summary1!G29</f>
        <v>NO</v>
      </c>
      <c r="H29" s="4246" t="str">
        <f>Summary1!H29</f>
        <v>NO</v>
      </c>
      <c r="I29" s="4246">
        <f>IFERROR(Summary1!I29*23500,Summary1!I29)</f>
        <v>227.33126391232889</v>
      </c>
      <c r="J29" s="4246" t="str">
        <f>IFERROR(Summary1!J29*16100,Summary1!J29)</f>
        <v>NO</v>
      </c>
      <c r="K29" s="4288">
        <f t="shared" si="0"/>
        <v>227.33126391232889</v>
      </c>
      <c r="L29" s="19"/>
    </row>
    <row r="30" spans="2:12" ht="18" customHeight="1" thickBot="1" x14ac:dyDescent="0.3">
      <c r="B30" s="1407" t="s">
        <v>1523</v>
      </c>
      <c r="C30" s="4263">
        <f>Summary1!C30</f>
        <v>82.573034651705768</v>
      </c>
      <c r="D30" s="4263" t="str">
        <f>IFERROR(Summary1!D30*28,Summary1!D30)</f>
        <v>NO</v>
      </c>
      <c r="E30" s="4263" t="str">
        <f>IFERROR(Summary1!E30*265,Summary1!E30)</f>
        <v>NO</v>
      </c>
      <c r="F30" s="4263" t="str">
        <f>Summary1!F30</f>
        <v>NO</v>
      </c>
      <c r="G30" s="4263" t="str">
        <f>Summary1!G30</f>
        <v>NO</v>
      </c>
      <c r="H30" s="4263" t="str">
        <f>Summary1!H30</f>
        <v>NO</v>
      </c>
      <c r="I30" s="4263" t="str">
        <f>IFERROR(Summary1!I30*23500,Summary1!I30)</f>
        <v>NO</v>
      </c>
      <c r="J30" s="617" t="str">
        <f>IFERROR(Summary1!J30*16100,Summary1!J30)</f>
        <v>NO</v>
      </c>
      <c r="K30" s="4289">
        <f t="shared" si="0"/>
        <v>82.573034651705768</v>
      </c>
      <c r="L30" s="19"/>
    </row>
    <row r="31" spans="2:12" ht="18" customHeight="1" x14ac:dyDescent="0.25">
      <c r="B31" s="772" t="s">
        <v>1491</v>
      </c>
      <c r="C31" s="4250">
        <f>Summary1!C31</f>
        <v>582.01320937951778</v>
      </c>
      <c r="D31" s="4250">
        <f>IFERROR(Summary1!D31*28,Summary1!D31)</f>
        <v>80137.552978977241</v>
      </c>
      <c r="E31" s="4250">
        <f>IFERROR(Summary1!E31*265,Summary1!E31)</f>
        <v>11376.237958704807</v>
      </c>
      <c r="F31" s="1929"/>
      <c r="G31" s="1929"/>
      <c r="H31" s="1929"/>
      <c r="I31" s="4215"/>
      <c r="J31" s="627"/>
      <c r="K31" s="4287">
        <f t="shared" si="0"/>
        <v>92095.804147061557</v>
      </c>
      <c r="L31" s="19"/>
    </row>
    <row r="32" spans="2:12" ht="18" customHeight="1" x14ac:dyDescent="0.25">
      <c r="B32" s="620" t="s">
        <v>1492</v>
      </c>
      <c r="C32" s="628"/>
      <c r="D32" s="4246">
        <f>IFERROR(Summary1!D32*28,Summary1!D32)</f>
        <v>72388.855630241276</v>
      </c>
      <c r="E32" s="628"/>
      <c r="F32" s="628"/>
      <c r="G32" s="628"/>
      <c r="H32" s="628"/>
      <c r="I32" s="69"/>
      <c r="J32" s="69"/>
      <c r="K32" s="4288">
        <f t="shared" si="0"/>
        <v>72388.855630241276</v>
      </c>
      <c r="L32" s="19"/>
    </row>
    <row r="33" spans="2:12" ht="18" customHeight="1" x14ac:dyDescent="0.25">
      <c r="B33" s="620" t="s">
        <v>1493</v>
      </c>
      <c r="C33" s="628"/>
      <c r="D33" s="4246">
        <f>IFERROR(Summary1!D33*28,Summary1!D33)</f>
        <v>6889.0110462442917</v>
      </c>
      <c r="E33" s="4246">
        <f>IFERROR(Summary1!E33*265,Summary1!E33)</f>
        <v>203.56356240494054</v>
      </c>
      <c r="F33" s="628"/>
      <c r="G33" s="628"/>
      <c r="H33" s="628"/>
      <c r="I33" s="69"/>
      <c r="J33" s="69"/>
      <c r="K33" s="4288">
        <f t="shared" si="0"/>
        <v>7092.5746086492327</v>
      </c>
      <c r="L33" s="19"/>
    </row>
    <row r="34" spans="2:12" ht="18" customHeight="1" x14ac:dyDescent="0.25">
      <c r="B34" s="620" t="s">
        <v>1494</v>
      </c>
      <c r="C34" s="628"/>
      <c r="D34" s="4246">
        <f>IFERROR(Summary1!D34*28,Summary1!D34)</f>
        <v>532.69558007436797</v>
      </c>
      <c r="E34" s="628"/>
      <c r="F34" s="628"/>
      <c r="G34" s="628"/>
      <c r="H34" s="628"/>
      <c r="I34" s="69"/>
      <c r="J34" s="69"/>
      <c r="K34" s="4288">
        <f t="shared" si="0"/>
        <v>532.69558007436797</v>
      </c>
      <c r="L34" s="19"/>
    </row>
    <row r="35" spans="2:12" ht="18" customHeight="1" x14ac:dyDescent="0.25">
      <c r="B35" s="620" t="s">
        <v>1495</v>
      </c>
      <c r="C35" s="1925"/>
      <c r="D35" s="4246" t="str">
        <f>IFERROR(Summary1!D35*28,Summary1!D35)</f>
        <v>NE</v>
      </c>
      <c r="E35" s="4246">
        <f>IFERROR(Summary1!E35*265,Summary1!E35)</f>
        <v>11049.154202591695</v>
      </c>
      <c r="F35" s="628"/>
      <c r="G35" s="628"/>
      <c r="H35" s="628"/>
      <c r="I35" s="69"/>
      <c r="J35" s="69"/>
      <c r="K35" s="4288">
        <f t="shared" si="0"/>
        <v>11049.154202591695</v>
      </c>
      <c r="L35" s="19"/>
    </row>
    <row r="36" spans="2:12" ht="18" customHeight="1" x14ac:dyDescent="0.25">
      <c r="B36" s="620" t="s">
        <v>1496</v>
      </c>
      <c r="C36" s="628"/>
      <c r="D36" s="4246" t="str">
        <f>IFERROR(Summary1!D36*28,Summary1!D36)</f>
        <v>NA</v>
      </c>
      <c r="E36" s="4246" t="str">
        <f>IFERROR(Summary1!E36*265,Summary1!E36)</f>
        <v>NA</v>
      </c>
      <c r="F36" s="628"/>
      <c r="G36" s="628"/>
      <c r="H36" s="628"/>
      <c r="I36" s="69"/>
      <c r="J36" s="69"/>
      <c r="K36" s="4288" t="str">
        <f>IF(SUM(C36:J36)=0,D36,SUM(C36:J36))</f>
        <v>NA</v>
      </c>
      <c r="L36" s="19"/>
    </row>
    <row r="37" spans="2:12" ht="18" customHeight="1" x14ac:dyDescent="0.25">
      <c r="B37" s="620" t="s">
        <v>1497</v>
      </c>
      <c r="C37" s="628"/>
      <c r="D37" s="4246">
        <f>IFERROR(Summary1!D37*28,Summary1!D37)</f>
        <v>326.99072241731045</v>
      </c>
      <c r="E37" s="4246">
        <f>IFERROR(Summary1!E37*265,Summary1!E37)</f>
        <v>123.52019370817199</v>
      </c>
      <c r="F37" s="628"/>
      <c r="G37" s="628"/>
      <c r="H37" s="628"/>
      <c r="I37" s="69"/>
      <c r="J37" s="69"/>
      <c r="K37" s="4288">
        <f t="shared" si="0"/>
        <v>450.51091612548242</v>
      </c>
      <c r="L37" s="19"/>
    </row>
    <row r="38" spans="2:12" ht="18" customHeight="1" x14ac:dyDescent="0.25">
      <c r="B38" s="620" t="s">
        <v>721</v>
      </c>
      <c r="C38" s="1924">
        <f>Summary1!C38</f>
        <v>215.34654271285109</v>
      </c>
      <c r="D38" s="4291"/>
      <c r="E38" s="4291"/>
      <c r="F38" s="628"/>
      <c r="G38" s="628"/>
      <c r="H38" s="628"/>
      <c r="I38" s="69"/>
      <c r="J38" s="69"/>
      <c r="K38" s="4288">
        <f t="shared" si="0"/>
        <v>215.34654271285109</v>
      </c>
      <c r="L38" s="19"/>
    </row>
    <row r="39" spans="2:12" ht="18" customHeight="1" x14ac:dyDescent="0.25">
      <c r="B39" s="620" t="s">
        <v>722</v>
      </c>
      <c r="C39" s="1924">
        <f>Summary1!C39</f>
        <v>366.66666666666663</v>
      </c>
      <c r="D39" s="4291"/>
      <c r="E39" s="4291"/>
      <c r="F39" s="628"/>
      <c r="G39" s="628"/>
      <c r="H39" s="628"/>
      <c r="I39" s="69"/>
      <c r="J39" s="69"/>
      <c r="K39" s="4288">
        <f t="shared" si="0"/>
        <v>366.66666666666663</v>
      </c>
      <c r="L39" s="19"/>
    </row>
    <row r="40" spans="2:12" ht="18" customHeight="1" x14ac:dyDescent="0.25">
      <c r="B40" s="620" t="s">
        <v>723</v>
      </c>
      <c r="C40" s="1924" t="str">
        <f>Summary1!C40</f>
        <v>NE</v>
      </c>
      <c r="D40" s="4291"/>
      <c r="E40" s="4291"/>
      <c r="F40" s="628"/>
      <c r="G40" s="628"/>
      <c r="H40" s="628"/>
      <c r="I40" s="69"/>
      <c r="J40" s="69"/>
      <c r="K40" s="4288" t="str">
        <f>IF(SUM(C40:J40)=0,C40,SUM(C40:J40))</f>
        <v>NE</v>
      </c>
      <c r="L40" s="19"/>
    </row>
    <row r="41" spans="2:12" ht="18" customHeight="1" thickBot="1" x14ac:dyDescent="0.3">
      <c r="B41" s="1552" t="s">
        <v>1499</v>
      </c>
      <c r="C41" s="1926" t="str">
        <f>Summary1!C41</f>
        <v>NO</v>
      </c>
      <c r="D41" s="1926" t="str">
        <f>IFERROR(Summary1!D41*28,Summary1!D41)</f>
        <v>NO</v>
      </c>
      <c r="E41" s="1926" t="str">
        <f>IFERROR(Summary1!E41*265,Summary1!E41)</f>
        <v>NO</v>
      </c>
      <c r="F41" s="1923"/>
      <c r="G41" s="1923"/>
      <c r="H41" s="1923"/>
      <c r="I41" s="87"/>
      <c r="J41" s="87"/>
      <c r="K41" s="4289" t="str">
        <f t="shared" si="0"/>
        <v>NO</v>
      </c>
      <c r="L41" s="19"/>
    </row>
    <row r="42" spans="2:12" ht="18" customHeight="1" x14ac:dyDescent="0.25">
      <c r="B42" s="1550" t="s">
        <v>1524</v>
      </c>
      <c r="C42" s="1927">
        <f>Summary1!C42</f>
        <v>173581.36026367306</v>
      </c>
      <c r="D42" s="1927">
        <f>IFERROR(Summary1!D42*28,Summary1!D42)</f>
        <v>20348.436600968224</v>
      </c>
      <c r="E42" s="1927">
        <f>IFERROR(Summary1!E42*265,Summary1!E42)</f>
        <v>4282.0930136656307</v>
      </c>
      <c r="F42" s="1929"/>
      <c r="G42" s="1929"/>
      <c r="H42" s="1929"/>
      <c r="I42" s="4215"/>
      <c r="J42" s="627"/>
      <c r="K42" s="4287">
        <f t="shared" si="0"/>
        <v>198211.88987830692</v>
      </c>
      <c r="L42" s="19"/>
    </row>
    <row r="43" spans="2:12" ht="18" customHeight="1" x14ac:dyDescent="0.25">
      <c r="B43" s="620" t="s">
        <v>981</v>
      </c>
      <c r="C43" s="1924">
        <f>Summary1!C43</f>
        <v>-15706.288508129443</v>
      </c>
      <c r="D43" s="1924">
        <f>IFERROR(Summary1!D43*28,Summary1!D43)</f>
        <v>6504.0434994730595</v>
      </c>
      <c r="E43" s="1924">
        <f>IFERROR(Summary1!E43*265,Summary1!E43)</f>
        <v>1207.4721589111355</v>
      </c>
      <c r="F43" s="1931"/>
      <c r="G43" s="1931"/>
      <c r="H43" s="1931"/>
      <c r="I43" s="3352"/>
      <c r="J43" s="69"/>
      <c r="K43" s="4288">
        <f t="shared" si="0"/>
        <v>-7994.7728497452481</v>
      </c>
      <c r="L43" s="19"/>
    </row>
    <row r="44" spans="2:12" ht="18" customHeight="1" x14ac:dyDescent="0.25">
      <c r="B44" s="620" t="s">
        <v>984</v>
      </c>
      <c r="C44" s="1924">
        <f>Summary1!C44</f>
        <v>45095.37484836088</v>
      </c>
      <c r="D44" s="1924">
        <f>IFERROR(Summary1!D44*28,Summary1!D44)</f>
        <v>651.81896639999991</v>
      </c>
      <c r="E44" s="1924">
        <f>IFERROR(Summary1!E44*265,Summary1!E44)</f>
        <v>149.08013767086408</v>
      </c>
      <c r="F44" s="1931"/>
      <c r="G44" s="1931"/>
      <c r="H44" s="1931"/>
      <c r="I44" s="3352"/>
      <c r="J44" s="69"/>
      <c r="K44" s="4288">
        <f t="shared" si="0"/>
        <v>45896.273952431744</v>
      </c>
      <c r="L44" s="19"/>
    </row>
    <row r="45" spans="2:12" ht="18" customHeight="1" x14ac:dyDescent="0.25">
      <c r="B45" s="620" t="s">
        <v>987</v>
      </c>
      <c r="C45" s="1924">
        <f>Summary1!C45</f>
        <v>142919.7014527928</v>
      </c>
      <c r="D45" s="1924">
        <f>IFERROR(Summary1!D45*28,Summary1!D45)</f>
        <v>10508.776468067099</v>
      </c>
      <c r="E45" s="1924">
        <f>IFERROR(Summary1!E45*265,Summary1!E45)</f>
        <v>2814.8982883138283</v>
      </c>
      <c r="F45" s="1931"/>
      <c r="G45" s="1931"/>
      <c r="H45" s="1931"/>
      <c r="I45" s="3352"/>
      <c r="J45" s="69"/>
      <c r="K45" s="4288">
        <f t="shared" si="0"/>
        <v>156243.37620917373</v>
      </c>
      <c r="L45" s="19"/>
    </row>
    <row r="46" spans="2:12" ht="18" customHeight="1" x14ac:dyDescent="0.25">
      <c r="B46" s="620" t="s">
        <v>1525</v>
      </c>
      <c r="C46" s="1924">
        <f>Summary1!C46</f>
        <v>1393.2728901558985</v>
      </c>
      <c r="D46" s="1924">
        <f>IFERROR(Summary1!D46*28,Summary1!D46)</f>
        <v>2496.8001598280675</v>
      </c>
      <c r="E46" s="1924">
        <f>IFERROR(Summary1!E46*265,Summary1!E46)</f>
        <v>68.149564250888773</v>
      </c>
      <c r="F46" s="1931"/>
      <c r="G46" s="1931"/>
      <c r="H46" s="1931"/>
      <c r="I46" s="3352"/>
      <c r="J46" s="69"/>
      <c r="K46" s="4288">
        <f t="shared" si="0"/>
        <v>3958.222614234855</v>
      </c>
      <c r="L46" s="19"/>
    </row>
    <row r="47" spans="2:12" ht="18" customHeight="1" x14ac:dyDescent="0.25">
      <c r="B47" s="620" t="s">
        <v>1526</v>
      </c>
      <c r="C47" s="1924">
        <f>Summary1!C47</f>
        <v>7263.3273582147913</v>
      </c>
      <c r="D47" s="1924">
        <f>IFERROR(Summary1!D47*28,Summary1!D47)</f>
        <v>186.9975072</v>
      </c>
      <c r="E47" s="1924">
        <f>IFERROR(Summary1!E47*265,Summary1!E47)</f>
        <v>39.111980890343034</v>
      </c>
      <c r="F47" s="1931"/>
      <c r="G47" s="1931"/>
      <c r="H47" s="1931"/>
      <c r="I47" s="3352"/>
      <c r="J47" s="69"/>
      <c r="K47" s="4288">
        <f t="shared" si="0"/>
        <v>7489.4368463051342</v>
      </c>
      <c r="L47" s="19"/>
    </row>
    <row r="48" spans="2:12" ht="18" customHeight="1" x14ac:dyDescent="0.25">
      <c r="B48" s="620" t="s">
        <v>1527</v>
      </c>
      <c r="C48" s="1924" t="str">
        <f>Summary1!C48</f>
        <v>NO</v>
      </c>
      <c r="D48" s="1924" t="str">
        <f>IFERROR(Summary1!D48*28,Summary1!D48)</f>
        <v>NO</v>
      </c>
      <c r="E48" s="1924" t="str">
        <f>IFERROR(Summary1!E48*265,Summary1!E48)</f>
        <v>NO</v>
      </c>
      <c r="F48" s="1931"/>
      <c r="G48" s="1931"/>
      <c r="H48" s="1931"/>
      <c r="I48" s="3352"/>
      <c r="J48" s="69"/>
      <c r="K48" s="4288" t="str">
        <f t="shared" si="0"/>
        <v>NO</v>
      </c>
      <c r="L48" s="19"/>
    </row>
    <row r="49" spans="2:12" ht="18" customHeight="1" x14ac:dyDescent="0.25">
      <c r="B49" s="620" t="s">
        <v>1528</v>
      </c>
      <c r="C49" s="1924">
        <f>Summary1!C49</f>
        <v>-7384.0277777218835</v>
      </c>
      <c r="D49" s="3835"/>
      <c r="E49" s="3835"/>
      <c r="F49" s="1931"/>
      <c r="G49" s="1931"/>
      <c r="H49" s="1931"/>
      <c r="I49" s="3352"/>
      <c r="J49" s="69"/>
      <c r="K49" s="4288">
        <f t="shared" si="0"/>
        <v>-7384.0277777218835</v>
      </c>
      <c r="L49" s="19"/>
    </row>
    <row r="50" spans="2:12" ht="18" customHeight="1" thickBot="1" x14ac:dyDescent="0.3">
      <c r="B50" s="1552" t="s">
        <v>1529</v>
      </c>
      <c r="C50" s="1926" t="str">
        <f>Summary1!C50</f>
        <v>NO</v>
      </c>
      <c r="D50" s="1926" t="str">
        <f>IFERROR(Summary1!D50*28,Summary1!D50)</f>
        <v>NO</v>
      </c>
      <c r="E50" s="1926">
        <f>IFERROR(Summary1!E50*265,Summary1!E50)</f>
        <v>3.3808836285714294</v>
      </c>
      <c r="F50" s="3024"/>
      <c r="G50" s="3024"/>
      <c r="H50" s="3024"/>
      <c r="I50" s="3828"/>
      <c r="J50" s="87"/>
      <c r="K50" s="4289">
        <f t="shared" si="0"/>
        <v>3.3808836285714294</v>
      </c>
      <c r="L50" s="19"/>
    </row>
    <row r="51" spans="2:12" ht="18" customHeight="1" x14ac:dyDescent="0.25">
      <c r="B51" s="1550" t="s">
        <v>1500</v>
      </c>
      <c r="C51" s="1927">
        <f>Summary1!C51</f>
        <v>73.841444217785693</v>
      </c>
      <c r="D51" s="1927">
        <f>IFERROR(Summary1!D51*28,Summary1!D51)</f>
        <v>23231.116847072135</v>
      </c>
      <c r="E51" s="1927">
        <f>IFERROR(Summary1!E51*265,Summary1!E51)</f>
        <v>157.35713073911381</v>
      </c>
      <c r="F51" s="1929"/>
      <c r="G51" s="1929"/>
      <c r="H51" s="1929"/>
      <c r="I51" s="4215"/>
      <c r="J51" s="627"/>
      <c r="K51" s="4287">
        <f t="shared" si="0"/>
        <v>23462.315422029034</v>
      </c>
      <c r="L51" s="19"/>
    </row>
    <row r="52" spans="2:12" ht="18" customHeight="1" x14ac:dyDescent="0.25">
      <c r="B52" s="620" t="s">
        <v>1530</v>
      </c>
      <c r="C52" s="628"/>
      <c r="D52" s="1924">
        <f>IFERROR(Summary1!D52*28,Summary1!D52)</f>
        <v>17064.655669599997</v>
      </c>
      <c r="E52" s="1931"/>
      <c r="F52" s="628"/>
      <c r="G52" s="628"/>
      <c r="H52" s="628"/>
      <c r="I52" s="69"/>
      <c r="J52" s="69"/>
      <c r="K52" s="4288">
        <f t="shared" si="0"/>
        <v>17064.655669599997</v>
      </c>
      <c r="L52" s="19"/>
    </row>
    <row r="53" spans="2:12" ht="18" customHeight="1" x14ac:dyDescent="0.25">
      <c r="B53" s="1396" t="s">
        <v>1531</v>
      </c>
      <c r="C53" s="628"/>
      <c r="D53" s="1924">
        <f>IFERROR(Summary1!D53*28,Summary1!D53)</f>
        <v>9.807483363719852</v>
      </c>
      <c r="E53" s="1924">
        <f>IFERROR(Summary1!E53*265,Summary1!E53)</f>
        <v>11.881065560620621</v>
      </c>
      <c r="F53" s="628"/>
      <c r="G53" s="628"/>
      <c r="H53" s="628"/>
      <c r="I53" s="69"/>
      <c r="J53" s="69"/>
      <c r="K53" s="4288">
        <f t="shared" si="0"/>
        <v>21.688548924340473</v>
      </c>
      <c r="L53" s="19"/>
    </row>
    <row r="54" spans="2:12" ht="18" customHeight="1" x14ac:dyDescent="0.25">
      <c r="B54" s="1397" t="s">
        <v>1532</v>
      </c>
      <c r="C54" s="1924">
        <f>Summary1!C54</f>
        <v>73.841444217785693</v>
      </c>
      <c r="D54" s="1924">
        <f>IFERROR(Summary1!D54*28,Summary1!D54)</f>
        <v>2.5947936</v>
      </c>
      <c r="E54" s="1924">
        <f>IFERROR(Summary1!E54*265,Summary1!E54)</f>
        <v>10.064699999999998</v>
      </c>
      <c r="F54" s="628"/>
      <c r="G54" s="628"/>
      <c r="H54" s="628"/>
      <c r="I54" s="69"/>
      <c r="J54" s="69"/>
      <c r="K54" s="4288">
        <f t="shared" si="0"/>
        <v>86.500937817785697</v>
      </c>
      <c r="L54" s="19"/>
    </row>
    <row r="55" spans="2:12" ht="18" customHeight="1" x14ac:dyDescent="0.25">
      <c r="B55" s="620" t="s">
        <v>1533</v>
      </c>
      <c r="C55" s="628"/>
      <c r="D55" s="1924">
        <f>IFERROR(Summary1!D55*28,Summary1!D55)</f>
        <v>6154.0589005084139</v>
      </c>
      <c r="E55" s="1924">
        <f>IFERROR(Summary1!E55*265,Summary1!E55)</f>
        <v>135.41136517849318</v>
      </c>
      <c r="F55" s="628"/>
      <c r="G55" s="628"/>
      <c r="H55" s="628"/>
      <c r="I55" s="69"/>
      <c r="J55" s="69"/>
      <c r="K55" s="4288">
        <f t="shared" si="0"/>
        <v>6289.4702656869067</v>
      </c>
      <c r="L55" s="19"/>
    </row>
    <row r="56" spans="2:12" ht="18" customHeight="1" thickBot="1" x14ac:dyDescent="0.3">
      <c r="B56" s="1552" t="s">
        <v>1534</v>
      </c>
      <c r="C56" s="4263" t="str">
        <f>Summary1!C56</f>
        <v>NE</v>
      </c>
      <c r="D56" s="4263" t="str">
        <f>IFERROR(Summary1!D56*28,Summary1!D56)</f>
        <v>NE</v>
      </c>
      <c r="E56" s="4263" t="str">
        <f>IFERROR(Summary1!E56*265,Summary1!E56)</f>
        <v>NE</v>
      </c>
      <c r="F56" s="1923"/>
      <c r="G56" s="1923"/>
      <c r="H56" s="1923"/>
      <c r="I56" s="87"/>
      <c r="J56" s="87"/>
      <c r="K56" s="4289" t="str">
        <f>IF(SUM(C56:J56)=0,"NE",SUM(C56:J56))</f>
        <v>NE</v>
      </c>
      <c r="L56" s="19"/>
    </row>
    <row r="57" spans="2:12" ht="18" customHeight="1" thickBot="1" x14ac:dyDescent="0.3">
      <c r="B57" s="1391" t="s">
        <v>2069</v>
      </c>
      <c r="C57" s="4292" t="str">
        <f>Summary1!C57</f>
        <v>NO</v>
      </c>
      <c r="D57" s="4292" t="str">
        <f>IFERROR(Summary1!D57*28,Summary1!D57)</f>
        <v>NO</v>
      </c>
      <c r="E57" s="4292"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3" t="str">
        <f t="shared" ref="K57" si="1">IF(SUM(C57:J57)=0,"NO",SUM(C57:J57))</f>
        <v>NO</v>
      </c>
      <c r="L57" s="19"/>
    </row>
    <row r="58" spans="2:12" ht="18" customHeight="1" thickBot="1" x14ac:dyDescent="0.3">
      <c r="B58" s="159"/>
      <c r="C58" s="84"/>
      <c r="D58" s="84"/>
      <c r="E58" s="84"/>
      <c r="F58" s="84"/>
      <c r="G58" s="84"/>
      <c r="H58" s="84"/>
      <c r="I58" s="84"/>
      <c r="J58" s="84"/>
      <c r="K58" s="84"/>
    </row>
    <row r="59" spans="2:12" ht="18" customHeight="1" x14ac:dyDescent="0.25">
      <c r="B59" s="772" t="s">
        <v>1535</v>
      </c>
      <c r="C59" s="1930"/>
      <c r="D59" s="2522"/>
      <c r="E59" s="2522"/>
      <c r="F59" s="2522"/>
      <c r="G59" s="2522"/>
      <c r="H59" s="2522"/>
      <c r="I59" s="2523"/>
      <c r="J59" s="2524"/>
      <c r="K59" s="629"/>
    </row>
    <row r="60" spans="2:12" ht="18" customHeight="1" x14ac:dyDescent="0.25">
      <c r="B60" s="1385" t="s">
        <v>110</v>
      </c>
      <c r="C60" s="4219">
        <f>Summary1!C61</f>
        <v>6460.402</v>
      </c>
      <c r="D60" s="4219">
        <f>IFERROR(Summary1!D61*28,Summary1!D61)</f>
        <v>5.8068485533333343</v>
      </c>
      <c r="E60" s="4219">
        <f>IFERROR(Summary1!E61*265,Summary1!E61)</f>
        <v>21.198376430311402</v>
      </c>
      <c r="F60" s="1931"/>
      <c r="G60" s="1931"/>
      <c r="H60" s="1932"/>
      <c r="I60" s="630"/>
      <c r="J60" s="630"/>
      <c r="K60" s="4220">
        <f t="shared" ref="K60:K66" si="2">IF(SUM(C60:J60)=0,"NO",SUM(C60:J60))</f>
        <v>6487.4072249836445</v>
      </c>
    </row>
    <row r="61" spans="2:12" ht="18" customHeight="1" x14ac:dyDescent="0.25">
      <c r="B61" s="1386" t="s">
        <v>111</v>
      </c>
      <c r="C61" s="4219">
        <f>Summary1!C62</f>
        <v>4382.7120000000004</v>
      </c>
      <c r="D61" s="4219">
        <f>IFERROR(Summary1!D62*28,Summary1!D62)</f>
        <v>0.21888855333333335</v>
      </c>
      <c r="E61" s="4219">
        <f>IFERROR(Summary1!E62*265,Summary1!E62)</f>
        <v>6.0880764303114034</v>
      </c>
      <c r="F61" s="628"/>
      <c r="G61" s="628"/>
      <c r="H61" s="628"/>
      <c r="I61" s="631"/>
      <c r="J61" s="631"/>
      <c r="K61" s="4234">
        <f t="shared" si="2"/>
        <v>4389.0189649836448</v>
      </c>
    </row>
    <row r="62" spans="2:12" ht="18" customHeight="1" x14ac:dyDescent="0.25">
      <c r="B62" s="1387" t="s">
        <v>1503</v>
      </c>
      <c r="C62" s="4219">
        <f>Summary1!C63</f>
        <v>2077.69</v>
      </c>
      <c r="D62" s="4219">
        <f>IFERROR(Summary1!D63*28,Summary1!D63)</f>
        <v>5.5879600000000007</v>
      </c>
      <c r="E62" s="4219">
        <f>IFERROR(Summary1!E63*265,Summary1!E63)</f>
        <v>15.110300000000001</v>
      </c>
      <c r="F62" s="628"/>
      <c r="G62" s="628"/>
      <c r="H62" s="628"/>
      <c r="I62" s="632"/>
      <c r="J62" s="632"/>
      <c r="K62" s="4220">
        <f t="shared" si="2"/>
        <v>2098.3882599999997</v>
      </c>
    </row>
    <row r="63" spans="2:12" ht="18" customHeight="1" x14ac:dyDescent="0.25">
      <c r="B63" s="1388" t="s">
        <v>113</v>
      </c>
      <c r="C63" s="3820" t="str">
        <f>Summary1!C64</f>
        <v>NE</v>
      </c>
      <c r="D63" s="3820" t="str">
        <f>IFERROR(Summary1!D64*28,Summary1!D64)</f>
        <v>NE</v>
      </c>
      <c r="E63" s="3820" t="str">
        <f>IFERROR(Summary1!E64*265,Summary1!E64)</f>
        <v>NE</v>
      </c>
      <c r="F63" s="1931"/>
      <c r="G63" s="1931"/>
      <c r="H63" s="1932"/>
      <c r="I63" s="4294"/>
      <c r="J63" s="4294"/>
      <c r="K63" s="4295" t="str">
        <f>IF(SUM(C63:J63)=0,C63,SUM(C63:J63))</f>
        <v>NE</v>
      </c>
    </row>
    <row r="64" spans="2:12" ht="18" customHeight="1" x14ac:dyDescent="0.25">
      <c r="B64" s="1385" t="s">
        <v>114</v>
      </c>
      <c r="C64" s="3820">
        <f>Summary1!C65</f>
        <v>15142.26513</v>
      </c>
      <c r="D64" s="1931"/>
      <c r="E64" s="1931"/>
      <c r="F64" s="1931"/>
      <c r="G64" s="1931"/>
      <c r="H64" s="1931"/>
      <c r="I64" s="3352"/>
      <c r="J64" s="3352"/>
      <c r="K64" s="3821">
        <f t="shared" si="2"/>
        <v>15142.26513</v>
      </c>
    </row>
    <row r="65" spans="2:14" ht="18" customHeight="1" x14ac:dyDescent="0.25">
      <c r="B65" s="1389" t="s">
        <v>1504</v>
      </c>
      <c r="C65" s="3820" t="str">
        <f>Summary1!C66</f>
        <v>NO</v>
      </c>
      <c r="D65" s="1931"/>
      <c r="E65" s="1931"/>
      <c r="F65" s="1931"/>
      <c r="G65" s="1931"/>
      <c r="H65" s="1931"/>
      <c r="I65" s="3352"/>
      <c r="J65" s="3352"/>
      <c r="K65" s="3821" t="str">
        <f t="shared" si="2"/>
        <v>NO</v>
      </c>
    </row>
    <row r="66" spans="2:14" ht="18" customHeight="1" x14ac:dyDescent="0.25">
      <c r="B66" s="1390" t="s">
        <v>1505</v>
      </c>
      <c r="C66" s="4296">
        <f>Summary1!C67</f>
        <v>-186838.5274408925</v>
      </c>
      <c r="D66" s="4297"/>
      <c r="E66" s="4297"/>
      <c r="F66" s="4297"/>
      <c r="G66" s="4297"/>
      <c r="H66" s="4297"/>
      <c r="I66" s="3824"/>
      <c r="J66" s="3824"/>
      <c r="K66" s="4298">
        <f t="shared" si="2"/>
        <v>-186838.5274408925</v>
      </c>
    </row>
    <row r="67" spans="2:14" ht="18" customHeight="1" thickBot="1" x14ac:dyDescent="0.35">
      <c r="B67" s="633" t="s">
        <v>1536</v>
      </c>
      <c r="C67" s="4300"/>
      <c r="D67" s="4300"/>
      <c r="E67" s="4301" t="str">
        <f>IFERROR(Summary1!E68*265,Summary1!E68)</f>
        <v>IE,NE,NO</v>
      </c>
      <c r="F67" s="4300"/>
      <c r="G67" s="4300"/>
      <c r="H67" s="4300"/>
      <c r="I67" s="4300"/>
      <c r="J67" s="4300"/>
      <c r="K67" s="3836" t="str">
        <f>IF(SUM(C67:J67)=0,E67,SUM(C67:J67))</f>
        <v>IE,NE,NO</v>
      </c>
    </row>
    <row r="68" spans="2:14" ht="18" customHeight="1" thickBot="1" x14ac:dyDescent="0.3">
      <c r="B68" s="622"/>
      <c r="C68" s="4302"/>
      <c r="D68" s="4302"/>
      <c r="E68" s="4302"/>
      <c r="F68" s="4302"/>
      <c r="G68" s="4302"/>
      <c r="H68" s="4302"/>
      <c r="I68" s="4302"/>
      <c r="J68" s="4302"/>
      <c r="K68" s="4302"/>
    </row>
    <row r="69" spans="2:14" ht="18" customHeight="1" thickBot="1" x14ac:dyDescent="0.3">
      <c r="B69" s="769" t="s">
        <v>1537</v>
      </c>
      <c r="C69" s="4303" t="str">
        <f>Summary1!C70</f>
        <v>NE,NO</v>
      </c>
      <c r="D69" s="4304"/>
      <c r="E69" s="4304"/>
      <c r="F69" s="4304"/>
      <c r="G69" s="4304"/>
      <c r="H69" s="4304"/>
      <c r="I69" s="4304"/>
      <c r="J69" s="4304"/>
      <c r="K69" s="3837" t="str">
        <f>IF(SUM(C69:J69)=0,C69,SUM(C69:J69))</f>
        <v>NE,NO</v>
      </c>
    </row>
    <row r="70" spans="2:14" s="634" customFormat="1" ht="18" customHeight="1" thickBot="1" x14ac:dyDescent="0.3">
      <c r="C70" s="4305"/>
      <c r="D70" s="4305"/>
      <c r="E70" s="4305"/>
      <c r="F70" s="4305"/>
      <c r="G70" s="4305"/>
      <c r="H70" s="4305"/>
      <c r="I70" s="4305"/>
      <c r="J70" s="4305"/>
      <c r="K70" s="4305"/>
    </row>
    <row r="71" spans="2:14" s="634" customFormat="1" ht="18" customHeight="1" x14ac:dyDescent="0.3">
      <c r="B71" s="636"/>
      <c r="C71" s="963"/>
      <c r="D71" s="963"/>
      <c r="E71" s="963"/>
      <c r="F71" s="963"/>
      <c r="G71" s="963"/>
      <c r="H71" s="963"/>
      <c r="I71" s="963"/>
      <c r="J71" s="2552" t="s">
        <v>2121</v>
      </c>
      <c r="K71" s="4217">
        <f>K10-K42</f>
        <v>438056.75735731504</v>
      </c>
      <c r="N71" s="1126"/>
    </row>
    <row r="72" spans="2:14" s="634" customFormat="1" ht="18" customHeight="1" x14ac:dyDescent="0.3">
      <c r="B72" s="637"/>
      <c r="C72" s="638"/>
      <c r="D72" s="638"/>
      <c r="E72" s="638"/>
      <c r="F72" s="638"/>
      <c r="G72" s="638"/>
      <c r="H72" s="638"/>
      <c r="I72" s="638"/>
      <c r="J72" s="2553" t="s">
        <v>2122</v>
      </c>
      <c r="K72" s="3821">
        <f>K10</f>
        <v>636268.64723562193</v>
      </c>
      <c r="N72" s="1126"/>
    </row>
    <row r="73" spans="2:14" s="634" customFormat="1" ht="18" customHeight="1" x14ac:dyDescent="0.25">
      <c r="B73" s="637"/>
      <c r="C73" s="638"/>
      <c r="D73" s="638"/>
      <c r="E73" s="638"/>
      <c r="F73" s="638"/>
      <c r="G73" s="638"/>
      <c r="H73" s="638"/>
      <c r="I73" s="638"/>
      <c r="J73" s="2553" t="s">
        <v>2123</v>
      </c>
      <c r="K73" s="3821" t="s">
        <v>2147</v>
      </c>
    </row>
    <row r="74" spans="2:14" s="634" customFormat="1" ht="18" customHeight="1" thickBot="1" x14ac:dyDescent="0.3">
      <c r="B74" s="639"/>
      <c r="C74" s="640"/>
      <c r="D74" s="640"/>
      <c r="E74" s="640"/>
      <c r="F74" s="640"/>
      <c r="G74" s="640"/>
      <c r="H74" s="640"/>
      <c r="I74" s="640"/>
      <c r="J74" s="2554" t="s">
        <v>2124</v>
      </c>
      <c r="K74" s="4299" t="s">
        <v>2147</v>
      </c>
    </row>
    <row r="75" spans="2:14" x14ac:dyDescent="0.25">
      <c r="B75" s="635"/>
      <c r="C75" s="635"/>
      <c r="D75" s="635"/>
      <c r="E75" s="635"/>
      <c r="F75" s="635"/>
      <c r="G75" s="635"/>
      <c r="H75" s="635"/>
      <c r="I75" s="635"/>
      <c r="J75" s="635"/>
      <c r="K75" s="641"/>
    </row>
    <row r="76" spans="2:14" ht="15.6" x14ac:dyDescent="0.25">
      <c r="B76" s="642"/>
      <c r="C76" s="642"/>
      <c r="D76" s="642"/>
      <c r="E76" s="642"/>
      <c r="F76" s="642"/>
      <c r="G76" s="642"/>
      <c r="H76" s="642"/>
      <c r="I76" s="642"/>
      <c r="J76" s="642"/>
      <c r="K76" s="642"/>
    </row>
    <row r="77" spans="2:14" ht="15.6" x14ac:dyDescent="0.25">
      <c r="B77" s="642"/>
      <c r="C77" s="526"/>
      <c r="D77" s="526"/>
      <c r="E77" s="526"/>
      <c r="F77" s="526"/>
      <c r="G77" s="526"/>
      <c r="H77" s="526"/>
      <c r="I77" s="526"/>
      <c r="J77" s="526"/>
      <c r="K77" s="526"/>
    </row>
    <row r="78" spans="2:14" ht="15.6" x14ac:dyDescent="0.25">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09375" defaultRowHeight="12" customHeight="1" x14ac:dyDescent="0.25"/>
  <cols>
    <col min="1" max="1" width="1.88671875" customWidth="1"/>
    <col min="2" max="2" width="44.88671875" bestFit="1" customWidth="1"/>
    <col min="3" max="3" width="24.109375" customWidth="1"/>
    <col min="4" max="4" width="13.109375" customWidth="1"/>
    <col min="5" max="5" width="15" customWidth="1"/>
    <col min="6" max="7" width="14.88671875" customWidth="1"/>
    <col min="8" max="8" width="16.5546875" customWidth="1"/>
    <col min="9" max="9" width="16.88671875" customWidth="1"/>
    <col min="10" max="10" width="17.44140625" customWidth="1"/>
    <col min="11" max="11" width="23.109375" customWidth="1"/>
    <col min="12" max="12" width="10.88671875" customWidth="1"/>
  </cols>
  <sheetData>
    <row r="1" spans="2:11" ht="16.350000000000001" customHeight="1" x14ac:dyDescent="0.3">
      <c r="B1" s="987" t="s">
        <v>147</v>
      </c>
      <c r="C1" s="987"/>
      <c r="J1" s="226"/>
      <c r="K1" s="14" t="s">
        <v>2521</v>
      </c>
    </row>
    <row r="2" spans="2:11" ht="16.350000000000001" customHeight="1" x14ac:dyDescent="0.3">
      <c r="B2" s="987" t="s">
        <v>120</v>
      </c>
      <c r="C2" s="987"/>
      <c r="J2" s="226"/>
      <c r="K2" s="14" t="s">
        <v>2522</v>
      </c>
    </row>
    <row r="3" spans="2:11" ht="16.350000000000001" customHeight="1" x14ac:dyDescent="0.3">
      <c r="B3" s="1022" t="s">
        <v>148</v>
      </c>
      <c r="I3" s="226"/>
      <c r="J3" s="226"/>
      <c r="K3" s="14" t="s">
        <v>2144</v>
      </c>
    </row>
    <row r="4" spans="2:11" ht="12" customHeight="1" x14ac:dyDescent="0.3">
      <c r="B4" s="1022"/>
      <c r="I4" s="226"/>
      <c r="J4" s="226"/>
      <c r="K4" s="226"/>
    </row>
    <row r="5" spans="2:11" ht="12" customHeight="1" x14ac:dyDescent="0.3">
      <c r="B5" s="1022"/>
      <c r="I5" s="226"/>
      <c r="J5" s="226"/>
      <c r="K5" s="226"/>
    </row>
    <row r="6" spans="2:11" ht="12" customHeight="1" thickBot="1" x14ac:dyDescent="0.3">
      <c r="B6" s="2449" t="s">
        <v>64</v>
      </c>
      <c r="C6" s="1011"/>
      <c r="D6" s="1011"/>
      <c r="E6" s="1011"/>
      <c r="F6" s="1011"/>
      <c r="G6" s="1011"/>
      <c r="H6" s="1011"/>
      <c r="I6" s="1011"/>
      <c r="J6" s="1011"/>
      <c r="K6" s="1011"/>
    </row>
    <row r="7" spans="2:11" ht="12" customHeight="1" x14ac:dyDescent="0.25">
      <c r="B7" s="292" t="s">
        <v>65</v>
      </c>
      <c r="C7" s="177" t="s">
        <v>122</v>
      </c>
      <c r="D7" s="179"/>
      <c r="E7" s="177" t="s">
        <v>123</v>
      </c>
      <c r="F7" s="178"/>
      <c r="G7" s="179"/>
      <c r="H7" s="177" t="s">
        <v>124</v>
      </c>
      <c r="I7" s="178"/>
      <c r="J7" s="178"/>
      <c r="K7" s="2157" t="s">
        <v>2114</v>
      </c>
    </row>
    <row r="8" spans="2:11" ht="12" customHeight="1" x14ac:dyDescent="0.25">
      <c r="B8" s="1841"/>
      <c r="C8" s="1842" t="s">
        <v>125</v>
      </c>
      <c r="D8" s="1843"/>
      <c r="E8" s="1721" t="s">
        <v>149</v>
      </c>
      <c r="F8" s="1721" t="s">
        <v>67</v>
      </c>
      <c r="G8" s="1859" t="s">
        <v>68</v>
      </c>
      <c r="H8" s="1859" t="s">
        <v>2009</v>
      </c>
      <c r="I8" s="1721" t="s">
        <v>67</v>
      </c>
      <c r="J8" s="1721" t="s">
        <v>68</v>
      </c>
      <c r="K8" s="263" t="s">
        <v>66</v>
      </c>
    </row>
    <row r="9" spans="2:11" ht="15" thickBot="1" x14ac:dyDescent="0.3">
      <c r="B9" s="1845"/>
      <c r="C9" s="1846" t="s">
        <v>127</v>
      </c>
      <c r="D9" s="1747" t="s">
        <v>128</v>
      </c>
      <c r="E9" s="1747" t="s">
        <v>129</v>
      </c>
      <c r="F9" s="1748" t="s">
        <v>130</v>
      </c>
      <c r="G9" s="1772"/>
      <c r="H9" s="1748" t="s">
        <v>73</v>
      </c>
      <c r="I9" s="344"/>
      <c r="J9" s="344"/>
      <c r="K9" s="345"/>
    </row>
    <row r="10" spans="2:11" ht="18" customHeight="1" thickTop="1" x14ac:dyDescent="0.25">
      <c r="B10" s="1240" t="s">
        <v>150</v>
      </c>
      <c r="C10" s="1913">
        <f>IF(SUM(C11:C16)=0,"NO",SUM(C11:C16))</f>
        <v>657807.80878273176</v>
      </c>
      <c r="D10" s="3076" t="s">
        <v>1814</v>
      </c>
      <c r="E10" s="628"/>
      <c r="F10" s="628"/>
      <c r="G10" s="628"/>
      <c r="H10" s="1913">
        <f>IF(SUM(H11:H15)=0,"NO",SUM(H11:H15))</f>
        <v>35866.538631108211</v>
      </c>
      <c r="I10" s="1913">
        <f t="shared" ref="I10:K10" si="0">IF(SUM(I11:I16)=0,"NO",SUM(I11:I16))</f>
        <v>2.0601759875475629</v>
      </c>
      <c r="J10" s="1847">
        <f t="shared" si="0"/>
        <v>1.134710846917538</v>
      </c>
      <c r="K10" s="3065" t="str">
        <f t="shared" si="0"/>
        <v>NO</v>
      </c>
    </row>
    <row r="11" spans="2:11" ht="18" customHeight="1" x14ac:dyDescent="0.25">
      <c r="B11" s="282" t="s">
        <v>132</v>
      </c>
      <c r="C11" s="1913">
        <f>IF(SUM(C18,C25,C32,C39,C46,C53,C62,C69,C76,C83,C90,C97,C114,C104:C107)=0,"NO",SUM(C18,C25,C32,C39,C46,C53,C62,C69,C76,C83,C90,C97,C114,C104:C107))</f>
        <v>173885.72449745872</v>
      </c>
      <c r="D11" s="3077" t="s">
        <v>1814</v>
      </c>
      <c r="E11" s="1913">
        <f>IFERROR(H11*1000/$C11,"NA")</f>
        <v>68.406280028370333</v>
      </c>
      <c r="F11" s="1913">
        <f t="shared" ref="F11:G16" si="1">IFERROR(I11*1000000/$C11,"NA")</f>
        <v>4.7809885973354467</v>
      </c>
      <c r="G11" s="1913">
        <f t="shared" si="1"/>
        <v>2.0858055555383426</v>
      </c>
      <c r="H11" s="1913">
        <f>IF(SUM(H18,H25,H32,H39,H46,H53,H62,H69,H76,H83,H90,H97,H114,H104:H107)=0,"NO",SUM(H18,H25,H32,H39,H46,H53,H62,H69,H76,H83,H90,H97,H114,H104:H107))</f>
        <v>11894.875562909216</v>
      </c>
      <c r="I11" s="1913">
        <f>IF(SUM(I18,I25,I32,I39,I46,I53,I62,I69,I76,I83,I90,I97,I114,I104:I107)=0,"NO",SUM(I18,I25,I32,I39,I46,I53,I62,I69,I76,I83,I90,I97,I114,I104:I107))</f>
        <v>0.83134566606176308</v>
      </c>
      <c r="J11" s="1913">
        <f>IF(SUM(J18,J25,J32,J39,J46,J53,J62,J69,J76,J83,J90,J97,J114,J104:J107)=0,"NO",SUM(J18,J25,J32,J39,J46,J53,J62,J69,J76,J83,J90,J97,J114,J104:J107))</f>
        <v>0.36269181018560909</v>
      </c>
      <c r="K11" s="3065" t="str">
        <f>IF(SUM(K18,K25,K32,K39,K46,K53,K62,K69,K76,K83,K90,K97,K114,K104:K107)=0,"NO",SUM(K18,K25,K32,K39,K46,K53,K62,K69,K76,K83,K90,K97,K114,K104:K107))</f>
        <v>NO</v>
      </c>
    </row>
    <row r="12" spans="2:11" ht="18" customHeight="1" x14ac:dyDescent="0.25">
      <c r="B12" s="282" t="s">
        <v>133</v>
      </c>
      <c r="C12" s="1913">
        <f>IF(SUM(C19,C26,C33,C40,C47,C54,C63,C70,C77,C84,C91,C98,C115)=0,"NO",SUM(C19,C26,C33,C40,C47,C54,C63,C70,C77,C84,C91,C98,C115))</f>
        <v>134635.05204651164</v>
      </c>
      <c r="D12" s="3077" t="s">
        <v>1814</v>
      </c>
      <c r="E12" s="1913">
        <f t="shared" ref="E12:E16" si="2">IFERROR(H12*1000/$C12,"NA")</f>
        <v>80.195557167261825</v>
      </c>
      <c r="F12" s="1913">
        <f t="shared" si="1"/>
        <v>0.9649362919514588</v>
      </c>
      <c r="G12" s="1913">
        <f t="shared" si="1"/>
        <v>0.69898203040893303</v>
      </c>
      <c r="H12" s="1913">
        <f>IF(SUM(H19,H26,H33,H40,H47,H54,H63,H70,H77,H84,H91,H98,H115)=0,"NO",SUM(H19,H26,H33,H40,H47,H54,H63,H70,H77,H84,H91,H98,H115))</f>
        <v>10797.133013113296</v>
      </c>
      <c r="I12" s="1913">
        <f>IF(SUM(I19,I26,I33,I40,I47,I54,I63,I70,I77,I84,I91,I98,I115)=0,"NO",SUM(I19,I26,I33,I40,I47,I54,I63,I70,I77,I84,I91,I98,I115))</f>
        <v>0.1299142478884526</v>
      </c>
      <c r="J12" s="1913">
        <f>IF(SUM(J19,J26,J33,J40,J47,J54,J63,J70,J77,J84,J91,J98,J115)=0,"NO",SUM(J19,J26,J33,J40,J47,J54,J63,J70,J77,J84,J91,J98,J115))</f>
        <v>9.4107482043683077E-2</v>
      </c>
      <c r="K12" s="3065" t="str">
        <f>IF(SUM(K19,K26,K33,K40,K47,K54,K63,K70,K77,K84,K91,K98,K115)=0,"NO",SUM(K19,K26,K33,K40,K47,K54,K63,K70,K77,K84,K91,K98,K115))</f>
        <v>NO</v>
      </c>
    </row>
    <row r="13" spans="2:11" ht="18" customHeight="1" x14ac:dyDescent="0.25">
      <c r="B13" s="282" t="s">
        <v>134</v>
      </c>
      <c r="C13" s="1913">
        <f>IF(SUM(C20,C27,C34,C41,C48,C55,C64,C71,C78,C85,C92,C99,C116,C109)=0,"NO",SUM(C20,C27,C34,C41,C48,C55,C64,C71,C78,C85,C92,C99,C116,C109))</f>
        <v>256237.30201987937</v>
      </c>
      <c r="D13" s="3077" t="s">
        <v>1814</v>
      </c>
      <c r="E13" s="1913">
        <f t="shared" si="2"/>
        <v>51.415348004497766</v>
      </c>
      <c r="F13" s="1913">
        <f t="shared" si="1"/>
        <v>0.95989230029635664</v>
      </c>
      <c r="G13" s="1913">
        <f t="shared" si="1"/>
        <v>0.52732939614812202</v>
      </c>
      <c r="H13" s="1913">
        <f t="shared" ref="H13:K14" si="3">IF(SUM(H20,H27,H34,H41,H48,H55,H64,H71,H78,H85,H92,H99,H116,H109)=0,"NO",SUM(H20,H27,H34,H41,H48,H55,H64,H71,H78,H85,H92,H99,H116,H109))</f>
        <v>13174.530055085695</v>
      </c>
      <c r="I13" s="1913">
        <f t="shared" si="3"/>
        <v>0.24596021325759426</v>
      </c>
      <c r="J13" s="1913">
        <f t="shared" si="3"/>
        <v>0.13512146174476694</v>
      </c>
      <c r="K13" s="3065" t="str">
        <f t="shared" si="3"/>
        <v>NO</v>
      </c>
    </row>
    <row r="14" spans="2:11" ht="18" customHeight="1" x14ac:dyDescent="0.25">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5">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5">
      <c r="B16" s="282" t="s">
        <v>137</v>
      </c>
      <c r="C16" s="1913">
        <f>IF(SUM(C23,C30,C37,C44,C51,C58,C67,C74,C81,C88,C95,C102,C119,C111)=0,"NO",SUM(C23,C30,C37,C44,C51,C58,C67,C74,C81,C88,C95,C102,C119,C111))</f>
        <v>93049.730218882105</v>
      </c>
      <c r="D16" s="3092" t="s">
        <v>1814</v>
      </c>
      <c r="E16" s="1913">
        <f t="shared" si="2"/>
        <v>94.753895041435015</v>
      </c>
      <c r="F16" s="1913">
        <f t="shared" si="1"/>
        <v>9.1666666666666661</v>
      </c>
      <c r="G16" s="1913">
        <f t="shared" si="1"/>
        <v>5.833333333333333</v>
      </c>
      <c r="H16" s="1913">
        <f>IF(SUM(H23,H30,H37,H44,H51,H58,H67,H74,H81,H88,H95,H102,H119,H111)=0,"NO",SUM(H23,H30,H37,H44,H51,H58,H67,H74,H81,H88,H95,H102,H119,H111))</f>
        <v>8816.8243707937982</v>
      </c>
      <c r="I16" s="1913">
        <f>IF(SUM(I23,I30,I37,I44,I51,I58,I67,I74,I81,I88,I95,I102,I119,I111)=0,"NO",SUM(I23,I30,I37,I44,I51,I58,I67,I74,I81,I88,I95,I102,I119,I111))</f>
        <v>0.85295586033975268</v>
      </c>
      <c r="J16" s="1913">
        <f>IF(SUM(J23,J30,J37,J44,J51,J58,J67,J74,J81,J88,J95,J102,J119,J111)=0,"NO",SUM(J23,J30,J37,J44,J51,J58,J67,J74,J81,J88,J95,J102,J119,J111))</f>
        <v>0.54279009294347891</v>
      </c>
      <c r="K16" s="3065" t="str">
        <f>IF(SUM(K23,K30,K37,K44,K51,K58,K67,K74,K81,K88,K95,K102,K119,K111)=0,"NO",SUM(K23,K30,K37,K44,K51,K58,K67,K74,K81,K88,K95,K102,K119,K111))</f>
        <v>NO</v>
      </c>
    </row>
    <row r="17" spans="2:11" ht="18" customHeight="1" x14ac:dyDescent="0.25">
      <c r="B17" s="1241" t="s">
        <v>151</v>
      </c>
      <c r="C17" s="1913">
        <f>IF(SUM(C18:C23)=0,"NO",SUM(C18:C23))</f>
        <v>57531.399999999994</v>
      </c>
      <c r="D17" s="3076" t="s">
        <v>1814</v>
      </c>
      <c r="E17" s="628"/>
      <c r="F17" s="628"/>
      <c r="G17" s="628"/>
      <c r="H17" s="1913">
        <f>IF(SUM(H18:H22)=0,"NO",SUM(H18:H22))</f>
        <v>2722.8480269940819</v>
      </c>
      <c r="I17" s="1913">
        <f t="shared" ref="I17:K17" si="4">IF(SUM(I18:I23)=0,"NO",SUM(I18:I23))</f>
        <v>8.4992418258270017E-2</v>
      </c>
      <c r="J17" s="1913">
        <f t="shared" si="4"/>
        <v>3.4340092874442535E-2</v>
      </c>
      <c r="K17" s="3065" t="str">
        <f t="shared" si="4"/>
        <v>NO</v>
      </c>
    </row>
    <row r="18" spans="2:11" ht="18" customHeight="1" x14ac:dyDescent="0.25">
      <c r="B18" s="282" t="s">
        <v>132</v>
      </c>
      <c r="C18" s="691">
        <v>1799.9999999999998</v>
      </c>
      <c r="D18" s="3077" t="s">
        <v>1814</v>
      </c>
      <c r="E18" s="1913">
        <f>IFERROR(H18*1000/$C18,"NA")</f>
        <v>68.722222222222229</v>
      </c>
      <c r="F18" s="1913">
        <f t="shared" ref="F18:G23" si="5">IFERROR(I18*1000000/$C18,"NA")</f>
        <v>17.19349905161226</v>
      </c>
      <c r="G18" s="1913">
        <f t="shared" si="5"/>
        <v>1.1234221822901067</v>
      </c>
      <c r="H18" s="691">
        <v>123.69999999999999</v>
      </c>
      <c r="I18" s="691">
        <v>3.0948298292902066E-2</v>
      </c>
      <c r="J18" s="691">
        <v>2.0221599281221919E-3</v>
      </c>
      <c r="K18" s="3093" t="s">
        <v>2146</v>
      </c>
    </row>
    <row r="19" spans="2:11" ht="18" customHeight="1" x14ac:dyDescent="0.25">
      <c r="B19" s="282" t="s">
        <v>133</v>
      </c>
      <c r="C19" s="691">
        <v>28531.4</v>
      </c>
      <c r="D19" s="3077" t="s">
        <v>1814</v>
      </c>
      <c r="E19" s="1913">
        <f t="shared" ref="E19:E23" si="6">IFERROR(H19*1000/$C19,"NA")</f>
        <v>42.26518993109346</v>
      </c>
      <c r="F19" s="1913">
        <f t="shared" si="5"/>
        <v>0.95533079905553708</v>
      </c>
      <c r="G19" s="1913">
        <f t="shared" si="5"/>
        <v>0.58302031306466418</v>
      </c>
      <c r="H19" s="691">
        <v>1205.8850400000001</v>
      </c>
      <c r="I19" s="691">
        <v>2.7256925160173154E-2</v>
      </c>
      <c r="J19" s="691">
        <v>1.6634385760173162E-2</v>
      </c>
      <c r="K19" s="3093" t="s">
        <v>2146</v>
      </c>
    </row>
    <row r="20" spans="2:11" ht="18" customHeight="1" x14ac:dyDescent="0.25">
      <c r="B20" s="282" t="s">
        <v>134</v>
      </c>
      <c r="C20" s="691">
        <v>27099.999999999996</v>
      </c>
      <c r="D20" s="3077" t="s">
        <v>1814</v>
      </c>
      <c r="E20" s="1913">
        <f t="shared" si="6"/>
        <v>51.411918339265014</v>
      </c>
      <c r="F20" s="1913">
        <f t="shared" si="5"/>
        <v>0.95463203463203472</v>
      </c>
      <c r="G20" s="1913">
        <f t="shared" si="5"/>
        <v>0.55720346320346315</v>
      </c>
      <c r="H20" s="691">
        <v>1393.2629869940815</v>
      </c>
      <c r="I20" s="691">
        <v>2.5870528138528137E-2</v>
      </c>
      <c r="J20" s="691">
        <v>1.510021385281385E-2</v>
      </c>
      <c r="K20" s="3093" t="s">
        <v>2146</v>
      </c>
    </row>
    <row r="21" spans="2:11" ht="18" customHeight="1" x14ac:dyDescent="0.25">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5">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5">
      <c r="B23" s="282" t="s">
        <v>137</v>
      </c>
      <c r="C23" s="691">
        <v>100.00000000000001</v>
      </c>
      <c r="D23" s="3077" t="s">
        <v>1814</v>
      </c>
      <c r="E23" s="1913">
        <f t="shared" si="6"/>
        <v>94</v>
      </c>
      <c r="F23" s="1913">
        <f t="shared" si="5"/>
        <v>9.1666666666666679</v>
      </c>
      <c r="G23" s="1913">
        <f t="shared" si="5"/>
        <v>5.8333333333333339</v>
      </c>
      <c r="H23" s="691">
        <v>9.4000000000000021</v>
      </c>
      <c r="I23" s="691">
        <v>9.1666666666666697E-4</v>
      </c>
      <c r="J23" s="691">
        <v>5.8333333333333349E-4</v>
      </c>
      <c r="K23" s="3093" t="s">
        <v>2146</v>
      </c>
    </row>
    <row r="24" spans="2:11" ht="18" customHeight="1" x14ac:dyDescent="0.25">
      <c r="B24" s="1241" t="s">
        <v>152</v>
      </c>
      <c r="C24" s="1913">
        <f>IF(SUM(C25:C30)=0,"NO",SUM(C25:C30))</f>
        <v>168271.8062964</v>
      </c>
      <c r="D24" s="3077" t="s">
        <v>1814</v>
      </c>
      <c r="E24" s="628"/>
      <c r="F24" s="628"/>
      <c r="G24" s="628"/>
      <c r="H24" s="1913">
        <f>IF(SUM(H25:H29)=0,"NO",SUM(H25:H29))</f>
        <v>11150.13483878081</v>
      </c>
      <c r="I24" s="1913">
        <f t="shared" ref="I24:K24" si="7">IF(SUM(I25:I30)=0,"NO",SUM(I25:I30))</f>
        <v>0.21833058967967803</v>
      </c>
      <c r="J24" s="1913">
        <f t="shared" si="7"/>
        <v>0.12405644379789114</v>
      </c>
      <c r="K24" s="3065" t="str">
        <f t="shared" si="7"/>
        <v>NO</v>
      </c>
    </row>
    <row r="25" spans="2:11" ht="18" customHeight="1" x14ac:dyDescent="0.25">
      <c r="B25" s="282" t="s">
        <v>132</v>
      </c>
      <c r="C25" s="691">
        <v>39142.340296399998</v>
      </c>
      <c r="D25" s="3077" t="s">
        <v>1814</v>
      </c>
      <c r="E25" s="1913">
        <f>IFERROR(H25*1000/$C25,"NA")</f>
        <v>72.779741010292312</v>
      </c>
      <c r="F25" s="1913">
        <f t="shared" ref="F25:G30" si="8">IFERROR(I25*1000000/$C25,"NA")</f>
        <v>1.796279048497281</v>
      </c>
      <c r="G25" s="1913">
        <f t="shared" si="8"/>
        <v>0.72842435796113736</v>
      </c>
      <c r="H25" s="691">
        <v>2848.7693893087203</v>
      </c>
      <c r="I25" s="691">
        <v>7.0310565783574169E-2</v>
      </c>
      <c r="J25" s="691">
        <v>2.8512234099501522E-2</v>
      </c>
      <c r="K25" s="3093" t="s">
        <v>2146</v>
      </c>
    </row>
    <row r="26" spans="2:11" ht="18" customHeight="1" x14ac:dyDescent="0.25">
      <c r="B26" s="282" t="s">
        <v>133</v>
      </c>
      <c r="C26" s="691">
        <v>45029.465999999993</v>
      </c>
      <c r="D26" s="3077" t="s">
        <v>1814</v>
      </c>
      <c r="E26" s="1913">
        <f t="shared" ref="E26:E30" si="9">IFERROR(H26*1000/$C26,"NA")</f>
        <v>91.759002253273437</v>
      </c>
      <c r="F26" s="1913">
        <f t="shared" si="8"/>
        <v>0.95238095238095222</v>
      </c>
      <c r="G26" s="1913">
        <f t="shared" si="8"/>
        <v>0.70609523809523822</v>
      </c>
      <c r="H26" s="691">
        <v>4131.8588721576989</v>
      </c>
      <c r="I26" s="691">
        <v>4.2885205714285703E-2</v>
      </c>
      <c r="J26" s="691">
        <v>3.1795091516571429E-2</v>
      </c>
      <c r="K26" s="3093" t="s">
        <v>2146</v>
      </c>
    </row>
    <row r="27" spans="2:11" ht="18" customHeight="1" x14ac:dyDescent="0.25">
      <c r="B27" s="282" t="s">
        <v>134</v>
      </c>
      <c r="C27" s="691">
        <v>81100</v>
      </c>
      <c r="D27" s="3077" t="s">
        <v>1814</v>
      </c>
      <c r="E27" s="1913">
        <f t="shared" si="9"/>
        <v>51.411918339265</v>
      </c>
      <c r="F27" s="1913">
        <f t="shared" si="8"/>
        <v>0.95727272727272716</v>
      </c>
      <c r="G27" s="1913">
        <f t="shared" si="8"/>
        <v>0.57027272727272738</v>
      </c>
      <c r="H27" s="691">
        <v>4169.5065773143915</v>
      </c>
      <c r="I27" s="691">
        <v>7.763481818181818E-2</v>
      </c>
      <c r="J27" s="691">
        <v>4.6249118181818184E-2</v>
      </c>
      <c r="K27" s="3093" t="s">
        <v>2146</v>
      </c>
    </row>
    <row r="28" spans="2:11" ht="18" customHeight="1" x14ac:dyDescent="0.25">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5">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5">
      <c r="B30" s="282" t="s">
        <v>137</v>
      </c>
      <c r="C30" s="691">
        <v>3000</v>
      </c>
      <c r="D30" s="3077" t="s">
        <v>1814</v>
      </c>
      <c r="E30" s="1913">
        <f t="shared" si="9"/>
        <v>94.000000000000014</v>
      </c>
      <c r="F30" s="1913">
        <f t="shared" si="8"/>
        <v>9.1666666666666696</v>
      </c>
      <c r="G30" s="1913">
        <f t="shared" si="8"/>
        <v>5.8333333333333348</v>
      </c>
      <c r="H30" s="691">
        <v>282.00000000000006</v>
      </c>
      <c r="I30" s="691">
        <v>2.7500000000000007E-2</v>
      </c>
      <c r="J30" s="691">
        <v>1.7500000000000005E-2</v>
      </c>
      <c r="K30" s="3093" t="s">
        <v>2146</v>
      </c>
    </row>
    <row r="31" spans="2:11" ht="18" customHeight="1" x14ac:dyDescent="0.25">
      <c r="B31" s="1241" t="s">
        <v>153</v>
      </c>
      <c r="C31" s="1913">
        <f>IF(SUM(C32:C37)=0,"NO",SUM(C32:C37))</f>
        <v>89658.50825357865</v>
      </c>
      <c r="D31" s="3077" t="s">
        <v>1814</v>
      </c>
      <c r="E31" s="628"/>
      <c r="F31" s="628"/>
      <c r="G31" s="628"/>
      <c r="H31" s="1913">
        <f>IF(SUM(H32:H36)=0,"NO",SUM(H32:H36))</f>
        <v>5624.6781507447249</v>
      </c>
      <c r="I31" s="1913">
        <f t="shared" ref="I31:K31" si="10">IF(SUM(I32:I37)=0,"NO",SUM(I32:I37))</f>
        <v>0.39245906633834488</v>
      </c>
      <c r="J31" s="1913">
        <f t="shared" si="10"/>
        <v>8.9902990939559668E-2</v>
      </c>
      <c r="K31" s="3065" t="str">
        <f t="shared" si="10"/>
        <v>NO</v>
      </c>
    </row>
    <row r="32" spans="2:11" ht="18" customHeight="1" x14ac:dyDescent="0.25">
      <c r="B32" s="282" t="s">
        <v>132</v>
      </c>
      <c r="C32" s="691">
        <v>51777.020187187656</v>
      </c>
      <c r="D32" s="3077" t="s">
        <v>1814</v>
      </c>
      <c r="E32" s="1913">
        <f>IFERROR(H32*1000/$C32,"NA")</f>
        <v>63.681352868983467</v>
      </c>
      <c r="F32" s="1913">
        <f t="shared" ref="F32:G37" si="11">IFERROR(I32*1000000/$C32,"NA")</f>
        <v>6.881113122161036</v>
      </c>
      <c r="G32" s="1913">
        <f t="shared" si="11"/>
        <v>1.3433392577175576</v>
      </c>
      <c r="H32" s="691">
        <v>3297.2306930447776</v>
      </c>
      <c r="I32" s="691">
        <v>0.35628353303645383</v>
      </c>
      <c r="J32" s="691">
        <v>6.955410386508365E-2</v>
      </c>
      <c r="K32" s="3093" t="s">
        <v>2146</v>
      </c>
    </row>
    <row r="33" spans="2:11" ht="18" customHeight="1" x14ac:dyDescent="0.25">
      <c r="B33" s="282" t="s">
        <v>133</v>
      </c>
      <c r="C33" s="691">
        <v>9644.1860465116279</v>
      </c>
      <c r="D33" s="3077" t="s">
        <v>1814</v>
      </c>
      <c r="E33" s="1913">
        <f t="shared" ref="E33:E37" si="12">IFERROR(H33*1000/$C33,"NA")</f>
        <v>90.802229230065294</v>
      </c>
      <c r="F33" s="1913">
        <f t="shared" si="11"/>
        <v>0.95238095238095233</v>
      </c>
      <c r="G33" s="1913">
        <f t="shared" si="11"/>
        <v>0.66666666666666663</v>
      </c>
      <c r="H33" s="691">
        <v>875.71359213274604</v>
      </c>
      <c r="I33" s="691">
        <v>9.1849390919158357E-3</v>
      </c>
      <c r="J33" s="691">
        <v>6.4294573643410846E-3</v>
      </c>
      <c r="K33" s="3093" t="s">
        <v>2146</v>
      </c>
    </row>
    <row r="34" spans="2:11" ht="18" customHeight="1" x14ac:dyDescent="0.25">
      <c r="B34" s="282" t="s">
        <v>134</v>
      </c>
      <c r="C34" s="691">
        <v>28237.302019879371</v>
      </c>
      <c r="D34" s="3077" t="s">
        <v>1814</v>
      </c>
      <c r="E34" s="1913">
        <f t="shared" si="12"/>
        <v>51.411918339265007</v>
      </c>
      <c r="F34" s="1913">
        <f t="shared" si="11"/>
        <v>0.95584890479173767</v>
      </c>
      <c r="G34" s="1913">
        <f t="shared" si="11"/>
        <v>0.49294474735353605</v>
      </c>
      <c r="H34" s="691">
        <v>1451.7338655672011</v>
      </c>
      <c r="I34" s="691">
        <v>2.6990594209975217E-2</v>
      </c>
      <c r="J34" s="691">
        <v>1.3919429710134929E-2</v>
      </c>
      <c r="K34" s="3093" t="s">
        <v>2146</v>
      </c>
    </row>
    <row r="35" spans="2:11" ht="18" customHeight="1" x14ac:dyDescent="0.25">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5">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5">
      <c r="B37" s="282" t="s">
        <v>137</v>
      </c>
      <c r="C37" s="691" t="s">
        <v>2146</v>
      </c>
      <c r="D37" s="3077" t="s">
        <v>1814</v>
      </c>
      <c r="E37" s="1913" t="str">
        <f t="shared" si="12"/>
        <v>NA</v>
      </c>
      <c r="F37" s="1913" t="str">
        <f t="shared" si="11"/>
        <v>NA</v>
      </c>
      <c r="G37" s="1913" t="str">
        <f t="shared" si="11"/>
        <v>NA</v>
      </c>
      <c r="H37" s="691" t="s">
        <v>2146</v>
      </c>
      <c r="I37" s="691" t="s">
        <v>2146</v>
      </c>
      <c r="J37" s="691" t="s">
        <v>2146</v>
      </c>
      <c r="K37" s="3093" t="s">
        <v>2146</v>
      </c>
    </row>
    <row r="38" spans="2:11" ht="18" customHeight="1" x14ac:dyDescent="0.25">
      <c r="B38" s="1241" t="s">
        <v>154</v>
      </c>
      <c r="C38" s="1913">
        <f>IF(SUM(C39:C44)=0,"NO",SUM(C39:C44))</f>
        <v>37700</v>
      </c>
      <c r="D38" s="3077" t="s">
        <v>1814</v>
      </c>
      <c r="E38" s="628"/>
      <c r="F38" s="628"/>
      <c r="G38" s="628"/>
      <c r="H38" s="1913">
        <f>IF(SUM(H39:H43)=0,"NO",SUM(H39:H43))</f>
        <v>1289.6062581323665</v>
      </c>
      <c r="I38" s="1913">
        <f t="shared" ref="I38:K38" si="13">IF(SUM(I39:I44)=0,"NO",SUM(I39:I44))</f>
        <v>0.16742446753246756</v>
      </c>
      <c r="J38" s="1913">
        <f t="shared" si="13"/>
        <v>0.11263538181818183</v>
      </c>
      <c r="K38" s="3065" t="str">
        <f t="shared" si="13"/>
        <v>NO</v>
      </c>
    </row>
    <row r="39" spans="2:11" ht="18" customHeight="1" x14ac:dyDescent="0.25">
      <c r="B39" s="282" t="s">
        <v>132</v>
      </c>
      <c r="C39" s="691">
        <v>1900</v>
      </c>
      <c r="D39" s="3077" t="s">
        <v>1814</v>
      </c>
      <c r="E39" s="1913">
        <f>IFERROR(H39*1000/$C39,"NA")</f>
        <v>66.910526315789483</v>
      </c>
      <c r="F39" s="1913">
        <f t="shared" ref="F39:G44" si="14">IFERROR(I39*1000000/$C39,"NA")</f>
        <v>0.89428571428571413</v>
      </c>
      <c r="G39" s="1913">
        <f t="shared" si="14"/>
        <v>1.238877192982456</v>
      </c>
      <c r="H39" s="691">
        <v>127.13000000000002</v>
      </c>
      <c r="I39" s="691">
        <v>1.699142857142857E-3</v>
      </c>
      <c r="J39" s="691">
        <v>2.3538666666666663E-3</v>
      </c>
      <c r="K39" s="3093" t="s">
        <v>2146</v>
      </c>
    </row>
    <row r="40" spans="2:11" ht="18" customHeight="1" x14ac:dyDescent="0.25">
      <c r="B40" s="282" t="s">
        <v>133</v>
      </c>
      <c r="C40" s="691">
        <v>3700</v>
      </c>
      <c r="D40" s="3077" t="s">
        <v>1814</v>
      </c>
      <c r="E40" s="1913">
        <f t="shared" ref="E40:E44" si="15">IFERROR(H40*1000/$C40,"NA")</f>
        <v>91.860963433547738</v>
      </c>
      <c r="F40" s="1913">
        <f t="shared" si="14"/>
        <v>0.95238095238095266</v>
      </c>
      <c r="G40" s="1913">
        <f t="shared" si="14"/>
        <v>0.66666666666666663</v>
      </c>
      <c r="H40" s="691">
        <v>339.88556470412664</v>
      </c>
      <c r="I40" s="691">
        <v>3.5238095238095245E-3</v>
      </c>
      <c r="J40" s="691">
        <v>2.4666666666666665E-3</v>
      </c>
      <c r="K40" s="3093" t="s">
        <v>2146</v>
      </c>
    </row>
    <row r="41" spans="2:11" ht="18" customHeight="1" x14ac:dyDescent="0.25">
      <c r="B41" s="282" t="s">
        <v>134</v>
      </c>
      <c r="C41" s="691">
        <v>16000</v>
      </c>
      <c r="D41" s="3077" t="s">
        <v>1814</v>
      </c>
      <c r="E41" s="1913">
        <f t="shared" si="15"/>
        <v>51.411918339264993</v>
      </c>
      <c r="F41" s="1913">
        <f t="shared" si="14"/>
        <v>0.91363636363636347</v>
      </c>
      <c r="G41" s="1913">
        <f t="shared" si="14"/>
        <v>0.86863636363636354</v>
      </c>
      <c r="H41" s="691">
        <v>822.59069342823989</v>
      </c>
      <c r="I41" s="691">
        <v>1.4618181818181817E-2</v>
      </c>
      <c r="J41" s="691">
        <v>1.3898181818181816E-2</v>
      </c>
      <c r="K41" s="3093" t="s">
        <v>2146</v>
      </c>
    </row>
    <row r="42" spans="2:11" ht="18" customHeight="1" x14ac:dyDescent="0.25">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5">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5">
      <c r="B44" s="282" t="s">
        <v>137</v>
      </c>
      <c r="C44" s="691">
        <v>16100.000000000002</v>
      </c>
      <c r="D44" s="3076" t="s">
        <v>1814</v>
      </c>
      <c r="E44" s="1913">
        <f t="shared" si="15"/>
        <v>93.999999999999986</v>
      </c>
      <c r="F44" s="1913">
        <f t="shared" si="14"/>
        <v>9.1666666666666679</v>
      </c>
      <c r="G44" s="1913">
        <f t="shared" si="14"/>
        <v>5.833333333333333</v>
      </c>
      <c r="H44" s="691">
        <v>1513.4</v>
      </c>
      <c r="I44" s="691">
        <v>0.14758333333333337</v>
      </c>
      <c r="J44" s="691">
        <v>9.3916666666666676E-2</v>
      </c>
      <c r="K44" s="3093" t="s">
        <v>2146</v>
      </c>
    </row>
    <row r="45" spans="2:11" ht="18" customHeight="1" x14ac:dyDescent="0.25">
      <c r="B45" s="1241" t="s">
        <v>155</v>
      </c>
      <c r="C45" s="1913">
        <f>IF(SUM(C46:C51)=0,"NO",SUM(C46:C51))</f>
        <v>116949.7302188821</v>
      </c>
      <c r="D45" s="3076" t="s">
        <v>1814</v>
      </c>
      <c r="E45" s="628"/>
      <c r="F45" s="628"/>
      <c r="G45" s="628"/>
      <c r="H45" s="1913">
        <f>IF(SUM(H46:H50)=0,"NO",SUM(H46:H50))</f>
        <v>2895.9460068201715</v>
      </c>
      <c r="I45" s="1913">
        <f t="shared" ref="I45:K45" si="16">IF(SUM(I46:I51)=0,"NO",SUM(I46:I51))</f>
        <v>0.71484646283529629</v>
      </c>
      <c r="J45" s="1913">
        <f t="shared" si="16"/>
        <v>0.46947940664350429</v>
      </c>
      <c r="K45" s="3065" t="str">
        <f t="shared" si="16"/>
        <v>NO</v>
      </c>
    </row>
    <row r="46" spans="2:11" ht="18" customHeight="1" x14ac:dyDescent="0.25">
      <c r="B46" s="282" t="s">
        <v>132</v>
      </c>
      <c r="C46" s="691">
        <v>6399.9999999999991</v>
      </c>
      <c r="D46" s="3076" t="s">
        <v>1814</v>
      </c>
      <c r="E46" s="1913">
        <f>IFERROR(H46*1000/$C46,"NA")</f>
        <v>66.682812500000011</v>
      </c>
      <c r="F46" s="1913">
        <f t="shared" ref="F46:G51" si="17">IFERROR(I46*1000000/$C46,"NA")</f>
        <v>1.8885600490196079</v>
      </c>
      <c r="G46" s="1913">
        <f t="shared" si="17"/>
        <v>2.2571815913865554</v>
      </c>
      <c r="H46" s="691">
        <v>426.77</v>
      </c>
      <c r="I46" s="691">
        <v>1.208678431372549E-2</v>
      </c>
      <c r="J46" s="691">
        <v>1.4445962184873953E-2</v>
      </c>
      <c r="K46" s="3093" t="s">
        <v>2146</v>
      </c>
    </row>
    <row r="47" spans="2:11" ht="18" customHeight="1" x14ac:dyDescent="0.25">
      <c r="B47" s="282" t="s">
        <v>133</v>
      </c>
      <c r="C47" s="691">
        <v>13299.999999999998</v>
      </c>
      <c r="D47" s="3076" t="s">
        <v>1814</v>
      </c>
      <c r="E47" s="1913">
        <f t="shared" ref="E47:E51" si="18">IFERROR(H47*1000/$C47,"NA")</f>
        <v>91.266645953085117</v>
      </c>
      <c r="F47" s="1913">
        <f t="shared" si="17"/>
        <v>0.95238095238095233</v>
      </c>
      <c r="G47" s="1913">
        <f t="shared" si="17"/>
        <v>0.6752380952380953</v>
      </c>
      <c r="H47" s="691">
        <v>1213.8463911760318</v>
      </c>
      <c r="I47" s="691">
        <v>1.2666666666666665E-2</v>
      </c>
      <c r="J47" s="691">
        <v>8.9806666666666663E-3</v>
      </c>
      <c r="K47" s="3093" t="s">
        <v>2146</v>
      </c>
    </row>
    <row r="48" spans="2:11" ht="18" customHeight="1" x14ac:dyDescent="0.25">
      <c r="B48" s="282" t="s">
        <v>134</v>
      </c>
      <c r="C48" s="691">
        <v>24400.000000000007</v>
      </c>
      <c r="D48" s="3076" t="s">
        <v>1814</v>
      </c>
      <c r="E48" s="1913">
        <f t="shared" si="18"/>
        <v>51.447935067382758</v>
      </c>
      <c r="F48" s="1913">
        <f t="shared" si="17"/>
        <v>0.91409090909090895</v>
      </c>
      <c r="G48" s="1913">
        <f t="shared" si="17"/>
        <v>0.86459090909090874</v>
      </c>
      <c r="H48" s="691">
        <v>1255.3296156441397</v>
      </c>
      <c r="I48" s="691">
        <v>2.2303818181818185E-2</v>
      </c>
      <c r="J48" s="691">
        <v>2.109601818181818E-2</v>
      </c>
      <c r="K48" s="3093" t="s">
        <v>2146</v>
      </c>
    </row>
    <row r="49" spans="2:11" ht="18" customHeight="1" x14ac:dyDescent="0.25">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5">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5">
      <c r="B51" s="282" t="s">
        <v>137</v>
      </c>
      <c r="C51" s="691">
        <v>72849.730218882105</v>
      </c>
      <c r="D51" s="3076" t="s">
        <v>1814</v>
      </c>
      <c r="E51" s="1913">
        <f t="shared" si="18"/>
        <v>94.962937405644624</v>
      </c>
      <c r="F51" s="1913">
        <f t="shared" si="17"/>
        <v>9.1666666666666679</v>
      </c>
      <c r="G51" s="1913">
        <f t="shared" si="17"/>
        <v>5.8333333333333321</v>
      </c>
      <c r="H51" s="691">
        <v>6918.0243707937989</v>
      </c>
      <c r="I51" s="691">
        <v>0.66778919367308598</v>
      </c>
      <c r="J51" s="691">
        <v>0.42495675961014551</v>
      </c>
      <c r="K51" s="3093" t="s">
        <v>2146</v>
      </c>
    </row>
    <row r="52" spans="2:11" ht="18" customHeight="1" x14ac:dyDescent="0.25">
      <c r="B52" s="1241" t="s">
        <v>156</v>
      </c>
      <c r="C52" s="3094">
        <f>IF(SUM(C53:C58)=0,"NO",SUM(C53:C58))</f>
        <v>88000.000000000015</v>
      </c>
      <c r="D52" s="3076" t="s">
        <v>1814</v>
      </c>
      <c r="E52" s="628"/>
      <c r="F52" s="628"/>
      <c r="G52" s="628"/>
      <c r="H52" s="1913">
        <f>IF(SUM(H53:H57)=0,"NO",SUM(H53:H57))</f>
        <v>5500.9888800095177</v>
      </c>
      <c r="I52" s="1913">
        <f t="shared" ref="I52:K52" si="19">IF(SUM(I53:I58)=0,"NO",SUM(I53:I58))</f>
        <v>0.14572418925082048</v>
      </c>
      <c r="J52" s="1913">
        <f t="shared" si="19"/>
        <v>4.033965665887608E-2</v>
      </c>
      <c r="K52" s="3065" t="str">
        <f t="shared" si="19"/>
        <v>NO</v>
      </c>
    </row>
    <row r="53" spans="2:11" ht="18" customHeight="1" x14ac:dyDescent="0.25">
      <c r="B53" s="282" t="s">
        <v>132</v>
      </c>
      <c r="C53" s="2147">
        <v>4700</v>
      </c>
      <c r="D53" s="3076" t="s">
        <v>1814</v>
      </c>
      <c r="E53" s="1913">
        <f>IFERROR(H53*1000/$C53,"NA")</f>
        <v>67.527659574468089</v>
      </c>
      <c r="F53" s="1913">
        <f t="shared" ref="F53:G58" si="20">IFERROR(I53*1000000/$C53,"NA")</f>
        <v>11.809266571741308</v>
      </c>
      <c r="G53" s="1913">
        <f t="shared" si="20"/>
        <v>1.6619141458970002</v>
      </c>
      <c r="H53" s="691">
        <v>317.38</v>
      </c>
      <c r="I53" s="691">
        <v>5.5503552887184143E-2</v>
      </c>
      <c r="J53" s="691">
        <v>7.8109964857159004E-3</v>
      </c>
      <c r="K53" s="3093" t="s">
        <v>2146</v>
      </c>
    </row>
    <row r="54" spans="2:11" ht="18" customHeight="1" x14ac:dyDescent="0.25">
      <c r="B54" s="282" t="s">
        <v>133</v>
      </c>
      <c r="C54" s="691">
        <v>24500.000000000007</v>
      </c>
      <c r="D54" s="3076" t="s">
        <v>1814</v>
      </c>
      <c r="E54" s="1913">
        <f t="shared" ref="E54:E58" si="21">IFERROR(H54*1000/$C54,"NA")</f>
        <v>90.285714285714263</v>
      </c>
      <c r="F54" s="1913">
        <f t="shared" si="20"/>
        <v>0.952380952380952</v>
      </c>
      <c r="G54" s="1913">
        <f t="shared" si="20"/>
        <v>0.82485675413022341</v>
      </c>
      <c r="H54" s="691">
        <v>2212</v>
      </c>
      <c r="I54" s="691">
        <v>2.3333333333333331E-2</v>
      </c>
      <c r="J54" s="691">
        <v>2.0208990476190479E-2</v>
      </c>
      <c r="K54" s="3093" t="s">
        <v>2146</v>
      </c>
    </row>
    <row r="55" spans="2:11" ht="18" customHeight="1" x14ac:dyDescent="0.25">
      <c r="B55" s="282" t="s">
        <v>134</v>
      </c>
      <c r="C55" s="691">
        <v>57800.000000000007</v>
      </c>
      <c r="D55" s="3076" t="s">
        <v>1814</v>
      </c>
      <c r="E55" s="1913">
        <f t="shared" si="21"/>
        <v>51.411918339265</v>
      </c>
      <c r="F55" s="1913">
        <f t="shared" si="20"/>
        <v>0.99862692670651132</v>
      </c>
      <c r="G55" s="1913">
        <f t="shared" si="20"/>
        <v>0.1122203523120478</v>
      </c>
      <c r="H55" s="691">
        <v>2971.6088800095176</v>
      </c>
      <c r="I55" s="691">
        <v>5.7720636363636363E-2</v>
      </c>
      <c r="J55" s="691">
        <v>6.4863363636363637E-3</v>
      </c>
      <c r="K55" s="3093" t="s">
        <v>2146</v>
      </c>
    </row>
    <row r="56" spans="2:11" ht="18" customHeight="1" x14ac:dyDescent="0.25">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5">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5">
      <c r="B58" s="282" t="s">
        <v>137</v>
      </c>
      <c r="C58" s="2190">
        <v>1000</v>
      </c>
      <c r="D58" s="3076" t="s">
        <v>1814</v>
      </c>
      <c r="E58" s="3095">
        <f t="shared" si="21"/>
        <v>94.000000000000014</v>
      </c>
      <c r="F58" s="3095">
        <f t="shared" si="20"/>
        <v>9.1666666666666696</v>
      </c>
      <c r="G58" s="3095">
        <f t="shared" si="20"/>
        <v>5.8333333333333348</v>
      </c>
      <c r="H58" s="2190">
        <v>94.000000000000014</v>
      </c>
      <c r="I58" s="691">
        <v>9.1666666666666702E-3</v>
      </c>
      <c r="J58" s="691">
        <v>5.8333333333333345E-3</v>
      </c>
      <c r="K58" s="3093" t="s">
        <v>2146</v>
      </c>
    </row>
    <row r="59" spans="2:11" ht="18" customHeight="1" x14ac:dyDescent="0.25">
      <c r="B59" s="1241" t="s">
        <v>157</v>
      </c>
      <c r="C59" s="3094">
        <f>IF(SUM(C61,C68,C75,C82,C89,C96,C103,C112)=0,"NO",SUM(C61,C68,C75,C82,C89,C96,C103,C112))</f>
        <v>99696.364013871091</v>
      </c>
      <c r="D59" s="3076" t="s">
        <v>1814</v>
      </c>
      <c r="E59" s="1914"/>
      <c r="F59" s="1914"/>
      <c r="G59" s="1914"/>
      <c r="H59" s="1913">
        <f>IF(SUM(H61,H68,H75,H82,H89,H96,H103,H112)=0,"NO",SUM(H61,H68,H75,H82,H89,H96,H103,H112))</f>
        <v>6682.3364696265335</v>
      </c>
      <c r="I59" s="1913">
        <f>IF(SUM(I61,I68,I75,I82,I89,I96,I103,I112)=0,"NO",SUM(I61,I68,I75,I82,I89,I96,I103,I112))</f>
        <v>0.33639879365268521</v>
      </c>
      <c r="J59" s="1913">
        <f>IF(SUM(J61,J68,J75,J82,J89,J96,J103,J112)=0,"NO",SUM(J61,J68,J75,J82,J89,J96,J103,J112))</f>
        <v>0.26395687418508246</v>
      </c>
      <c r="K59" s="3065" t="str">
        <f>IF(SUM(K61,K68,K75,K82,K89,K96,K103,K112)=0,"NO",SUM(K61,K68,K75,K82,K89,K96,K103,K112))</f>
        <v>NO</v>
      </c>
    </row>
    <row r="60" spans="2:11" ht="18" customHeight="1" x14ac:dyDescent="0.25">
      <c r="B60" s="1242" t="s">
        <v>158</v>
      </c>
      <c r="C60" s="3096"/>
      <c r="D60" s="3097"/>
      <c r="E60" s="3097"/>
      <c r="F60" s="3097"/>
      <c r="G60" s="3097"/>
      <c r="H60" s="3097"/>
      <c r="I60" s="3097"/>
      <c r="J60" s="3097"/>
      <c r="K60" s="3098"/>
    </row>
    <row r="61" spans="2:11" ht="18" customHeight="1" x14ac:dyDescent="0.25">
      <c r="B61" s="1242" t="s">
        <v>159</v>
      </c>
      <c r="C61" s="1913">
        <f>IF(SUM(C62:C67)=0,"NO",SUM(C62:C67))</f>
        <v>9100</v>
      </c>
      <c r="D61" s="3076" t="s">
        <v>1814</v>
      </c>
      <c r="E61" s="628"/>
      <c r="F61" s="628"/>
      <c r="G61" s="628"/>
      <c r="H61" s="1913">
        <f>IF(SUM(H62:H66)=0,"NO",SUM(H62:H66))</f>
        <v>479.70773038197297</v>
      </c>
      <c r="I61" s="1913">
        <f t="shared" ref="I61:K61" si="22">IF(SUM(I62:I67)=0,"NO",SUM(I62:I67))</f>
        <v>4.1425999999999991E-2</v>
      </c>
      <c r="J61" s="1913">
        <f t="shared" si="22"/>
        <v>8.4380285714285696E-3</v>
      </c>
      <c r="K61" s="3065" t="str">
        <f t="shared" si="22"/>
        <v>NO</v>
      </c>
    </row>
    <row r="62" spans="2:11" ht="18" customHeight="1" x14ac:dyDescent="0.25">
      <c r="B62" s="158" t="s">
        <v>132</v>
      </c>
      <c r="C62" s="691">
        <v>799.99999999999989</v>
      </c>
      <c r="D62" s="3076" t="s">
        <v>1814</v>
      </c>
      <c r="E62" s="1913">
        <f>IFERROR(H62*1000/$C62,"NA")</f>
        <v>61.412500000000001</v>
      </c>
      <c r="F62" s="1913">
        <f t="shared" ref="F62:G67" si="23">IFERROR(I62*1000000/$C62,"NA")</f>
        <v>42.130952380952372</v>
      </c>
      <c r="G62" s="1913">
        <f t="shared" si="23"/>
        <v>2.1309523809523809</v>
      </c>
      <c r="H62" s="691">
        <v>49.129999999999995</v>
      </c>
      <c r="I62" s="691">
        <v>3.3704761904761897E-2</v>
      </c>
      <c r="J62" s="691">
        <v>1.7047619047619045E-3</v>
      </c>
      <c r="K62" s="3093" t="s">
        <v>2146</v>
      </c>
    </row>
    <row r="63" spans="2:11" ht="18" customHeight="1" x14ac:dyDescent="0.25">
      <c r="B63" s="158" t="s">
        <v>133</v>
      </c>
      <c r="C63" s="691">
        <v>100</v>
      </c>
      <c r="D63" s="3076" t="s">
        <v>1814</v>
      </c>
      <c r="E63" s="1913">
        <f t="shared" ref="E63:E67" si="24">IFERROR(H63*1000/$C63,"NA")</f>
        <v>90</v>
      </c>
      <c r="F63" s="1913">
        <f t="shared" si="23"/>
        <v>0.95238095238095244</v>
      </c>
      <c r="G63" s="1913">
        <f t="shared" si="23"/>
        <v>0.66666666666666652</v>
      </c>
      <c r="H63" s="691">
        <v>9</v>
      </c>
      <c r="I63" s="691">
        <v>9.5238095238095241E-5</v>
      </c>
      <c r="J63" s="691">
        <v>6.6666666666666656E-5</v>
      </c>
      <c r="K63" s="3093" t="s">
        <v>2146</v>
      </c>
    </row>
    <row r="64" spans="2:11" ht="18" customHeight="1" x14ac:dyDescent="0.25">
      <c r="B64" s="158" t="s">
        <v>134</v>
      </c>
      <c r="C64" s="691">
        <v>8200</v>
      </c>
      <c r="D64" s="3076" t="s">
        <v>1814</v>
      </c>
      <c r="E64" s="1913">
        <f t="shared" si="24"/>
        <v>51.411918339264993</v>
      </c>
      <c r="F64" s="1913">
        <f t="shared" si="23"/>
        <v>0.92999999999999983</v>
      </c>
      <c r="G64" s="1913">
        <f t="shared" si="23"/>
        <v>0.81299999999999983</v>
      </c>
      <c r="H64" s="691">
        <v>421.57773038197297</v>
      </c>
      <c r="I64" s="691">
        <v>7.6259999999999982E-3</v>
      </c>
      <c r="J64" s="691">
        <v>6.6665999999999982E-3</v>
      </c>
      <c r="K64" s="3093" t="s">
        <v>2146</v>
      </c>
    </row>
    <row r="65" spans="2:11" ht="18" customHeight="1" x14ac:dyDescent="0.25">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5">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5">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5">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5">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5">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5">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5">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5">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5">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5">
      <c r="B75" s="1242" t="s">
        <v>161</v>
      </c>
      <c r="C75" s="1913">
        <f>IF(SUM(C76:C81)=0,"NO",SUM(C76:C81))</f>
        <v>34294.755434782615</v>
      </c>
      <c r="D75" s="3077" t="s">
        <v>1814</v>
      </c>
      <c r="E75" s="628"/>
      <c r="F75" s="628"/>
      <c r="G75" s="628"/>
      <c r="H75" s="1913">
        <f>IF(SUM(H76:H80)=0,"NO",SUM(H76:H80))</f>
        <v>2475.9289289045519</v>
      </c>
      <c r="I75" s="1913">
        <f t="shared" ref="I75:K75" si="28">IF(SUM(I76:I81)=0,"NO",SUM(I76:I81))</f>
        <v>9.6852288621523397E-2</v>
      </c>
      <c r="J75" s="1913">
        <f t="shared" si="28"/>
        <v>9.05898783736553E-2</v>
      </c>
      <c r="K75" s="3065" t="str">
        <f t="shared" si="28"/>
        <v>NO</v>
      </c>
    </row>
    <row r="76" spans="2:11" ht="18" customHeight="1" x14ac:dyDescent="0.25">
      <c r="B76" s="158" t="s">
        <v>132</v>
      </c>
      <c r="C76" s="691">
        <v>25064.755434782604</v>
      </c>
      <c r="D76" s="3077" t="s">
        <v>1814</v>
      </c>
      <c r="E76" s="1913">
        <f>IFERROR(H76*1000/$C76,"NA")</f>
        <v>70.166838612593679</v>
      </c>
      <c r="F76" s="1913">
        <f t="shared" ref="F76:G81" si="29">IFERROR(I76*1000000/$C76,"NA")</f>
        <v>3.4125535706387913</v>
      </c>
      <c r="G76" s="1913">
        <f t="shared" si="29"/>
        <v>3.3222717116640044</v>
      </c>
      <c r="H76" s="691">
        <v>1758.7146494565216</v>
      </c>
      <c r="I76" s="691">
        <v>8.5534820656155419E-2</v>
      </c>
      <c r="J76" s="691">
        <v>8.3271927940754858E-2</v>
      </c>
      <c r="K76" s="3093" t="s">
        <v>2146</v>
      </c>
    </row>
    <row r="77" spans="2:11" ht="18" customHeight="1" x14ac:dyDescent="0.25">
      <c r="B77" s="158" t="s">
        <v>133</v>
      </c>
      <c r="C77" s="691">
        <v>8330</v>
      </c>
      <c r="D77" s="3077" t="s">
        <v>1814</v>
      </c>
      <c r="E77" s="1913">
        <f t="shared" ref="E77:E81" si="30">IFERROR(H77*1000/$C77,"NA")</f>
        <v>80.545444530935356</v>
      </c>
      <c r="F77" s="1913">
        <f t="shared" si="29"/>
        <v>1.1452051469938624</v>
      </c>
      <c r="G77" s="1913">
        <f t="shared" si="29"/>
        <v>0.78290685105210911</v>
      </c>
      <c r="H77" s="691">
        <v>670.94355294269144</v>
      </c>
      <c r="I77" s="691">
        <v>9.5395588744588752E-3</v>
      </c>
      <c r="J77" s="691">
        <v>6.5216140692640695E-3</v>
      </c>
      <c r="K77" s="3093" t="s">
        <v>2146</v>
      </c>
    </row>
    <row r="78" spans="2:11" ht="18" customHeight="1" x14ac:dyDescent="0.25">
      <c r="B78" s="158" t="s">
        <v>134</v>
      </c>
      <c r="C78" s="691">
        <v>900.0000000000058</v>
      </c>
      <c r="D78" s="3077" t="s">
        <v>1814</v>
      </c>
      <c r="E78" s="1913">
        <f t="shared" si="30"/>
        <v>51.411918339265</v>
      </c>
      <c r="F78" s="1913">
        <f t="shared" si="29"/>
        <v>1.9754545454545454</v>
      </c>
      <c r="G78" s="1913">
        <f t="shared" si="29"/>
        <v>0.88481818181818184</v>
      </c>
      <c r="H78" s="691">
        <v>46.2707265053388</v>
      </c>
      <c r="I78" s="691">
        <v>1.7779090909091023E-3</v>
      </c>
      <c r="J78" s="691">
        <v>7.9633636363636877E-4</v>
      </c>
      <c r="K78" s="3093" t="s">
        <v>2146</v>
      </c>
    </row>
    <row r="79" spans="2:11" ht="18" customHeight="1" x14ac:dyDescent="0.25">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5">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5">
      <c r="B81" s="158" t="s">
        <v>137</v>
      </c>
      <c r="C81" s="691" t="s">
        <v>2146</v>
      </c>
      <c r="D81" s="3076" t="s">
        <v>1814</v>
      </c>
      <c r="E81" s="1913" t="str">
        <f t="shared" si="30"/>
        <v>NA</v>
      </c>
      <c r="F81" s="1913" t="str">
        <f t="shared" si="29"/>
        <v>NA</v>
      </c>
      <c r="G81" s="1913" t="str">
        <f t="shared" si="29"/>
        <v>NA</v>
      </c>
      <c r="H81" s="691" t="s">
        <v>2146</v>
      </c>
      <c r="I81" s="691" t="s">
        <v>2146</v>
      </c>
      <c r="J81" s="691" t="s">
        <v>2146</v>
      </c>
      <c r="K81" s="3093" t="s">
        <v>2146</v>
      </c>
    </row>
    <row r="82" spans="2:11" ht="18" customHeight="1" x14ac:dyDescent="0.25">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5">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5">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5">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5">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5">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5">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5">
      <c r="B89" s="1242" t="s">
        <v>164</v>
      </c>
      <c r="C89" s="1913">
        <f>IF(SUM(C90:C95)=0,"NO",SUM(C90:C95))</f>
        <v>40801.608579088468</v>
      </c>
      <c r="D89" s="3077" t="s">
        <v>1814</v>
      </c>
      <c r="E89" s="628"/>
      <c r="F89" s="628"/>
      <c r="G89" s="628"/>
      <c r="H89" s="1913">
        <f>IF(SUM(H90:H94)=0,"NO",SUM(H90:H94))</f>
        <v>2848.0332147670497</v>
      </c>
      <c r="I89" s="1913">
        <f t="shared" ref="I89:K89" si="36">IF(SUM(I90:I95)=0,"NO",SUM(I90:I95))</f>
        <v>0.15072927126492808</v>
      </c>
      <c r="J89" s="1913">
        <f t="shared" si="36"/>
        <v>0.15003988022701156</v>
      </c>
      <c r="K89" s="3065" t="str">
        <f t="shared" si="36"/>
        <v>NO</v>
      </c>
    </row>
    <row r="90" spans="2:11" ht="18" customHeight="1" x14ac:dyDescent="0.25">
      <c r="B90" s="158" t="s">
        <v>132</v>
      </c>
      <c r="C90" s="691">
        <v>40601.608579088468</v>
      </c>
      <c r="D90" s="3077" t="s">
        <v>1814</v>
      </c>
      <c r="E90" s="1913">
        <f>IFERROR(H90*1000/$C90,"NA")</f>
        <v>69.892571511581878</v>
      </c>
      <c r="F90" s="1913">
        <f t="shared" ref="F90:G95" si="37">IFERROR(I90*1000000/$C90,"NA")</f>
        <v>3.7079184384987189</v>
      </c>
      <c r="G90" s="1913">
        <f t="shared" si="37"/>
        <v>3.6909390364000649</v>
      </c>
      <c r="H90" s="691">
        <v>2837.7508310991966</v>
      </c>
      <c r="I90" s="691">
        <v>0.15054745308310991</v>
      </c>
      <c r="J90" s="691">
        <v>0.14985806204519339</v>
      </c>
      <c r="K90" s="3093" t="s">
        <v>2146</v>
      </c>
    </row>
    <row r="91" spans="2:11" ht="18" customHeight="1" x14ac:dyDescent="0.25">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5">
      <c r="B92" s="158" t="s">
        <v>134</v>
      </c>
      <c r="C92" s="691">
        <v>200.00000000000003</v>
      </c>
      <c r="D92" s="3077" t="s">
        <v>1814</v>
      </c>
      <c r="E92" s="1913">
        <f t="shared" si="38"/>
        <v>51.411918339265007</v>
      </c>
      <c r="F92" s="1913">
        <f t="shared" si="37"/>
        <v>0.90909090909090917</v>
      </c>
      <c r="G92" s="1913">
        <f t="shared" si="37"/>
        <v>0.90909090909090917</v>
      </c>
      <c r="H92" s="691">
        <v>10.282383667853003</v>
      </c>
      <c r="I92" s="691">
        <v>1.8181818181818186E-4</v>
      </c>
      <c r="J92" s="691">
        <v>1.8181818181818186E-4</v>
      </c>
      <c r="K92" s="3093" t="s">
        <v>2146</v>
      </c>
    </row>
    <row r="93" spans="2:11" ht="18" customHeight="1" x14ac:dyDescent="0.25">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5">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5">
      <c r="B95" s="158" t="s">
        <v>137</v>
      </c>
      <c r="C95" s="691" t="s">
        <v>2146</v>
      </c>
      <c r="D95" s="3076" t="s">
        <v>1814</v>
      </c>
      <c r="E95" s="1913" t="str">
        <f t="shared" si="38"/>
        <v>NA</v>
      </c>
      <c r="F95" s="1913" t="str">
        <f t="shared" si="37"/>
        <v>NA</v>
      </c>
      <c r="G95" s="1913" t="str">
        <f t="shared" si="37"/>
        <v>NA</v>
      </c>
      <c r="H95" s="691" t="s">
        <v>2146</v>
      </c>
      <c r="I95" s="691" t="s">
        <v>2146</v>
      </c>
      <c r="J95" s="691" t="s">
        <v>2146</v>
      </c>
      <c r="K95" s="3093" t="s">
        <v>2146</v>
      </c>
    </row>
    <row r="96" spans="2:11" ht="18" customHeight="1" x14ac:dyDescent="0.25">
      <c r="B96" s="1242" t="s">
        <v>165</v>
      </c>
      <c r="C96" s="1913">
        <f>IF(SUM(C97:C102)=0,"NO",SUM(C97:C102))</f>
        <v>8800</v>
      </c>
      <c r="D96" s="3076" t="s">
        <v>1814</v>
      </c>
      <c r="E96" s="628"/>
      <c r="F96" s="628"/>
      <c r="G96" s="628"/>
      <c r="H96" s="1913">
        <f>IF(SUM(H97:H101)=0,"NO",SUM(H97:H101))</f>
        <v>522.34746920522252</v>
      </c>
      <c r="I96" s="1913">
        <f t="shared" ref="I96:K96" si="42">IF(SUM(I97:I102)=0,"NO",SUM(I97:I102))</f>
        <v>8.6015584415584413E-3</v>
      </c>
      <c r="J96" s="1913">
        <f t="shared" si="42"/>
        <v>8.1677956709956707E-3</v>
      </c>
      <c r="K96" s="3065" t="str">
        <f t="shared" si="42"/>
        <v>NO</v>
      </c>
    </row>
    <row r="97" spans="2:11" ht="18" customHeight="1" x14ac:dyDescent="0.25">
      <c r="B97" s="158" t="s">
        <v>132</v>
      </c>
      <c r="C97" s="691">
        <v>900</v>
      </c>
      <c r="D97" s="3076" t="s">
        <v>1814</v>
      </c>
      <c r="E97" s="1913">
        <f>IFERROR(H97*1000/$C97,"NA")</f>
        <v>65.74444444444444</v>
      </c>
      <c r="F97" s="1913">
        <f t="shared" ref="F97:G102" si="43">IFERROR(I97*1000000/$C97,"NA")</f>
        <v>1.4576238576238578</v>
      </c>
      <c r="G97" s="1913">
        <f t="shared" si="43"/>
        <v>1.9401096681096679</v>
      </c>
      <c r="H97" s="691">
        <v>59.17</v>
      </c>
      <c r="I97" s="691">
        <v>1.3118614718614719E-3</v>
      </c>
      <c r="J97" s="691">
        <v>1.7460987012987012E-3</v>
      </c>
      <c r="K97" s="3093" t="s">
        <v>2146</v>
      </c>
    </row>
    <row r="98" spans="2:11" ht="18" customHeight="1" x14ac:dyDescent="0.25">
      <c r="B98" s="158" t="s">
        <v>133</v>
      </c>
      <c r="C98" s="691">
        <v>1400</v>
      </c>
      <c r="D98" s="3076" t="s">
        <v>1814</v>
      </c>
      <c r="E98" s="1913">
        <f t="shared" ref="E98:E102" si="44">IFERROR(H98*1000/$C98,"NA")</f>
        <v>92.142857142857139</v>
      </c>
      <c r="F98" s="1913">
        <f t="shared" si="43"/>
        <v>0.95238095238095233</v>
      </c>
      <c r="G98" s="1913">
        <f t="shared" si="43"/>
        <v>0.66666666666666674</v>
      </c>
      <c r="H98" s="691">
        <v>129</v>
      </c>
      <c r="I98" s="691">
        <v>1.3333333333333333E-3</v>
      </c>
      <c r="J98" s="691">
        <v>9.3333333333333332E-4</v>
      </c>
      <c r="K98" s="3093" t="s">
        <v>2146</v>
      </c>
    </row>
    <row r="99" spans="2:11" ht="18" customHeight="1" x14ac:dyDescent="0.25">
      <c r="B99" s="158" t="s">
        <v>134</v>
      </c>
      <c r="C99" s="691">
        <v>6500.0000000000009</v>
      </c>
      <c r="D99" s="3076" t="s">
        <v>1814</v>
      </c>
      <c r="E99" s="1913">
        <f t="shared" si="44"/>
        <v>51.411918339264993</v>
      </c>
      <c r="F99" s="1913">
        <f t="shared" si="43"/>
        <v>0.91636363636363627</v>
      </c>
      <c r="G99" s="1913">
        <f t="shared" si="43"/>
        <v>0.84436363636363632</v>
      </c>
      <c r="H99" s="691">
        <v>334.17746920522251</v>
      </c>
      <c r="I99" s="691">
        <v>5.9563636363636372E-3</v>
      </c>
      <c r="J99" s="691">
        <v>5.4883636363636367E-3</v>
      </c>
      <c r="K99" s="3093" t="s">
        <v>2146</v>
      </c>
    </row>
    <row r="100" spans="2:11" ht="18" customHeight="1" x14ac:dyDescent="0.25">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5">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5">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5">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5">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5">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5">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5">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5">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5">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5">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5">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5">
      <c r="B112" s="1242" t="s">
        <v>171</v>
      </c>
      <c r="C112" s="1913">
        <f>C113</f>
        <v>6699.9999999999991</v>
      </c>
      <c r="D112" s="3076" t="s">
        <v>1814</v>
      </c>
      <c r="E112" s="628"/>
      <c r="F112" s="628"/>
      <c r="G112" s="628"/>
      <c r="H112" s="1913">
        <f>H113</f>
        <v>356.31912636773694</v>
      </c>
      <c r="I112" s="1913">
        <f>I113</f>
        <v>3.8789675324675324E-2</v>
      </c>
      <c r="J112" s="1913">
        <f>J113</f>
        <v>6.7212913419913405E-3</v>
      </c>
      <c r="K112" s="3065" t="str">
        <f>K113</f>
        <v>NO</v>
      </c>
    </row>
    <row r="113" spans="2:11" ht="18" customHeight="1" x14ac:dyDescent="0.25">
      <c r="B113" s="3090" t="s">
        <v>2259</v>
      </c>
      <c r="C113" s="3099">
        <f>IF(SUM(C114:C119)=0,"NO",SUM(C114:C119))</f>
        <v>6699.9999999999991</v>
      </c>
      <c r="D113" s="3099" t="s">
        <v>1814</v>
      </c>
      <c r="E113" s="628"/>
      <c r="F113" s="628"/>
      <c r="G113" s="628"/>
      <c r="H113" s="3099">
        <f>IF(SUM(H114:H118)=0,"NO",SUM(H114:H118))</f>
        <v>356.31912636773694</v>
      </c>
      <c r="I113" s="3099">
        <f t="shared" ref="I113" si="51">IF(SUM(I114:I119)=0,"NO",SUM(I114:I119))</f>
        <v>3.8789675324675324E-2</v>
      </c>
      <c r="J113" s="3099">
        <f t="shared" ref="J113" si="52">IF(SUM(J114:J119)=0,"NO",SUM(J114:J119))</f>
        <v>6.7212913419913405E-3</v>
      </c>
      <c r="K113" s="3100" t="str">
        <f t="shared" ref="K113" si="53">IF(SUM(K114:K119)=0,"NO",SUM(K114:K119))</f>
        <v>NO</v>
      </c>
    </row>
    <row r="114" spans="2:11" ht="18" customHeight="1" x14ac:dyDescent="0.25">
      <c r="B114" s="158" t="s">
        <v>132</v>
      </c>
      <c r="C114" s="691">
        <v>799.99999999999989</v>
      </c>
      <c r="D114" s="3076" t="s">
        <v>1814</v>
      </c>
      <c r="E114" s="1913">
        <f>IFERROR(H114*1000/$C114,"NA")</f>
        <v>61.412500000000016</v>
      </c>
      <c r="F114" s="1913">
        <f t="shared" ref="F114:G119" si="54">IFERROR(I114*1000000/$C114,"NA")</f>
        <v>41.768614718614735</v>
      </c>
      <c r="G114" s="1913">
        <f t="shared" si="54"/>
        <v>1.7645454545454544</v>
      </c>
      <c r="H114" s="691">
        <v>49.13000000000001</v>
      </c>
      <c r="I114" s="691">
        <v>3.3414891774891778E-2</v>
      </c>
      <c r="J114" s="691">
        <v>1.4116363636363634E-3</v>
      </c>
      <c r="K114" s="3093" t="s">
        <v>2146</v>
      </c>
    </row>
    <row r="115" spans="2:11" ht="18" customHeight="1" x14ac:dyDescent="0.25">
      <c r="B115" s="158" t="s">
        <v>133</v>
      </c>
      <c r="C115" s="691">
        <v>100</v>
      </c>
      <c r="D115" s="3076" t="s">
        <v>1814</v>
      </c>
      <c r="E115" s="1913">
        <f t="shared" ref="E115:E119" si="55">IFERROR(H115*1000/$C115,"NA")</f>
        <v>90</v>
      </c>
      <c r="F115" s="1913">
        <f t="shared" si="54"/>
        <v>0.95238095238095222</v>
      </c>
      <c r="G115" s="1913">
        <f t="shared" si="54"/>
        <v>0.70609523809523822</v>
      </c>
      <c r="H115" s="691">
        <v>9</v>
      </c>
      <c r="I115" s="691">
        <v>9.5238095238095227E-5</v>
      </c>
      <c r="J115" s="691">
        <v>7.0609523809523819E-5</v>
      </c>
      <c r="K115" s="3093" t="s">
        <v>2146</v>
      </c>
    </row>
    <row r="116" spans="2:11" ht="18" customHeight="1" x14ac:dyDescent="0.25">
      <c r="B116" s="158" t="s">
        <v>134</v>
      </c>
      <c r="C116" s="691">
        <v>5799.9999999999991</v>
      </c>
      <c r="D116" s="3076" t="s">
        <v>1814</v>
      </c>
      <c r="E116" s="1913">
        <f t="shared" si="55"/>
        <v>51.411918339265</v>
      </c>
      <c r="F116" s="1913">
        <f t="shared" si="54"/>
        <v>0.91026645768025072</v>
      </c>
      <c r="G116" s="1913">
        <f t="shared" si="54"/>
        <v>0.90328369905956118</v>
      </c>
      <c r="H116" s="691">
        <v>298.18912636773695</v>
      </c>
      <c r="I116" s="691">
        <v>5.2795454545454534E-3</v>
      </c>
      <c r="J116" s="691">
        <v>5.2390454545454537E-3</v>
      </c>
      <c r="K116" s="3093" t="s">
        <v>2146</v>
      </c>
    </row>
    <row r="117" spans="2:11" ht="18" customHeight="1" x14ac:dyDescent="0.25">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5">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3">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5">
      <c r="B120" s="2015"/>
      <c r="C120" s="1"/>
      <c r="D120" s="1"/>
      <c r="E120" s="1"/>
      <c r="F120" s="1"/>
      <c r="G120" s="1"/>
      <c r="H120" s="1"/>
      <c r="I120" s="1"/>
      <c r="J120" s="1"/>
      <c r="K120" s="1"/>
    </row>
    <row r="121" spans="2:11" ht="12" customHeight="1" x14ac:dyDescent="0.25">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5"/>
  <cols>
    <col min="1" max="1" width="1.88671875" customWidth="1"/>
    <col min="2" max="2" width="56.44140625" bestFit="1" customWidth="1"/>
    <col min="3" max="19" width="10.88671875" customWidth="1"/>
  </cols>
  <sheetData>
    <row r="1" spans="2:18" ht="15.75" customHeight="1" x14ac:dyDescent="0.25">
      <c r="B1" s="213" t="s">
        <v>1538</v>
      </c>
      <c r="C1" s="213"/>
      <c r="D1" s="213"/>
      <c r="E1" s="213"/>
      <c r="F1" s="213"/>
      <c r="G1" s="213"/>
      <c r="R1" s="14" t="s">
        <v>2521</v>
      </c>
    </row>
    <row r="2" spans="2:18" ht="15.75" customHeight="1" x14ac:dyDescent="0.25">
      <c r="B2" s="3"/>
      <c r="R2" s="14" t="s">
        <v>2522</v>
      </c>
    </row>
    <row r="3" spans="2:18" ht="15.75" hidden="1" customHeight="1" x14ac:dyDescent="0.25">
      <c r="B3" s="3"/>
      <c r="R3" s="14" t="s">
        <v>2144</v>
      </c>
    </row>
    <row r="4" spans="2:18" ht="15.75" hidden="1" customHeight="1" x14ac:dyDescent="0.25">
      <c r="B4" s="3"/>
      <c r="R4" s="2"/>
    </row>
    <row r="5" spans="2:18" ht="15.75" hidden="1" customHeight="1" x14ac:dyDescent="0.25">
      <c r="B5" s="3"/>
      <c r="R5" s="2"/>
    </row>
    <row r="6" spans="2:18" ht="15.75" customHeight="1" x14ac:dyDescent="0.25">
      <c r="B6" s="3"/>
      <c r="R6" s="2" t="s">
        <v>63</v>
      </c>
    </row>
    <row r="7" spans="2:18" ht="15.75" customHeight="1" thickBot="1" x14ac:dyDescent="0.3">
      <c r="B7" s="2452" t="s">
        <v>64</v>
      </c>
      <c r="R7" s="2"/>
    </row>
    <row r="8" spans="2:18" ht="23.25" customHeight="1" x14ac:dyDescent="0.25">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3.4" thickBot="1" x14ac:dyDescent="0.3">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5">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5">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5">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5">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5">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5">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5">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5">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5">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5">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5">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5">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5">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5">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5">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5">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5">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5">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5">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5">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5">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5">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5">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5">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5">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5">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5">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5">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5">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5">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5">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5">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5">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5">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5">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5">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5">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5">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5">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5">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5">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5">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5">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5">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5">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5">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3">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5">
      <c r="B58" s="1597"/>
      <c r="C58" s="1597"/>
      <c r="D58" s="664"/>
      <c r="E58" s="664"/>
      <c r="F58" s="664"/>
      <c r="G58" s="664"/>
      <c r="H58" s="664"/>
      <c r="I58" s="664"/>
      <c r="J58" s="664"/>
      <c r="K58" s="664"/>
      <c r="L58" s="664"/>
      <c r="M58" s="664"/>
      <c r="N58" s="664"/>
      <c r="O58" s="664"/>
      <c r="P58" s="664"/>
      <c r="Q58" s="664"/>
      <c r="R58" s="664"/>
    </row>
    <row r="59" spans="2:18" ht="13.8" x14ac:dyDescent="0.25">
      <c r="B59" s="1606"/>
      <c r="C59" s="665"/>
      <c r="D59" s="665"/>
      <c r="E59" s="664"/>
      <c r="F59" s="664"/>
      <c r="G59" s="666"/>
      <c r="H59" s="666"/>
      <c r="I59" s="666"/>
      <c r="J59" s="664"/>
      <c r="K59" s="667"/>
      <c r="L59" s="664"/>
      <c r="M59" s="664"/>
      <c r="N59" s="664"/>
      <c r="O59" s="664"/>
      <c r="P59" s="664"/>
      <c r="Q59" s="664"/>
      <c r="R59" s="664"/>
    </row>
    <row r="60" spans="2:18" ht="13.8" x14ac:dyDescent="0.25">
      <c r="B60" s="1606"/>
      <c r="C60" s="666"/>
      <c r="D60" s="666"/>
      <c r="E60" s="664"/>
      <c r="F60" s="664"/>
      <c r="G60" s="666"/>
      <c r="H60" s="665"/>
      <c r="I60" s="665"/>
      <c r="J60" s="664"/>
      <c r="K60" s="664"/>
      <c r="L60" s="664"/>
      <c r="M60" s="664"/>
      <c r="N60" s="664"/>
      <c r="O60" s="664"/>
      <c r="P60" s="664"/>
      <c r="Q60" s="664"/>
      <c r="R60" s="664"/>
    </row>
    <row r="61" spans="2:18" ht="13.8" x14ac:dyDescent="0.25">
      <c r="B61" s="1606"/>
      <c r="C61" s="665"/>
      <c r="D61" s="665"/>
      <c r="E61" s="664"/>
      <c r="F61" s="664"/>
      <c r="G61" s="666"/>
      <c r="H61" s="664"/>
      <c r="I61" s="665"/>
      <c r="J61" s="664"/>
      <c r="K61" s="664"/>
      <c r="L61" s="664"/>
      <c r="M61" s="664"/>
      <c r="N61" s="664"/>
      <c r="O61" s="664"/>
      <c r="P61" s="664"/>
      <c r="Q61" s="664"/>
      <c r="R61" s="664"/>
    </row>
    <row r="62" spans="2:18" ht="38.25" customHeight="1" x14ac:dyDescent="0.25">
      <c r="B62" s="664"/>
      <c r="C62" s="664"/>
      <c r="D62" s="664"/>
      <c r="E62" s="664"/>
      <c r="F62" s="664"/>
      <c r="G62" s="664"/>
      <c r="H62" s="664"/>
      <c r="I62" s="664"/>
      <c r="J62" s="664"/>
      <c r="K62" s="664"/>
      <c r="L62" s="664"/>
      <c r="M62" s="664"/>
      <c r="N62" s="664"/>
      <c r="O62" s="664"/>
      <c r="P62" s="664"/>
      <c r="Q62" s="664"/>
      <c r="R62" s="664"/>
    </row>
    <row r="63" spans="2:18" ht="13.2" x14ac:dyDescent="0.25">
      <c r="B63" s="159"/>
      <c r="C63" s="159"/>
      <c r="D63" s="159"/>
      <c r="E63" s="159"/>
      <c r="F63" s="159"/>
      <c r="G63" s="159"/>
      <c r="H63" s="159"/>
      <c r="I63" s="159"/>
      <c r="J63" s="159"/>
      <c r="K63" s="159"/>
      <c r="L63" s="159"/>
      <c r="M63" s="159"/>
      <c r="N63" s="159"/>
      <c r="O63" s="159"/>
      <c r="P63" s="159"/>
      <c r="Q63" s="159"/>
      <c r="R63" s="159"/>
    </row>
    <row r="64" spans="2:18" ht="13.2" x14ac:dyDescent="0.25">
      <c r="B64" s="159"/>
      <c r="C64" s="159"/>
      <c r="D64" s="159"/>
      <c r="E64" s="159"/>
      <c r="F64" s="159"/>
      <c r="G64" s="159"/>
      <c r="H64" s="159"/>
      <c r="I64" s="159"/>
      <c r="J64" s="159"/>
      <c r="K64" s="159"/>
      <c r="L64" s="159"/>
      <c r="M64" s="159"/>
      <c r="N64" s="159"/>
      <c r="O64" s="159"/>
      <c r="P64" s="159"/>
      <c r="Q64" s="159"/>
      <c r="R64" s="159"/>
    </row>
    <row r="65" spans="2:18" ht="15" customHeight="1" x14ac:dyDescent="0.25">
      <c r="B65" s="1598"/>
      <c r="C65" s="1598"/>
      <c r="D65" s="1598"/>
      <c r="E65" s="664"/>
      <c r="F65" s="664"/>
      <c r="G65" s="664"/>
      <c r="H65" s="664"/>
      <c r="I65" s="664"/>
      <c r="J65" s="664"/>
      <c r="K65" s="664"/>
      <c r="L65" s="664"/>
      <c r="M65" s="664"/>
      <c r="N65" s="664"/>
      <c r="O65" s="664"/>
      <c r="P65" s="664"/>
      <c r="Q65" s="664"/>
      <c r="R65" s="664"/>
    </row>
    <row r="66" spans="2:18" ht="15" customHeight="1" x14ac:dyDescent="0.25">
      <c r="B66" s="1598"/>
      <c r="C66" s="1598"/>
      <c r="D66" s="1598"/>
      <c r="E66" s="664"/>
      <c r="F66" s="664"/>
      <c r="G66" s="664"/>
      <c r="H66" s="664"/>
      <c r="I66" s="664"/>
      <c r="J66" s="664"/>
      <c r="K66" s="664"/>
      <c r="L66" s="664"/>
      <c r="M66" s="664"/>
      <c r="N66" s="664"/>
      <c r="O66" s="664"/>
      <c r="P66" s="664"/>
      <c r="Q66" s="664"/>
      <c r="R66" s="664"/>
    </row>
    <row r="67" spans="2:18" ht="15" customHeight="1" x14ac:dyDescent="0.25">
      <c r="B67" s="1607"/>
      <c r="C67" s="665"/>
      <c r="D67" s="665"/>
      <c r="E67" s="1608"/>
      <c r="F67" s="664"/>
      <c r="G67" s="665"/>
      <c r="H67" s="664"/>
      <c r="I67" s="664"/>
      <c r="J67" s="664"/>
      <c r="K67" s="664"/>
      <c r="L67" s="664"/>
      <c r="M67" s="664"/>
      <c r="N67" s="664"/>
      <c r="O67" s="664"/>
      <c r="P67" s="664"/>
      <c r="Q67" s="664"/>
      <c r="R67" s="664"/>
    </row>
    <row r="68" spans="2:18" ht="15" customHeight="1" x14ac:dyDescent="0.25">
      <c r="B68" s="1607"/>
      <c r="C68" s="665"/>
      <c r="D68" s="665"/>
      <c r="E68" s="664"/>
      <c r="F68" s="664"/>
      <c r="G68" s="667"/>
      <c r="H68" s="664"/>
      <c r="I68" s="664"/>
      <c r="J68" s="664"/>
      <c r="K68" s="664"/>
      <c r="L68" s="664"/>
      <c r="M68" s="664"/>
      <c r="N68" s="664"/>
      <c r="O68" s="664"/>
      <c r="P68" s="664"/>
      <c r="Q68" s="664"/>
      <c r="R68" s="664"/>
    </row>
    <row r="69" spans="2:18" ht="13.2" x14ac:dyDescent="0.25"/>
    <row r="70" spans="2:18" ht="14.4" thickBot="1" x14ac:dyDescent="0.3">
      <c r="B70" s="1609"/>
      <c r="C70" s="1609"/>
      <c r="D70" s="1609"/>
      <c r="E70" s="1609"/>
      <c r="F70" s="1609"/>
      <c r="G70" s="1609"/>
      <c r="H70" s="1609"/>
      <c r="I70" s="1609"/>
      <c r="J70" s="1609"/>
      <c r="K70" s="1609"/>
      <c r="L70" s="1609"/>
      <c r="M70" s="1609"/>
      <c r="N70" s="1609"/>
      <c r="O70" s="1609"/>
      <c r="P70" s="1609"/>
      <c r="Q70" s="1609"/>
      <c r="R70" s="1609"/>
    </row>
    <row r="71" spans="2:18" ht="12" customHeight="1" x14ac:dyDescent="0.25">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5">
      <c r="B72" s="2247"/>
      <c r="C72" s="2243"/>
      <c r="D72" s="2243"/>
      <c r="E72" s="2243"/>
      <c r="F72" s="2243"/>
      <c r="G72" s="2243"/>
      <c r="H72" s="2243"/>
      <c r="I72" s="2243"/>
      <c r="J72" s="2243"/>
      <c r="K72" s="2243"/>
      <c r="L72" s="2243"/>
      <c r="M72" s="2248"/>
      <c r="N72" s="1609"/>
      <c r="O72" s="1609"/>
      <c r="P72" s="1609"/>
      <c r="Q72" s="1609"/>
      <c r="R72" s="1609"/>
    </row>
    <row r="73" spans="2:18" ht="12" customHeight="1" x14ac:dyDescent="0.25">
      <c r="B73" s="2247"/>
      <c r="C73" s="2243"/>
      <c r="D73" s="2243"/>
      <c r="E73" s="2243"/>
      <c r="F73" s="2243"/>
      <c r="G73" s="2243"/>
      <c r="H73" s="2243"/>
      <c r="I73" s="2243"/>
      <c r="J73" s="2243"/>
      <c r="K73" s="2243"/>
      <c r="L73" s="2243"/>
      <c r="M73" s="2248"/>
      <c r="N73" s="1609"/>
      <c r="O73" s="1609"/>
      <c r="P73" s="1609"/>
      <c r="Q73" s="1609"/>
      <c r="R73" s="1609"/>
    </row>
    <row r="74" spans="2:18" ht="12" customHeight="1" x14ac:dyDescent="0.25">
      <c r="B74" s="2247"/>
      <c r="C74" s="2243"/>
      <c r="D74" s="2243"/>
      <c r="E74" s="2243"/>
      <c r="F74" s="2243"/>
      <c r="G74" s="2243"/>
      <c r="H74" s="2243"/>
      <c r="I74" s="2243"/>
      <c r="J74" s="2243"/>
      <c r="K74" s="2243"/>
      <c r="L74" s="2243"/>
      <c r="M74" s="2248"/>
      <c r="N74" s="1609"/>
      <c r="O74" s="1609"/>
      <c r="P74" s="1609"/>
      <c r="Q74" s="1609"/>
      <c r="R74" s="1609"/>
    </row>
    <row r="75" spans="2:18" ht="12" customHeight="1" x14ac:dyDescent="0.25">
      <c r="B75" s="2247"/>
      <c r="C75" s="2243"/>
      <c r="D75" s="2243"/>
      <c r="E75" s="2243"/>
      <c r="F75" s="2243"/>
      <c r="G75" s="2243"/>
      <c r="H75" s="2243"/>
      <c r="I75" s="2243"/>
      <c r="J75" s="2243"/>
      <c r="K75" s="2243"/>
      <c r="L75" s="2243"/>
      <c r="M75" s="2248"/>
      <c r="N75" s="1609"/>
      <c r="O75" s="1609"/>
      <c r="P75" s="1609"/>
      <c r="Q75" s="1609"/>
      <c r="R75" s="1609"/>
    </row>
    <row r="76" spans="2:18" ht="12" customHeight="1" x14ac:dyDescent="0.25">
      <c r="B76" s="2252"/>
      <c r="C76" s="2253"/>
      <c r="D76" s="2253"/>
      <c r="E76" s="2253"/>
      <c r="F76" s="2253"/>
      <c r="G76" s="2253"/>
      <c r="H76" s="2253"/>
      <c r="I76" s="2253"/>
      <c r="J76" s="2253"/>
      <c r="K76" s="2253"/>
      <c r="L76" s="2253"/>
      <c r="M76" s="2254"/>
      <c r="N76" s="1609"/>
      <c r="O76" s="1609"/>
      <c r="P76" s="1609"/>
      <c r="Q76" s="1609"/>
      <c r="R76" s="1609"/>
    </row>
    <row r="77" spans="2:18" ht="12" customHeight="1" x14ac:dyDescent="0.25">
      <c r="B77" s="2249"/>
      <c r="M77" s="2250"/>
      <c r="N77" s="1609"/>
      <c r="O77" s="1609"/>
      <c r="P77" s="1609"/>
      <c r="Q77" s="1609"/>
      <c r="R77" s="1609"/>
    </row>
    <row r="78" spans="2:18" ht="12" customHeight="1" thickBot="1" x14ac:dyDescent="0.3">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3.2" x14ac:dyDescent="0.25"/>
  <cols>
    <col min="1" max="1" width="1.88671875" customWidth="1"/>
    <col min="2" max="2" width="48.88671875" customWidth="1"/>
    <col min="3" max="9" width="10.5546875" customWidth="1"/>
    <col min="10" max="10" width="10.88671875" customWidth="1"/>
  </cols>
  <sheetData>
    <row r="1" spans="2:9" ht="18" x14ac:dyDescent="0.25">
      <c r="B1" s="213" t="s">
        <v>1545</v>
      </c>
      <c r="C1" s="213"/>
      <c r="D1" s="213"/>
      <c r="E1" s="213"/>
      <c r="F1" s="213"/>
      <c r="G1" s="213"/>
      <c r="I1" s="14" t="s">
        <v>2521</v>
      </c>
    </row>
    <row r="2" spans="2:9" ht="15.6" x14ac:dyDescent="0.25">
      <c r="B2" s="3" t="s">
        <v>62</v>
      </c>
      <c r="I2" s="14" t="s">
        <v>2522</v>
      </c>
    </row>
    <row r="3" spans="2:9" x14ac:dyDescent="0.25">
      <c r="I3" s="14" t="s">
        <v>2144</v>
      </c>
    </row>
    <row r="4" spans="2:9" hidden="1" x14ac:dyDescent="0.25">
      <c r="I4" s="2"/>
    </row>
    <row r="5" spans="2:9" hidden="1" x14ac:dyDescent="0.25">
      <c r="I5" s="2"/>
    </row>
    <row r="6" spans="2:9" ht="13.8" thickBot="1" x14ac:dyDescent="0.3">
      <c r="B6" s="2446" t="s">
        <v>64</v>
      </c>
      <c r="I6" s="2"/>
    </row>
    <row r="7" spans="2:9" ht="18" customHeight="1" thickBot="1" x14ac:dyDescent="0.3">
      <c r="B7" s="2545"/>
      <c r="C7" s="683" t="s">
        <v>1547</v>
      </c>
      <c r="D7" s="2544"/>
      <c r="E7" s="2544"/>
      <c r="F7" s="2544"/>
      <c r="G7" s="684"/>
      <c r="H7" s="683" t="s">
        <v>1548</v>
      </c>
      <c r="I7" s="684"/>
    </row>
    <row r="8" spans="2:9" ht="18" customHeight="1" x14ac:dyDescent="0.25">
      <c r="B8" s="2546" t="s">
        <v>1546</v>
      </c>
      <c r="C8" s="2541" t="s">
        <v>424</v>
      </c>
      <c r="D8" s="2542" t="s">
        <v>70</v>
      </c>
      <c r="E8" s="2543" t="s">
        <v>71</v>
      </c>
      <c r="F8" s="2543" t="s">
        <v>1549</v>
      </c>
      <c r="G8" s="2543" t="s">
        <v>1550</v>
      </c>
      <c r="H8" s="685" t="s">
        <v>1995</v>
      </c>
      <c r="I8" s="686" t="s">
        <v>1994</v>
      </c>
    </row>
    <row r="9" spans="2:9" ht="18" customHeight="1" thickBot="1" x14ac:dyDescent="0.3">
      <c r="B9" s="2547"/>
      <c r="C9" s="687" t="s">
        <v>73</v>
      </c>
      <c r="D9" s="687"/>
      <c r="E9" s="687"/>
      <c r="F9" s="687"/>
      <c r="G9" s="687"/>
      <c r="H9" s="688" t="s">
        <v>73</v>
      </c>
      <c r="I9" s="689"/>
    </row>
    <row r="10" spans="2:9" ht="18" customHeight="1" thickTop="1" thickBot="1" x14ac:dyDescent="0.3">
      <c r="B10" s="690" t="s">
        <v>1514</v>
      </c>
      <c r="C10" s="4391">
        <f>SUM(C11:C16)</f>
        <v>5732.0666826775268</v>
      </c>
      <c r="D10" s="4392">
        <f t="shared" ref="D10:F10" si="0">SUM(D11:D16)</f>
        <v>28606.767821428952</v>
      </c>
      <c r="E10" s="4392">
        <f t="shared" si="0"/>
        <v>2634.9918871361219</v>
      </c>
      <c r="F10" s="4392">
        <f t="shared" si="0"/>
        <v>2425.7764506605372</v>
      </c>
      <c r="G10" s="4393" t="s">
        <v>2146</v>
      </c>
      <c r="H10" s="4394" t="s">
        <v>2312</v>
      </c>
      <c r="I10" s="4395" t="s">
        <v>2313</v>
      </c>
    </row>
    <row r="11" spans="2:9" ht="18" customHeight="1" x14ac:dyDescent="0.25">
      <c r="B11" s="1558" t="s">
        <v>1476</v>
      </c>
      <c r="C11" s="4396">
        <f>Table1!D10</f>
        <v>1310.3339481307389</v>
      </c>
      <c r="D11" s="3772">
        <f>Table1!G10</f>
        <v>5262.8719420722582</v>
      </c>
      <c r="E11" s="3772">
        <f>Table1!H10</f>
        <v>798.56234600212474</v>
      </c>
      <c r="F11" s="3772">
        <f>Table1!F10</f>
        <v>1555.2536257430033</v>
      </c>
      <c r="G11" s="3773" t="s">
        <v>2146</v>
      </c>
      <c r="H11" s="3774" t="s">
        <v>2154</v>
      </c>
      <c r="I11" s="3775" t="s">
        <v>2154</v>
      </c>
    </row>
    <row r="12" spans="2:9" ht="18" customHeight="1" x14ac:dyDescent="0.25">
      <c r="B12" s="2393" t="s">
        <v>1551</v>
      </c>
      <c r="C12" s="3180">
        <f>'Table2(I)'!D10</f>
        <v>3.2646478675884056</v>
      </c>
      <c r="D12" s="691">
        <f>'Table2(I)'!L10</f>
        <v>10.241960561549931</v>
      </c>
      <c r="E12" s="691">
        <f>'Table2(I)'!M10</f>
        <v>218.48962991146141</v>
      </c>
      <c r="F12" s="691">
        <f>'Table2(I)'!K10</f>
        <v>38.265821273188067</v>
      </c>
      <c r="G12" s="3147" t="s">
        <v>2146</v>
      </c>
      <c r="H12" s="3776" t="s">
        <v>2146</v>
      </c>
      <c r="I12" s="2911" t="s">
        <v>2146</v>
      </c>
    </row>
    <row r="13" spans="2:9" ht="18" customHeight="1" x14ac:dyDescent="0.25">
      <c r="B13" s="2393" t="s">
        <v>1552</v>
      </c>
      <c r="C13" s="3180">
        <f>Table3!D10</f>
        <v>2862.0554635349013</v>
      </c>
      <c r="D13" s="691">
        <f>Table3!G10</f>
        <v>455.45136336696817</v>
      </c>
      <c r="E13" s="691">
        <f>Table3!H10</f>
        <v>26.567996196406483</v>
      </c>
      <c r="F13" s="691">
        <f>Table3!F10</f>
        <v>26.929788553329907</v>
      </c>
      <c r="G13" s="4397"/>
      <c r="H13" s="3776" t="s">
        <v>2154</v>
      </c>
      <c r="I13" s="2911" t="s">
        <v>2153</v>
      </c>
    </row>
    <row r="14" spans="2:9" ht="18" customHeight="1" x14ac:dyDescent="0.25">
      <c r="B14" s="2393" t="s">
        <v>1553</v>
      </c>
      <c r="C14" s="3180">
        <f>Table4!D10</f>
        <v>726.72987860600801</v>
      </c>
      <c r="D14" s="691">
        <f>Table4!G10</f>
        <v>22878.202555428175</v>
      </c>
      <c r="E14" s="3147">
        <f>Table4!H10</f>
        <v>1120.360602102716</v>
      </c>
      <c r="F14" s="3147">
        <f>Table4!F10</f>
        <v>805.327215091016</v>
      </c>
      <c r="G14" s="4397"/>
      <c r="H14" s="4398" t="s">
        <v>2154</v>
      </c>
      <c r="I14" s="2911" t="s">
        <v>2154</v>
      </c>
    </row>
    <row r="15" spans="2:9" ht="18" customHeight="1" x14ac:dyDescent="0.25">
      <c r="B15" s="2393" t="s">
        <v>1554</v>
      </c>
      <c r="C15" s="3180">
        <f>Table5!D10</f>
        <v>829.68274453829054</v>
      </c>
      <c r="D15" s="691" t="str">
        <f>Table5!G10</f>
        <v>NO</v>
      </c>
      <c r="E15" s="3147">
        <f>Table5!H10</f>
        <v>471.0113129234133</v>
      </c>
      <c r="F15" s="3147" t="str">
        <f>Table5!F10</f>
        <v>NO</v>
      </c>
      <c r="G15" s="3147" t="s">
        <v>2147</v>
      </c>
      <c r="H15" s="4398" t="s">
        <v>2154</v>
      </c>
      <c r="I15" s="2911" t="s">
        <v>2154</v>
      </c>
    </row>
    <row r="16" spans="2:9" ht="18" customHeight="1" thickBot="1" x14ac:dyDescent="0.3">
      <c r="B16" s="2394" t="s">
        <v>2073</v>
      </c>
      <c r="C16" s="4399" t="s">
        <v>2146</v>
      </c>
      <c r="D16" s="1559" t="s">
        <v>2146</v>
      </c>
      <c r="E16" s="1560" t="s">
        <v>2146</v>
      </c>
      <c r="F16" s="1560" t="s">
        <v>2146</v>
      </c>
      <c r="G16" s="1560" t="s">
        <v>2146</v>
      </c>
      <c r="H16" s="4400" t="s">
        <v>2146</v>
      </c>
      <c r="I16" s="1561" t="s">
        <v>2146</v>
      </c>
    </row>
    <row r="17" spans="2:9" x14ac:dyDescent="0.25">
      <c r="B17" s="965"/>
      <c r="C17" s="740"/>
      <c r="D17" s="740"/>
      <c r="E17" s="740"/>
      <c r="F17" s="740"/>
      <c r="G17" s="740"/>
      <c r="H17" s="740"/>
      <c r="I17" s="740"/>
    </row>
    <row r="18" spans="2:9" x14ac:dyDescent="0.25">
      <c r="B18" s="966"/>
      <c r="C18" s="967"/>
      <c r="D18" s="967"/>
      <c r="E18" s="967"/>
      <c r="F18" s="967"/>
      <c r="G18" s="967"/>
      <c r="H18" s="967"/>
      <c r="I18" s="740"/>
    </row>
    <row r="19" spans="2:9" x14ac:dyDescent="0.25">
      <c r="B19" s="966"/>
      <c r="C19" s="740"/>
      <c r="D19" s="740"/>
      <c r="E19" s="740"/>
      <c r="F19" s="740"/>
      <c r="G19" s="740"/>
      <c r="H19" s="740"/>
      <c r="I19" s="740"/>
    </row>
    <row r="25" spans="2:9" ht="13.8" thickBot="1" x14ac:dyDescent="0.3"/>
    <row r="26" spans="2:9" x14ac:dyDescent="0.25">
      <c r="B26" s="739" t="s">
        <v>1384</v>
      </c>
      <c r="C26" s="974"/>
      <c r="D26" s="974"/>
      <c r="E26" s="974"/>
      <c r="F26" s="974"/>
      <c r="G26" s="974"/>
      <c r="H26" s="974"/>
      <c r="I26" s="975"/>
    </row>
    <row r="27" spans="2:9" x14ac:dyDescent="0.25">
      <c r="B27" s="978"/>
      <c r="C27" s="979"/>
      <c r="D27" s="979"/>
      <c r="E27" s="979"/>
      <c r="F27" s="979"/>
      <c r="G27" s="979"/>
      <c r="H27" s="979"/>
      <c r="I27" s="980"/>
    </row>
    <row r="28" spans="2:9" x14ac:dyDescent="0.25">
      <c r="B28" s="978"/>
      <c r="C28" s="979"/>
      <c r="D28" s="979"/>
      <c r="E28" s="979"/>
      <c r="F28" s="979"/>
      <c r="G28" s="979"/>
      <c r="H28" s="979"/>
      <c r="I28" s="980"/>
    </row>
    <row r="29" spans="2:9" ht="13.8" thickBot="1" x14ac:dyDescent="0.3">
      <c r="B29" s="741"/>
      <c r="C29" s="976"/>
      <c r="D29" s="976"/>
      <c r="E29" s="976"/>
      <c r="F29" s="976"/>
      <c r="G29" s="976"/>
      <c r="H29" s="976"/>
      <c r="I29" s="977"/>
    </row>
    <row r="30" spans="2:9" ht="13.8" thickBot="1" x14ac:dyDescent="0.3">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3.2" x14ac:dyDescent="0.25"/>
  <cols>
    <col min="1" max="1" width="1.88671875" customWidth="1"/>
    <col min="2" max="2" width="77.88671875" bestFit="1" customWidth="1"/>
    <col min="3" max="3" width="24.5546875" bestFit="1" customWidth="1"/>
    <col min="4" max="4" width="15.88671875" customWidth="1"/>
    <col min="5" max="5" width="15" customWidth="1"/>
    <col min="6" max="7" width="15.109375" customWidth="1"/>
    <col min="8" max="8" width="10.88671875" customWidth="1"/>
    <col min="9" max="9" width="10.109375" customWidth="1"/>
  </cols>
  <sheetData>
    <row r="1" spans="2:8" ht="15.6" x14ac:dyDescent="0.25">
      <c r="B1" s="213" t="s">
        <v>1922</v>
      </c>
      <c r="C1" s="213"/>
      <c r="G1" s="14" t="s">
        <v>2521</v>
      </c>
    </row>
    <row r="2" spans="2:8" ht="15.6" x14ac:dyDescent="0.25">
      <c r="B2" s="3" t="s">
        <v>62</v>
      </c>
      <c r="G2" s="14" t="s">
        <v>2522</v>
      </c>
    </row>
    <row r="3" spans="2:8" x14ac:dyDescent="0.25">
      <c r="B3" s="2446" t="s">
        <v>64</v>
      </c>
      <c r="G3" s="14" t="s">
        <v>2144</v>
      </c>
    </row>
    <row r="4" spans="2:8" ht="13.8" thickBot="1" x14ac:dyDescent="0.3">
      <c r="B4" s="2446"/>
      <c r="G4" s="2"/>
    </row>
    <row r="5" spans="2:8" hidden="1" x14ac:dyDescent="0.25">
      <c r="B5" s="2446"/>
      <c r="G5" s="2"/>
    </row>
    <row r="6" spans="2:8" ht="17.399999999999999" thickBot="1" x14ac:dyDescent="0.3">
      <c r="B6" s="2462"/>
      <c r="C6" s="549"/>
      <c r="D6" s="2516"/>
      <c r="E6" s="2517"/>
      <c r="F6" s="2518" t="s">
        <v>1996</v>
      </c>
      <c r="G6" s="3767">
        <v>0.95</v>
      </c>
    </row>
    <row r="7" spans="2:8" ht="13.8" thickBot="1" x14ac:dyDescent="0.3">
      <c r="B7" s="549"/>
      <c r="C7" s="549"/>
      <c r="H7" s="619"/>
    </row>
    <row r="8" spans="2:8" ht="27.6" x14ac:dyDescent="0.25">
      <c r="B8" s="1599" t="s">
        <v>1997</v>
      </c>
      <c r="C8" s="1600" t="s">
        <v>1555</v>
      </c>
      <c r="D8" s="1601" t="s">
        <v>1556</v>
      </c>
      <c r="E8" s="1602"/>
      <c r="F8" s="2490" t="s">
        <v>2070</v>
      </c>
      <c r="G8" s="2492" t="s">
        <v>2071</v>
      </c>
    </row>
    <row r="9" spans="2:8" ht="18" customHeight="1" thickBot="1" x14ac:dyDescent="0.3">
      <c r="B9" s="1603"/>
      <c r="C9" s="1604"/>
      <c r="D9" s="1605" t="s">
        <v>1557</v>
      </c>
      <c r="E9" s="1605" t="s">
        <v>1558</v>
      </c>
      <c r="F9" s="2491" t="s">
        <v>1831</v>
      </c>
      <c r="G9" s="2493" t="s">
        <v>1831</v>
      </c>
      <c r="H9" s="19"/>
    </row>
    <row r="10" spans="2:8" ht="18" customHeight="1" thickTop="1" x14ac:dyDescent="0.3">
      <c r="B10" s="1162" t="s">
        <v>1559</v>
      </c>
      <c r="C10" s="1443" t="s">
        <v>1560</v>
      </c>
      <c r="D10" s="3768" t="s">
        <v>2310</v>
      </c>
      <c r="E10" s="3768" t="s">
        <v>2310</v>
      </c>
      <c r="F10" s="3768" t="s">
        <v>2310</v>
      </c>
      <c r="G10" s="3769" t="s">
        <v>2310</v>
      </c>
    </row>
    <row r="11" spans="2:8" ht="18" customHeight="1" x14ac:dyDescent="0.3">
      <c r="B11" s="1162" t="s">
        <v>1559</v>
      </c>
      <c r="C11" s="1166" t="s">
        <v>1561</v>
      </c>
      <c r="D11" s="3768"/>
      <c r="E11" s="3768"/>
      <c r="F11" s="3768"/>
      <c r="G11" s="3769"/>
    </row>
    <row r="12" spans="2:8" ht="18" customHeight="1" x14ac:dyDescent="0.3">
      <c r="B12" s="1162" t="s">
        <v>1559</v>
      </c>
      <c r="C12" s="1166" t="s">
        <v>1562</v>
      </c>
      <c r="D12" s="3768"/>
      <c r="E12" s="3768"/>
      <c r="F12" s="3768"/>
      <c r="G12" s="3769"/>
    </row>
    <row r="13" spans="2:8" ht="18" customHeight="1" x14ac:dyDescent="0.3">
      <c r="B13" s="1162" t="s">
        <v>1563</v>
      </c>
      <c r="C13" s="1443" t="s">
        <v>1560</v>
      </c>
      <c r="D13" s="3768" t="s">
        <v>2310</v>
      </c>
      <c r="E13" s="3768" t="s">
        <v>2310</v>
      </c>
      <c r="F13" s="3768" t="s">
        <v>2310</v>
      </c>
      <c r="G13" s="3769" t="s">
        <v>2310</v>
      </c>
    </row>
    <row r="14" spans="2:8" ht="18" customHeight="1" x14ac:dyDescent="0.3">
      <c r="B14" s="1162" t="s">
        <v>1563</v>
      </c>
      <c r="C14" s="1166" t="s">
        <v>1561</v>
      </c>
      <c r="D14" s="3768"/>
      <c r="E14" s="3768"/>
      <c r="F14" s="3768"/>
      <c r="G14" s="3769"/>
    </row>
    <row r="15" spans="2:8" ht="18" customHeight="1" x14ac:dyDescent="0.3">
      <c r="B15" s="1162" t="s">
        <v>1563</v>
      </c>
      <c r="C15" s="1166" t="s">
        <v>1562</v>
      </c>
      <c r="D15" s="3768"/>
      <c r="E15" s="3768"/>
      <c r="F15" s="3768"/>
      <c r="G15" s="3769"/>
    </row>
    <row r="16" spans="2:8" ht="18" customHeight="1" x14ac:dyDescent="0.3">
      <c r="B16" s="1162" t="s">
        <v>1564</v>
      </c>
      <c r="C16" s="1443" t="s">
        <v>1560</v>
      </c>
      <c r="D16" s="3768" t="s">
        <v>2310</v>
      </c>
      <c r="E16" s="3768" t="s">
        <v>2310</v>
      </c>
      <c r="F16" s="3768" t="s">
        <v>2310</v>
      </c>
      <c r="G16" s="3769" t="s">
        <v>2310</v>
      </c>
    </row>
    <row r="17" spans="2:7" ht="18" customHeight="1" x14ac:dyDescent="0.3">
      <c r="B17" s="1162" t="s">
        <v>1564</v>
      </c>
      <c r="C17" s="1166" t="s">
        <v>1561</v>
      </c>
      <c r="D17" s="3768"/>
      <c r="E17" s="3768"/>
      <c r="F17" s="3768"/>
      <c r="G17" s="3769"/>
    </row>
    <row r="18" spans="2:7" ht="18" customHeight="1" x14ac:dyDescent="0.3">
      <c r="B18" s="1162" t="s">
        <v>1564</v>
      </c>
      <c r="C18" s="1166" t="s">
        <v>1562</v>
      </c>
      <c r="D18" s="3768"/>
      <c r="E18" s="3768"/>
      <c r="F18" s="3768"/>
      <c r="G18" s="3769"/>
    </row>
    <row r="19" spans="2:7" ht="18" customHeight="1" x14ac:dyDescent="0.3">
      <c r="B19" s="1162" t="s">
        <v>1565</v>
      </c>
      <c r="C19" s="1443" t="s">
        <v>1560</v>
      </c>
      <c r="D19" s="3768"/>
      <c r="E19" s="3768"/>
      <c r="F19" s="3768"/>
      <c r="G19" s="3769"/>
    </row>
    <row r="20" spans="2:7" ht="18" customHeight="1" x14ac:dyDescent="0.3">
      <c r="B20" s="1162" t="s">
        <v>1565</v>
      </c>
      <c r="C20" s="1166" t="s">
        <v>1561</v>
      </c>
      <c r="D20" s="3768"/>
      <c r="E20" s="3768"/>
      <c r="F20" s="3768"/>
      <c r="G20" s="3769"/>
    </row>
    <row r="21" spans="2:7" ht="18" customHeight="1" x14ac:dyDescent="0.3">
      <c r="B21" s="1162" t="s">
        <v>1565</v>
      </c>
      <c r="C21" s="1166" t="s">
        <v>1562</v>
      </c>
      <c r="D21" s="3768"/>
      <c r="E21" s="3768"/>
      <c r="F21" s="3768"/>
      <c r="G21" s="3769"/>
    </row>
    <row r="22" spans="2:7" ht="18" customHeight="1" x14ac:dyDescent="0.3">
      <c r="B22" s="1162" t="s">
        <v>1566</v>
      </c>
      <c r="C22" s="1443" t="s">
        <v>1560</v>
      </c>
      <c r="D22" s="3768"/>
      <c r="E22" s="3768"/>
      <c r="F22" s="3768"/>
      <c r="G22" s="3769"/>
    </row>
    <row r="23" spans="2:7" ht="18" customHeight="1" x14ac:dyDescent="0.3">
      <c r="B23" s="1162" t="s">
        <v>1566</v>
      </c>
      <c r="C23" s="1166" t="s">
        <v>1561</v>
      </c>
      <c r="D23" s="3768"/>
      <c r="E23" s="3768"/>
      <c r="F23" s="3768"/>
      <c r="G23" s="3769"/>
    </row>
    <row r="24" spans="2:7" ht="18" customHeight="1" x14ac:dyDescent="0.3">
      <c r="B24" s="1162" t="s">
        <v>1566</v>
      </c>
      <c r="C24" s="1166" t="s">
        <v>1562</v>
      </c>
      <c r="D24" s="3768"/>
      <c r="E24" s="3768"/>
      <c r="F24" s="3768"/>
      <c r="G24" s="3769"/>
    </row>
    <row r="25" spans="2:7" ht="18" customHeight="1" x14ac:dyDescent="0.3">
      <c r="B25" s="1162" t="s">
        <v>1567</v>
      </c>
      <c r="C25" s="1166" t="s">
        <v>1561</v>
      </c>
      <c r="D25" s="3768"/>
      <c r="E25" s="3768"/>
      <c r="F25" s="3768"/>
      <c r="G25" s="3769"/>
    </row>
    <row r="26" spans="2:7" ht="18" customHeight="1" x14ac:dyDescent="0.3">
      <c r="B26" s="1162" t="s">
        <v>1567</v>
      </c>
      <c r="C26" s="1166" t="s">
        <v>1562</v>
      </c>
      <c r="D26" s="3768"/>
      <c r="E26" s="3768"/>
      <c r="F26" s="3768"/>
      <c r="G26" s="3769"/>
    </row>
    <row r="27" spans="2:7" ht="18" customHeight="1" x14ac:dyDescent="0.3">
      <c r="B27" s="1163" t="s">
        <v>1568</v>
      </c>
      <c r="C27" s="1443" t="s">
        <v>1560</v>
      </c>
      <c r="D27" s="3768" t="s">
        <v>2310</v>
      </c>
      <c r="E27" s="3768" t="s">
        <v>2310</v>
      </c>
      <c r="F27" s="3768" t="s">
        <v>2310</v>
      </c>
      <c r="G27" s="3769" t="s">
        <v>2310</v>
      </c>
    </row>
    <row r="28" spans="2:7" ht="18" customHeight="1" x14ac:dyDescent="0.3">
      <c r="B28" s="1163" t="s">
        <v>1568</v>
      </c>
      <c r="C28" s="1166" t="s">
        <v>1561</v>
      </c>
      <c r="D28" s="3768"/>
      <c r="E28" s="3768"/>
      <c r="F28" s="3768"/>
      <c r="G28" s="3769"/>
    </row>
    <row r="29" spans="2:7" ht="18" customHeight="1" x14ac:dyDescent="0.3">
      <c r="B29" s="1163" t="s">
        <v>1568</v>
      </c>
      <c r="C29" s="1166" t="s">
        <v>1562</v>
      </c>
      <c r="D29" s="3768"/>
      <c r="E29" s="3768"/>
      <c r="F29" s="3768"/>
      <c r="G29" s="3769"/>
    </row>
    <row r="30" spans="2:7" ht="18" customHeight="1" x14ac:dyDescent="0.3">
      <c r="B30" s="1163" t="s">
        <v>1569</v>
      </c>
      <c r="C30" s="1443" t="s">
        <v>1560</v>
      </c>
      <c r="D30" s="3768" t="s">
        <v>2310</v>
      </c>
      <c r="E30" s="3768" t="s">
        <v>2310</v>
      </c>
      <c r="F30" s="3768" t="s">
        <v>2310</v>
      </c>
      <c r="G30" s="3769" t="s">
        <v>2310</v>
      </c>
    </row>
    <row r="31" spans="2:7" ht="18" customHeight="1" x14ac:dyDescent="0.3">
      <c r="B31" s="1163" t="s">
        <v>1569</v>
      </c>
      <c r="C31" s="1166" t="s">
        <v>1561</v>
      </c>
      <c r="D31" s="3768"/>
      <c r="E31" s="3768"/>
      <c r="F31" s="3768"/>
      <c r="G31" s="3769"/>
    </row>
    <row r="32" spans="2:7" ht="18" customHeight="1" x14ac:dyDescent="0.3">
      <c r="B32" s="1163" t="s">
        <v>1569</v>
      </c>
      <c r="C32" s="1166" t="s">
        <v>1562</v>
      </c>
      <c r="D32" s="3768"/>
      <c r="E32" s="3768"/>
      <c r="F32" s="3768"/>
      <c r="G32" s="3769"/>
    </row>
    <row r="33" spans="2:7" ht="18" customHeight="1" x14ac:dyDescent="0.3">
      <c r="B33" s="1163" t="s">
        <v>1570</v>
      </c>
      <c r="C33" s="1443" t="s">
        <v>1560</v>
      </c>
      <c r="D33" s="3768" t="s">
        <v>2310</v>
      </c>
      <c r="E33" s="3768" t="s">
        <v>2310</v>
      </c>
      <c r="F33" s="3768" t="s">
        <v>2310</v>
      </c>
      <c r="G33" s="3769" t="s">
        <v>2310</v>
      </c>
    </row>
    <row r="34" spans="2:7" ht="18" customHeight="1" x14ac:dyDescent="0.3">
      <c r="B34" s="1163" t="s">
        <v>1570</v>
      </c>
      <c r="C34" s="1166" t="s">
        <v>1561</v>
      </c>
      <c r="D34" s="3768"/>
      <c r="E34" s="3768"/>
      <c r="F34" s="3768"/>
      <c r="G34" s="3769"/>
    </row>
    <row r="35" spans="2:7" ht="18" customHeight="1" x14ac:dyDescent="0.3">
      <c r="B35" s="1163" t="s">
        <v>1570</v>
      </c>
      <c r="C35" s="1166" t="s">
        <v>1562</v>
      </c>
      <c r="D35" s="3768"/>
      <c r="E35" s="3768"/>
      <c r="F35" s="3768"/>
      <c r="G35" s="3769"/>
    </row>
    <row r="36" spans="2:7" ht="18" customHeight="1" x14ac:dyDescent="0.3">
      <c r="B36" s="1163" t="s">
        <v>1571</v>
      </c>
      <c r="C36" s="1443" t="s">
        <v>1560</v>
      </c>
      <c r="D36" s="3768"/>
      <c r="E36" s="3768"/>
      <c r="F36" s="3768"/>
      <c r="G36" s="3769"/>
    </row>
    <row r="37" spans="2:7" ht="18" customHeight="1" x14ac:dyDescent="0.3">
      <c r="B37" s="1163" t="s">
        <v>1571</v>
      </c>
      <c r="C37" s="1166" t="s">
        <v>1561</v>
      </c>
      <c r="D37" s="3768"/>
      <c r="E37" s="3768"/>
      <c r="F37" s="3768"/>
      <c r="G37" s="3769"/>
    </row>
    <row r="38" spans="2:7" ht="18" customHeight="1" x14ac:dyDescent="0.3">
      <c r="B38" s="1163" t="s">
        <v>1571</v>
      </c>
      <c r="C38" s="1166" t="s">
        <v>1562</v>
      </c>
      <c r="D38" s="3768"/>
      <c r="E38" s="3768"/>
      <c r="F38" s="3768"/>
      <c r="G38" s="3769"/>
    </row>
    <row r="39" spans="2:7" ht="18" customHeight="1" x14ac:dyDescent="0.3">
      <c r="B39" s="1163" t="s">
        <v>1572</v>
      </c>
      <c r="C39" s="1443" t="s">
        <v>1560</v>
      </c>
      <c r="D39" s="3768"/>
      <c r="E39" s="3768"/>
      <c r="F39" s="3768"/>
      <c r="G39" s="3769"/>
    </row>
    <row r="40" spans="2:7" ht="18" customHeight="1" x14ac:dyDescent="0.3">
      <c r="B40" s="1163" t="s">
        <v>1572</v>
      </c>
      <c r="C40" s="1166" t="s">
        <v>1561</v>
      </c>
      <c r="D40" s="3768"/>
      <c r="E40" s="3768"/>
      <c r="F40" s="3768"/>
      <c r="G40" s="3769"/>
    </row>
    <row r="41" spans="2:7" ht="18" customHeight="1" x14ac:dyDescent="0.3">
      <c r="B41" s="1163" t="s">
        <v>1572</v>
      </c>
      <c r="C41" s="1166" t="s">
        <v>1562</v>
      </c>
      <c r="D41" s="3768"/>
      <c r="E41" s="3768"/>
      <c r="F41" s="3768"/>
      <c r="G41" s="3769"/>
    </row>
    <row r="42" spans="2:7" ht="18" customHeight="1" x14ac:dyDescent="0.3">
      <c r="B42" s="1163" t="s">
        <v>1573</v>
      </c>
      <c r="C42" s="1166" t="s">
        <v>1561</v>
      </c>
      <c r="D42" s="3768"/>
      <c r="E42" s="3768"/>
      <c r="F42" s="3768"/>
      <c r="G42" s="3769"/>
    </row>
    <row r="43" spans="2:7" ht="18" customHeight="1" x14ac:dyDescent="0.3">
      <c r="B43" s="1163" t="s">
        <v>1573</v>
      </c>
      <c r="C43" s="1166" t="s">
        <v>1562</v>
      </c>
      <c r="D43" s="3768"/>
      <c r="E43" s="3768"/>
      <c r="F43" s="3768"/>
      <c r="G43" s="3769"/>
    </row>
    <row r="44" spans="2:7" ht="18" customHeight="1" x14ac:dyDescent="0.3">
      <c r="B44" s="1162" t="s">
        <v>1574</v>
      </c>
      <c r="C44" s="1443" t="s">
        <v>1560</v>
      </c>
      <c r="D44" s="3768" t="s">
        <v>2310</v>
      </c>
      <c r="E44" s="3768" t="s">
        <v>2310</v>
      </c>
      <c r="F44" s="3768" t="s">
        <v>2310</v>
      </c>
      <c r="G44" s="3769" t="s">
        <v>2310</v>
      </c>
    </row>
    <row r="45" spans="2:7" ht="18" customHeight="1" x14ac:dyDescent="0.3">
      <c r="B45" s="1162" t="s">
        <v>1574</v>
      </c>
      <c r="C45" s="1166" t="s">
        <v>1561</v>
      </c>
      <c r="D45" s="3768"/>
      <c r="E45" s="3768"/>
      <c r="F45" s="3768"/>
      <c r="G45" s="3769"/>
    </row>
    <row r="46" spans="2:7" ht="18" customHeight="1" x14ac:dyDescent="0.3">
      <c r="B46" s="1162" t="s">
        <v>1574</v>
      </c>
      <c r="C46" s="1166" t="s">
        <v>1562</v>
      </c>
      <c r="D46" s="3768"/>
      <c r="E46" s="3768"/>
      <c r="F46" s="3768"/>
      <c r="G46" s="3769"/>
    </row>
    <row r="47" spans="2:7" ht="18" customHeight="1" x14ac:dyDescent="0.3">
      <c r="B47" s="1162" t="s">
        <v>1575</v>
      </c>
      <c r="C47" s="1443" t="s">
        <v>1560</v>
      </c>
      <c r="D47" s="3768" t="s">
        <v>2310</v>
      </c>
      <c r="E47" s="3768" t="s">
        <v>2310</v>
      </c>
      <c r="F47" s="3768" t="s">
        <v>2310</v>
      </c>
      <c r="G47" s="3769" t="s">
        <v>2310</v>
      </c>
    </row>
    <row r="48" spans="2:7" ht="18" customHeight="1" x14ac:dyDescent="0.3">
      <c r="B48" s="1162" t="s">
        <v>1575</v>
      </c>
      <c r="C48" s="1166" t="s">
        <v>1561</v>
      </c>
      <c r="D48" s="3768"/>
      <c r="E48" s="3768" t="s">
        <v>2310</v>
      </c>
      <c r="F48" s="3768" t="s">
        <v>2310</v>
      </c>
      <c r="G48" s="3769"/>
    </row>
    <row r="49" spans="2:8" ht="18" customHeight="1" x14ac:dyDescent="0.3">
      <c r="B49" s="1162" t="s">
        <v>1575</v>
      </c>
      <c r="C49" s="1166" t="s">
        <v>1562</v>
      </c>
      <c r="D49" s="3768"/>
      <c r="E49" s="3768"/>
      <c r="F49" s="3768"/>
      <c r="G49" s="3769"/>
    </row>
    <row r="50" spans="2:8" ht="18" customHeight="1" x14ac:dyDescent="0.3">
      <c r="B50" s="1162" t="s">
        <v>1576</v>
      </c>
      <c r="C50" s="1443" t="s">
        <v>1560</v>
      </c>
      <c r="D50" s="3768" t="s">
        <v>2310</v>
      </c>
      <c r="E50" s="3768" t="s">
        <v>2310</v>
      </c>
      <c r="F50" s="3768" t="s">
        <v>2310</v>
      </c>
      <c r="G50" s="3769" t="s">
        <v>2310</v>
      </c>
    </row>
    <row r="51" spans="2:8" ht="18" customHeight="1" x14ac:dyDescent="0.3">
      <c r="B51" s="1162" t="s">
        <v>1576</v>
      </c>
      <c r="C51" s="1166" t="s">
        <v>1561</v>
      </c>
      <c r="D51" s="3768"/>
      <c r="E51" s="3768"/>
      <c r="F51" s="3768"/>
      <c r="G51" s="3769"/>
    </row>
    <row r="52" spans="2:8" ht="18" customHeight="1" x14ac:dyDescent="0.3">
      <c r="B52" s="1162" t="s">
        <v>1576</v>
      </c>
      <c r="C52" s="1166" t="s">
        <v>1562</v>
      </c>
      <c r="D52" s="3768"/>
      <c r="E52" s="3768"/>
      <c r="F52" s="3768"/>
      <c r="G52" s="3769"/>
    </row>
    <row r="53" spans="2:8" ht="18" customHeight="1" x14ac:dyDescent="0.3">
      <c r="B53" s="1162" t="s">
        <v>1577</v>
      </c>
      <c r="C53" s="1443" t="s">
        <v>1560</v>
      </c>
      <c r="D53" s="3768" t="s">
        <v>2310</v>
      </c>
      <c r="E53" s="3768" t="s">
        <v>2310</v>
      </c>
      <c r="F53" s="3768" t="s">
        <v>2310</v>
      </c>
      <c r="G53" s="3769" t="s">
        <v>2310</v>
      </c>
    </row>
    <row r="54" spans="2:8" ht="18" customHeight="1" x14ac:dyDescent="0.3">
      <c r="B54" s="1162" t="s">
        <v>1577</v>
      </c>
      <c r="C54" s="1166" t="s">
        <v>1561</v>
      </c>
      <c r="D54" s="3768"/>
      <c r="E54" s="3768"/>
      <c r="F54" s="3768"/>
      <c r="G54" s="3769"/>
    </row>
    <row r="55" spans="2:8" ht="18" customHeight="1" x14ac:dyDescent="0.3">
      <c r="B55" s="1162" t="s">
        <v>1577</v>
      </c>
      <c r="C55" s="1166" t="s">
        <v>1562</v>
      </c>
      <c r="D55" s="3768"/>
      <c r="E55" s="3768"/>
      <c r="F55" s="3768"/>
      <c r="G55" s="3769"/>
    </row>
    <row r="56" spans="2:8" ht="18" customHeight="1" x14ac:dyDescent="0.3">
      <c r="B56" s="1162" t="s">
        <v>1578</v>
      </c>
      <c r="C56" s="1443" t="s">
        <v>1560</v>
      </c>
      <c r="D56" s="3768"/>
      <c r="E56" s="3768"/>
      <c r="F56" s="3768"/>
      <c r="G56" s="3769"/>
    </row>
    <row r="57" spans="2:8" ht="18" customHeight="1" x14ac:dyDescent="0.3">
      <c r="B57" s="1162" t="s">
        <v>1578</v>
      </c>
      <c r="C57" s="1166" t="s">
        <v>1561</v>
      </c>
      <c r="D57" s="3768"/>
      <c r="E57" s="3768"/>
      <c r="F57" s="3768"/>
      <c r="G57" s="3769"/>
    </row>
    <row r="58" spans="2:8" ht="18" customHeight="1" x14ac:dyDescent="0.3">
      <c r="B58" s="1162" t="s">
        <v>1578</v>
      </c>
      <c r="C58" s="1166" t="s">
        <v>1562</v>
      </c>
      <c r="D58" s="3768"/>
      <c r="E58" s="3768"/>
      <c r="F58" s="3768"/>
      <c r="G58" s="3769"/>
    </row>
    <row r="59" spans="2:8" ht="18" customHeight="1" x14ac:dyDescent="0.3">
      <c r="B59" s="1162" t="s">
        <v>1579</v>
      </c>
      <c r="C59" s="1443" t="s">
        <v>1560</v>
      </c>
      <c r="D59" s="3768"/>
      <c r="E59" s="3768"/>
      <c r="F59" s="3768"/>
      <c r="G59" s="3769"/>
    </row>
    <row r="60" spans="2:8" ht="18" customHeight="1" x14ac:dyDescent="0.3">
      <c r="B60" s="1162" t="s">
        <v>1579</v>
      </c>
      <c r="C60" s="1166" t="s">
        <v>1561</v>
      </c>
      <c r="D60" s="3768"/>
      <c r="E60" s="3768"/>
      <c r="F60" s="3768"/>
      <c r="G60" s="3769"/>
    </row>
    <row r="61" spans="2:8" ht="18" customHeight="1" x14ac:dyDescent="0.3">
      <c r="B61" s="1162" t="s">
        <v>1579</v>
      </c>
      <c r="C61" s="1166" t="s">
        <v>1562</v>
      </c>
      <c r="D61" s="3768"/>
      <c r="E61" s="3768"/>
      <c r="F61" s="3768"/>
      <c r="G61" s="3769"/>
    </row>
    <row r="62" spans="2:8" ht="18" customHeight="1" x14ac:dyDescent="0.3">
      <c r="B62" s="1162" t="s">
        <v>1580</v>
      </c>
      <c r="C62" s="1166" t="s">
        <v>1561</v>
      </c>
      <c r="D62" s="3768"/>
      <c r="E62" s="3768"/>
      <c r="F62" s="3768"/>
      <c r="G62" s="3769"/>
    </row>
    <row r="63" spans="2:8" ht="18" customHeight="1" x14ac:dyDescent="0.3">
      <c r="B63" s="1162" t="s">
        <v>1580</v>
      </c>
      <c r="C63" s="1166" t="s">
        <v>1562</v>
      </c>
      <c r="D63" s="3768"/>
      <c r="E63" s="3768"/>
      <c r="F63" s="3768"/>
      <c r="G63" s="3769"/>
    </row>
    <row r="64" spans="2:8" ht="18" customHeight="1" x14ac:dyDescent="0.3">
      <c r="B64" s="1162" t="s">
        <v>1581</v>
      </c>
      <c r="C64" s="1443" t="s">
        <v>1560</v>
      </c>
      <c r="D64" s="3768"/>
      <c r="E64" s="3768" t="s">
        <v>2310</v>
      </c>
      <c r="F64" s="3768" t="s">
        <v>2310</v>
      </c>
      <c r="G64" s="3769"/>
      <c r="H64" s="4207"/>
    </row>
    <row r="65" spans="2:7" ht="18" customHeight="1" x14ac:dyDescent="0.3">
      <c r="B65" s="1162" t="s">
        <v>1581</v>
      </c>
      <c r="C65" s="1166" t="s">
        <v>1561</v>
      </c>
      <c r="D65" s="3768"/>
      <c r="E65" s="3768"/>
      <c r="F65" s="3768"/>
      <c r="G65" s="3769"/>
    </row>
    <row r="66" spans="2:7" ht="18" customHeight="1" x14ac:dyDescent="0.3">
      <c r="B66" s="1162" t="s">
        <v>1581</v>
      </c>
      <c r="C66" s="1166" t="s">
        <v>1562</v>
      </c>
      <c r="D66" s="3768"/>
      <c r="E66" s="3768"/>
      <c r="F66" s="3768"/>
      <c r="G66" s="3769"/>
    </row>
    <row r="67" spans="2:7" ht="18" customHeight="1" x14ac:dyDescent="0.3">
      <c r="B67" s="1162" t="s">
        <v>1582</v>
      </c>
      <c r="C67" s="1443" t="s">
        <v>1560</v>
      </c>
      <c r="D67" s="3768" t="s">
        <v>2310</v>
      </c>
      <c r="E67" s="3768" t="s">
        <v>2310</v>
      </c>
      <c r="F67" s="3768" t="s">
        <v>2310</v>
      </c>
      <c r="G67" s="3769" t="s">
        <v>2310</v>
      </c>
    </row>
    <row r="68" spans="2:7" ht="18" customHeight="1" x14ac:dyDescent="0.3">
      <c r="B68" s="1162" t="s">
        <v>1582</v>
      </c>
      <c r="C68" s="1166" t="s">
        <v>1561</v>
      </c>
      <c r="D68" s="3768"/>
      <c r="E68" s="3768"/>
      <c r="F68" s="3768"/>
      <c r="G68" s="3769"/>
    </row>
    <row r="69" spans="2:7" ht="18" customHeight="1" x14ac:dyDescent="0.3">
      <c r="B69" s="1162" t="s">
        <v>1582</v>
      </c>
      <c r="C69" s="1166" t="s">
        <v>1562</v>
      </c>
      <c r="D69" s="3768"/>
      <c r="E69" s="3768"/>
      <c r="F69" s="3768"/>
      <c r="G69" s="3769"/>
    </row>
    <row r="70" spans="2:7" ht="18" customHeight="1" x14ac:dyDescent="0.3">
      <c r="B70" s="1162" t="s">
        <v>1583</v>
      </c>
      <c r="C70" s="1443" t="s">
        <v>1560</v>
      </c>
      <c r="D70" s="3768"/>
      <c r="E70" s="3768" t="s">
        <v>2310</v>
      </c>
      <c r="F70" s="3768" t="s">
        <v>2310</v>
      </c>
      <c r="G70" s="3769"/>
    </row>
    <row r="71" spans="2:7" ht="18" customHeight="1" x14ac:dyDescent="0.3">
      <c r="B71" s="1162" t="s">
        <v>1583</v>
      </c>
      <c r="C71" s="1166" t="s">
        <v>1561</v>
      </c>
      <c r="D71" s="3768"/>
      <c r="E71" s="3768"/>
      <c r="F71" s="3768"/>
      <c r="G71" s="3769"/>
    </row>
    <row r="72" spans="2:7" ht="18" customHeight="1" x14ac:dyDescent="0.3">
      <c r="B72" s="1162" t="s">
        <v>1583</v>
      </c>
      <c r="C72" s="1166" t="s">
        <v>1562</v>
      </c>
      <c r="D72" s="3768"/>
      <c r="E72" s="3768"/>
      <c r="F72" s="3768"/>
      <c r="G72" s="3769"/>
    </row>
    <row r="73" spans="2:7" ht="18" customHeight="1" x14ac:dyDescent="0.3">
      <c r="B73" s="1162" t="s">
        <v>1584</v>
      </c>
      <c r="C73" s="1443" t="s">
        <v>1560</v>
      </c>
      <c r="D73" s="3768" t="s">
        <v>2310</v>
      </c>
      <c r="E73" s="3768" t="s">
        <v>2310</v>
      </c>
      <c r="F73" s="3768" t="s">
        <v>2310</v>
      </c>
      <c r="G73" s="3769" t="s">
        <v>2310</v>
      </c>
    </row>
    <row r="74" spans="2:7" ht="18" customHeight="1" x14ac:dyDescent="0.3">
      <c r="B74" s="1162" t="s">
        <v>1584</v>
      </c>
      <c r="C74" s="1166" t="s">
        <v>1561</v>
      </c>
      <c r="D74" s="3768"/>
      <c r="E74" s="3768"/>
      <c r="F74" s="3768"/>
      <c r="G74" s="3769"/>
    </row>
    <row r="75" spans="2:7" ht="18" customHeight="1" x14ac:dyDescent="0.3">
      <c r="B75" s="1162" t="s">
        <v>1584</v>
      </c>
      <c r="C75" s="1166" t="s">
        <v>1562</v>
      </c>
      <c r="D75" s="3768"/>
      <c r="E75" s="3768"/>
      <c r="F75" s="3768"/>
      <c r="G75" s="3769"/>
    </row>
    <row r="76" spans="2:7" ht="18" customHeight="1" x14ac:dyDescent="0.3">
      <c r="B76" s="1162" t="s">
        <v>1585</v>
      </c>
      <c r="C76" s="1443" t="s">
        <v>1560</v>
      </c>
      <c r="D76" s="3768"/>
      <c r="E76" s="3768"/>
      <c r="F76" s="3768"/>
      <c r="G76" s="3769"/>
    </row>
    <row r="77" spans="2:7" ht="18" customHeight="1" x14ac:dyDescent="0.3">
      <c r="B77" s="1162" t="s">
        <v>1585</v>
      </c>
      <c r="C77" s="1166" t="s">
        <v>1561</v>
      </c>
      <c r="D77" s="3768"/>
      <c r="E77" s="3768"/>
      <c r="F77" s="3768"/>
      <c r="G77" s="3769"/>
    </row>
    <row r="78" spans="2:7" ht="18" customHeight="1" x14ac:dyDescent="0.3">
      <c r="B78" s="1162" t="s">
        <v>1585</v>
      </c>
      <c r="C78" s="1166" t="s">
        <v>1562</v>
      </c>
      <c r="D78" s="3768"/>
      <c r="E78" s="3768"/>
      <c r="F78" s="3768"/>
      <c r="G78" s="3769"/>
    </row>
    <row r="79" spans="2:7" ht="18" customHeight="1" x14ac:dyDescent="0.3">
      <c r="B79" s="1162" t="s">
        <v>1586</v>
      </c>
      <c r="C79" s="1443" t="s">
        <v>1560</v>
      </c>
      <c r="D79" s="3768"/>
      <c r="E79" s="3768"/>
      <c r="F79" s="3768"/>
      <c r="G79" s="3769"/>
    </row>
    <row r="80" spans="2:7" ht="18" customHeight="1" x14ac:dyDescent="0.3">
      <c r="B80" s="1162" t="s">
        <v>1586</v>
      </c>
      <c r="C80" s="1166" t="s">
        <v>1561</v>
      </c>
      <c r="D80" s="3768"/>
      <c r="E80" s="3768"/>
      <c r="F80" s="3768"/>
      <c r="G80" s="3769"/>
    </row>
    <row r="81" spans="2:7" ht="18" customHeight="1" x14ac:dyDescent="0.3">
      <c r="B81" s="1162" t="s">
        <v>1586</v>
      </c>
      <c r="C81" s="1166" t="s">
        <v>1562</v>
      </c>
      <c r="D81" s="3768"/>
      <c r="E81" s="3768"/>
      <c r="F81" s="3768"/>
      <c r="G81" s="3769"/>
    </row>
    <row r="82" spans="2:7" ht="18" customHeight="1" x14ac:dyDescent="0.3">
      <c r="B82" s="1162" t="s">
        <v>1587</v>
      </c>
      <c r="C82" s="1166" t="s">
        <v>1561</v>
      </c>
      <c r="D82" s="3768"/>
      <c r="E82" s="3768" t="s">
        <v>2310</v>
      </c>
      <c r="F82" s="3768" t="s">
        <v>2310</v>
      </c>
      <c r="G82" s="3769" t="s">
        <v>2310</v>
      </c>
    </row>
    <row r="83" spans="2:7" ht="18" customHeight="1" x14ac:dyDescent="0.3">
      <c r="B83" s="1162" t="s">
        <v>1587</v>
      </c>
      <c r="C83" s="1166" t="s">
        <v>1562</v>
      </c>
      <c r="D83" s="3768"/>
      <c r="E83" s="3768"/>
      <c r="F83" s="3768"/>
      <c r="G83" s="3769"/>
    </row>
    <row r="84" spans="2:7" ht="18" customHeight="1" x14ac:dyDescent="0.3">
      <c r="B84" s="1162" t="s">
        <v>1588</v>
      </c>
      <c r="C84" s="1443" t="s">
        <v>1560</v>
      </c>
      <c r="D84" s="3768"/>
      <c r="E84" s="3768"/>
      <c r="F84" s="3768"/>
      <c r="G84" s="3769"/>
    </row>
    <row r="85" spans="2:7" ht="18" customHeight="1" x14ac:dyDescent="0.3">
      <c r="B85" s="1162" t="s">
        <v>1588</v>
      </c>
      <c r="C85" s="1166" t="s">
        <v>1561</v>
      </c>
      <c r="D85" s="3768"/>
      <c r="E85" s="3768"/>
      <c r="F85" s="3768"/>
      <c r="G85" s="3769"/>
    </row>
    <row r="86" spans="2:7" ht="18" customHeight="1" x14ac:dyDescent="0.3">
      <c r="B86" s="1162" t="s">
        <v>1588</v>
      </c>
      <c r="C86" s="1166" t="s">
        <v>1562</v>
      </c>
      <c r="D86" s="3768"/>
      <c r="E86" s="3768"/>
      <c r="F86" s="3768"/>
      <c r="G86" s="3769"/>
    </row>
    <row r="87" spans="2:7" ht="18" customHeight="1" x14ac:dyDescent="0.25">
      <c r="B87" s="1162" t="s">
        <v>1589</v>
      </c>
      <c r="C87" s="1166" t="s">
        <v>1590</v>
      </c>
      <c r="D87" s="3768"/>
      <c r="E87" s="3768"/>
      <c r="F87" s="3768"/>
      <c r="G87" s="3769"/>
    </row>
    <row r="88" spans="2:7" ht="18" customHeight="1" x14ac:dyDescent="0.3">
      <c r="B88" s="1162" t="s">
        <v>1589</v>
      </c>
      <c r="C88" s="1166" t="s">
        <v>1561</v>
      </c>
      <c r="D88" s="3768"/>
      <c r="E88" s="3768"/>
      <c r="F88" s="3768"/>
      <c r="G88" s="3769"/>
    </row>
    <row r="89" spans="2:7" ht="18" customHeight="1" x14ac:dyDescent="0.3">
      <c r="B89" s="1162" t="s">
        <v>1589</v>
      </c>
      <c r="C89" s="1166" t="s">
        <v>1562</v>
      </c>
      <c r="D89" s="3768"/>
      <c r="E89" s="3768"/>
      <c r="F89" s="3768"/>
      <c r="G89" s="3769"/>
    </row>
    <row r="90" spans="2:7" ht="18" customHeight="1" x14ac:dyDescent="0.3">
      <c r="B90" s="1162" t="s">
        <v>1591</v>
      </c>
      <c r="C90" s="1443" t="s">
        <v>1560</v>
      </c>
      <c r="D90" s="3768"/>
      <c r="E90" s="3768"/>
      <c r="F90" s="3768"/>
      <c r="G90" s="3769"/>
    </row>
    <row r="91" spans="2:7" ht="18" customHeight="1" x14ac:dyDescent="0.3">
      <c r="B91" s="1162" t="s">
        <v>1591</v>
      </c>
      <c r="C91" s="1166" t="s">
        <v>1561</v>
      </c>
      <c r="D91" s="3768"/>
      <c r="E91" s="3768"/>
      <c r="F91" s="3768"/>
      <c r="G91" s="3769"/>
    </row>
    <row r="92" spans="2:7" ht="18" customHeight="1" x14ac:dyDescent="0.3">
      <c r="B92" s="1162" t="s">
        <v>1591</v>
      </c>
      <c r="C92" s="1166" t="s">
        <v>1562</v>
      </c>
      <c r="D92" s="3768"/>
      <c r="E92" s="3768"/>
      <c r="F92" s="3768"/>
      <c r="G92" s="3769"/>
    </row>
    <row r="93" spans="2:7" ht="18" customHeight="1" x14ac:dyDescent="0.3">
      <c r="B93" s="1162" t="s">
        <v>1592</v>
      </c>
      <c r="C93" s="1443" t="s">
        <v>1560</v>
      </c>
      <c r="D93" s="3768"/>
      <c r="E93" s="3768"/>
      <c r="F93" s="3768"/>
      <c r="G93" s="3769"/>
    </row>
    <row r="94" spans="2:7" ht="18" customHeight="1" x14ac:dyDescent="0.3">
      <c r="B94" s="1162" t="s">
        <v>1592</v>
      </c>
      <c r="C94" s="1166" t="s">
        <v>1561</v>
      </c>
      <c r="D94" s="3768"/>
      <c r="E94" s="3768"/>
      <c r="F94" s="3768"/>
      <c r="G94" s="3769"/>
    </row>
    <row r="95" spans="2:7" ht="18" customHeight="1" x14ac:dyDescent="0.3">
      <c r="B95" s="1162" t="s">
        <v>1592</v>
      </c>
      <c r="C95" s="1166" t="s">
        <v>1562</v>
      </c>
      <c r="D95" s="3768"/>
      <c r="E95" s="3768"/>
      <c r="F95" s="3768"/>
      <c r="G95" s="3769"/>
    </row>
    <row r="96" spans="2:7" ht="18" customHeight="1" x14ac:dyDescent="0.3">
      <c r="B96" s="1162" t="s">
        <v>1593</v>
      </c>
      <c r="C96" s="1443" t="s">
        <v>1560</v>
      </c>
      <c r="D96" s="3768"/>
      <c r="E96" s="3768"/>
      <c r="F96" s="3768"/>
      <c r="G96" s="3769"/>
    </row>
    <row r="97" spans="2:7" ht="18" customHeight="1" x14ac:dyDescent="0.3">
      <c r="B97" s="1162" t="s">
        <v>1593</v>
      </c>
      <c r="C97" s="1166" t="s">
        <v>1561</v>
      </c>
      <c r="D97" s="3768"/>
      <c r="E97" s="3768"/>
      <c r="F97" s="3768"/>
      <c r="G97" s="3769"/>
    </row>
    <row r="98" spans="2:7" ht="18" customHeight="1" x14ac:dyDescent="0.3">
      <c r="B98" s="1162" t="s">
        <v>1593</v>
      </c>
      <c r="C98" s="1166" t="s">
        <v>1562</v>
      </c>
      <c r="D98" s="3768"/>
      <c r="E98" s="3768"/>
      <c r="F98" s="3768"/>
      <c r="G98" s="3769"/>
    </row>
    <row r="99" spans="2:7" ht="18" customHeight="1" x14ac:dyDescent="0.3">
      <c r="B99" s="1162" t="s">
        <v>1594</v>
      </c>
      <c r="C99" s="1166" t="s">
        <v>1561</v>
      </c>
      <c r="D99" s="3768"/>
      <c r="E99" s="3768"/>
      <c r="F99" s="3768"/>
      <c r="G99" s="3769"/>
    </row>
    <row r="100" spans="2:7" ht="18" customHeight="1" x14ac:dyDescent="0.3">
      <c r="B100" s="1162" t="s">
        <v>1594</v>
      </c>
      <c r="C100" s="1166" t="s">
        <v>1562</v>
      </c>
      <c r="D100" s="3768"/>
      <c r="E100" s="3768"/>
      <c r="F100" s="3768"/>
      <c r="G100" s="3769"/>
    </row>
    <row r="101" spans="2:7" ht="18" customHeight="1" x14ac:dyDescent="0.3">
      <c r="B101" s="1162" t="s">
        <v>1595</v>
      </c>
      <c r="C101" s="1443" t="s">
        <v>1560</v>
      </c>
      <c r="D101" s="3768" t="s">
        <v>2310</v>
      </c>
      <c r="E101" s="3768" t="s">
        <v>2310</v>
      </c>
      <c r="F101" s="3768" t="s">
        <v>2310</v>
      </c>
      <c r="G101" s="3769" t="s">
        <v>2310</v>
      </c>
    </row>
    <row r="102" spans="2:7" ht="18" customHeight="1" x14ac:dyDescent="0.3">
      <c r="B102" s="1162" t="s">
        <v>1595</v>
      </c>
      <c r="C102" s="1166" t="s">
        <v>1561</v>
      </c>
      <c r="D102" s="3768" t="s">
        <v>2310</v>
      </c>
      <c r="E102" s="3768" t="s">
        <v>2310</v>
      </c>
      <c r="F102" s="3768" t="s">
        <v>2310</v>
      </c>
      <c r="G102" s="3769" t="s">
        <v>2310</v>
      </c>
    </row>
    <row r="103" spans="2:7" ht="18" customHeight="1" x14ac:dyDescent="0.3">
      <c r="B103" s="1162" t="s">
        <v>1596</v>
      </c>
      <c r="C103" s="1443" t="s">
        <v>1560</v>
      </c>
      <c r="D103" s="3768"/>
      <c r="E103" s="3768"/>
      <c r="F103" s="3768"/>
      <c r="G103" s="3769"/>
    </row>
    <row r="104" spans="2:7" ht="18" customHeight="1" x14ac:dyDescent="0.3">
      <c r="B104" s="1162" t="s">
        <v>1597</v>
      </c>
      <c r="C104" s="1166" t="s">
        <v>1561</v>
      </c>
      <c r="D104" s="3768"/>
      <c r="E104" s="3768"/>
      <c r="F104" s="3768"/>
      <c r="G104" s="3769"/>
    </row>
    <row r="105" spans="2:7" ht="18" customHeight="1" x14ac:dyDescent="0.3">
      <c r="B105" s="1162" t="s">
        <v>1598</v>
      </c>
      <c r="C105" s="1443" t="s">
        <v>1560</v>
      </c>
      <c r="D105" s="3768"/>
      <c r="E105" s="3768"/>
      <c r="F105" s="3768"/>
      <c r="G105" s="3769"/>
    </row>
    <row r="106" spans="2:7" ht="18" customHeight="1" x14ac:dyDescent="0.3">
      <c r="B106" s="1162" t="s">
        <v>1598</v>
      </c>
      <c r="C106" s="1166" t="s">
        <v>1561</v>
      </c>
      <c r="D106" s="3768" t="s">
        <v>2310</v>
      </c>
      <c r="E106" s="3768" t="s">
        <v>2310</v>
      </c>
      <c r="F106" s="3768" t="s">
        <v>2310</v>
      </c>
      <c r="G106" s="3769" t="s">
        <v>2310</v>
      </c>
    </row>
    <row r="107" spans="2:7" ht="18" customHeight="1" x14ac:dyDescent="0.3">
      <c r="B107" s="1162" t="s">
        <v>1599</v>
      </c>
      <c r="C107" s="1443" t="s">
        <v>1560</v>
      </c>
      <c r="D107" s="3768" t="s">
        <v>2310</v>
      </c>
      <c r="E107" s="3768" t="s">
        <v>2310</v>
      </c>
      <c r="F107" s="3768" t="s">
        <v>2310</v>
      </c>
      <c r="G107" s="3769" t="s">
        <v>2310</v>
      </c>
    </row>
    <row r="108" spans="2:7" ht="18" customHeight="1" x14ac:dyDescent="0.3">
      <c r="B108" s="1162" t="s">
        <v>1599</v>
      </c>
      <c r="C108" s="1166" t="s">
        <v>1561</v>
      </c>
      <c r="D108" s="3768" t="s">
        <v>2310</v>
      </c>
      <c r="E108" s="3768" t="s">
        <v>2310</v>
      </c>
      <c r="F108" s="3768" t="s">
        <v>2310</v>
      </c>
      <c r="G108" s="3769" t="s">
        <v>2310</v>
      </c>
    </row>
    <row r="109" spans="2:7" ht="18" customHeight="1" x14ac:dyDescent="0.3">
      <c r="B109" s="1162" t="s">
        <v>1599</v>
      </c>
      <c r="C109" s="1166" t="s">
        <v>1562</v>
      </c>
      <c r="D109" s="3768"/>
      <c r="E109" s="3768"/>
      <c r="F109" s="3768"/>
      <c r="G109" s="3769"/>
    </row>
    <row r="110" spans="2:7" ht="18" customHeight="1" x14ac:dyDescent="0.3">
      <c r="B110" s="1162" t="s">
        <v>1600</v>
      </c>
      <c r="C110" s="1443" t="s">
        <v>1560</v>
      </c>
      <c r="D110" s="3768"/>
      <c r="E110" s="3768"/>
      <c r="F110" s="3768"/>
      <c r="G110" s="3769"/>
    </row>
    <row r="111" spans="2:7" ht="18" customHeight="1" x14ac:dyDescent="0.3">
      <c r="B111" s="1162" t="s">
        <v>1600</v>
      </c>
      <c r="C111" s="1166" t="s">
        <v>1561</v>
      </c>
      <c r="D111" s="3768"/>
      <c r="E111" s="3768"/>
      <c r="F111" s="3768"/>
      <c r="G111" s="3769"/>
    </row>
    <row r="112" spans="2:7" ht="18" customHeight="1" x14ac:dyDescent="0.3">
      <c r="B112" s="1162" t="s">
        <v>1600</v>
      </c>
      <c r="C112" s="1166" t="s">
        <v>1562</v>
      </c>
      <c r="D112" s="3768"/>
      <c r="E112" s="3768"/>
      <c r="F112" s="3768"/>
      <c r="G112" s="3769"/>
    </row>
    <row r="113" spans="2:7" ht="18" customHeight="1" x14ac:dyDescent="0.3">
      <c r="B113" s="1162" t="s">
        <v>1601</v>
      </c>
      <c r="C113" s="1443" t="s">
        <v>1560</v>
      </c>
      <c r="D113" s="3768"/>
      <c r="E113" s="3768"/>
      <c r="F113" s="3768"/>
      <c r="G113" s="3769"/>
    </row>
    <row r="114" spans="2:7" ht="18" customHeight="1" x14ac:dyDescent="0.3">
      <c r="B114" s="1163" t="s">
        <v>1602</v>
      </c>
      <c r="C114" s="1443" t="s">
        <v>1560</v>
      </c>
      <c r="D114" s="3768"/>
      <c r="E114" s="3768"/>
      <c r="F114" s="3768"/>
      <c r="G114" s="3769"/>
    </row>
    <row r="115" spans="2:7" ht="18" customHeight="1" x14ac:dyDescent="0.3">
      <c r="B115" s="1162" t="s">
        <v>1603</v>
      </c>
      <c r="C115" s="1443" t="s">
        <v>1560</v>
      </c>
      <c r="D115" s="3768" t="s">
        <v>2310</v>
      </c>
      <c r="E115" s="3768" t="s">
        <v>2310</v>
      </c>
      <c r="F115" s="3768" t="s">
        <v>2310</v>
      </c>
      <c r="G115" s="3769" t="s">
        <v>2310</v>
      </c>
    </row>
    <row r="116" spans="2:7" ht="18" customHeight="1" x14ac:dyDescent="0.3">
      <c r="B116" s="1162" t="s">
        <v>1604</v>
      </c>
      <c r="C116" s="1443" t="s">
        <v>1560</v>
      </c>
      <c r="D116" s="3768" t="s">
        <v>2310</v>
      </c>
      <c r="E116" s="3768"/>
      <c r="F116" s="3768" t="s">
        <v>2310</v>
      </c>
      <c r="G116" s="3769"/>
    </row>
    <row r="117" spans="2:7" ht="18" customHeight="1" x14ac:dyDescent="0.3">
      <c r="B117" s="1162" t="s">
        <v>1605</v>
      </c>
      <c r="C117" s="1443" t="s">
        <v>1560</v>
      </c>
      <c r="D117" s="3768"/>
      <c r="E117" s="3768"/>
      <c r="F117" s="3768"/>
      <c r="G117" s="3769"/>
    </row>
    <row r="118" spans="2:7" ht="18" customHeight="1" x14ac:dyDescent="0.3">
      <c r="B118" s="1162" t="s">
        <v>1606</v>
      </c>
      <c r="C118" s="1443" t="s">
        <v>1560</v>
      </c>
      <c r="D118" s="3768" t="s">
        <v>2310</v>
      </c>
      <c r="E118" s="3768"/>
      <c r="F118" s="3768" t="s">
        <v>2310</v>
      </c>
      <c r="G118" s="3769" t="s">
        <v>2310</v>
      </c>
    </row>
    <row r="119" spans="2:7" ht="18" customHeight="1" x14ac:dyDescent="0.3">
      <c r="B119" s="1162" t="s">
        <v>1607</v>
      </c>
      <c r="C119" s="1443" t="s">
        <v>1560</v>
      </c>
      <c r="D119" s="3768" t="s">
        <v>2310</v>
      </c>
      <c r="E119" s="3768" t="s">
        <v>2310</v>
      </c>
      <c r="F119" s="3768" t="s">
        <v>2310</v>
      </c>
      <c r="G119" s="3769" t="s">
        <v>2310</v>
      </c>
    </row>
    <row r="120" spans="2:7" ht="18" customHeight="1" x14ac:dyDescent="0.3">
      <c r="B120" s="1164" t="s">
        <v>1607</v>
      </c>
      <c r="C120" s="1166" t="s">
        <v>1561</v>
      </c>
      <c r="D120" s="3768"/>
      <c r="E120" s="3768"/>
      <c r="F120" s="3768"/>
      <c r="G120" s="3769"/>
    </row>
    <row r="121" spans="2:7" ht="18" customHeight="1" x14ac:dyDescent="0.3">
      <c r="B121" s="1164" t="s">
        <v>1607</v>
      </c>
      <c r="C121" s="1166" t="s">
        <v>1562</v>
      </c>
      <c r="D121" s="3768"/>
      <c r="E121" s="3768"/>
      <c r="F121" s="3768"/>
      <c r="G121" s="3769"/>
    </row>
    <row r="122" spans="2:7" ht="18" customHeight="1" x14ac:dyDescent="0.3">
      <c r="B122" s="1164" t="s">
        <v>1608</v>
      </c>
      <c r="C122" s="1166" t="s">
        <v>1562</v>
      </c>
      <c r="D122" s="3768" t="s">
        <v>2310</v>
      </c>
      <c r="E122" s="3768"/>
      <c r="F122" s="3768" t="s">
        <v>2310</v>
      </c>
      <c r="G122" s="3769" t="s">
        <v>2310</v>
      </c>
    </row>
    <row r="123" spans="2:7" ht="18" customHeight="1" x14ac:dyDescent="0.3">
      <c r="B123" s="1164" t="s">
        <v>1609</v>
      </c>
      <c r="C123" s="1443" t="s">
        <v>1560</v>
      </c>
      <c r="D123" s="3768"/>
      <c r="E123" s="3768"/>
      <c r="F123" s="3768"/>
      <c r="G123" s="3769"/>
    </row>
    <row r="124" spans="2:7" ht="18" customHeight="1" x14ac:dyDescent="0.3">
      <c r="B124" s="1164" t="s">
        <v>1609</v>
      </c>
      <c r="C124" s="1166" t="s">
        <v>1562</v>
      </c>
      <c r="D124" s="3768"/>
      <c r="E124" s="3768"/>
      <c r="F124" s="3768"/>
      <c r="G124" s="3769"/>
    </row>
    <row r="125" spans="2:7" ht="18" customHeight="1" x14ac:dyDescent="0.3">
      <c r="B125" s="1164" t="s">
        <v>1610</v>
      </c>
      <c r="C125" s="1443" t="s">
        <v>1560</v>
      </c>
      <c r="D125" s="3768"/>
      <c r="E125" s="3768"/>
      <c r="F125" s="3768"/>
      <c r="G125" s="3769"/>
    </row>
    <row r="126" spans="2:7" ht="18" customHeight="1" x14ac:dyDescent="0.3">
      <c r="B126" s="1164" t="s">
        <v>1610</v>
      </c>
      <c r="C126" s="1166" t="s">
        <v>1562</v>
      </c>
      <c r="D126" s="3768"/>
      <c r="E126" s="3768"/>
      <c r="F126" s="3768"/>
      <c r="G126" s="3769"/>
    </row>
    <row r="127" spans="2:7" ht="18" customHeight="1" x14ac:dyDescent="0.3">
      <c r="B127" s="1164" t="s">
        <v>1611</v>
      </c>
      <c r="C127" s="1443" t="s">
        <v>1560</v>
      </c>
      <c r="D127" s="3768"/>
      <c r="E127" s="3768"/>
      <c r="F127" s="3768"/>
      <c r="G127" s="3769"/>
    </row>
    <row r="128" spans="2:7" ht="18" customHeight="1" x14ac:dyDescent="0.3">
      <c r="B128" s="1164" t="s">
        <v>1611</v>
      </c>
      <c r="C128" s="1166" t="s">
        <v>1561</v>
      </c>
      <c r="D128" s="3768"/>
      <c r="E128" s="3768"/>
      <c r="F128" s="3768"/>
      <c r="G128" s="3769"/>
    </row>
    <row r="129" spans="2:7" ht="18" customHeight="1" x14ac:dyDescent="0.3">
      <c r="B129" s="1164" t="s">
        <v>1612</v>
      </c>
      <c r="C129" s="1443" t="s">
        <v>1560</v>
      </c>
      <c r="D129" s="3768"/>
      <c r="E129" s="3768"/>
      <c r="F129" s="3768"/>
      <c r="G129" s="3769"/>
    </row>
    <row r="130" spans="2:7" ht="18" customHeight="1" x14ac:dyDescent="0.3">
      <c r="B130" s="1164" t="s">
        <v>1613</v>
      </c>
      <c r="C130" s="1443" t="s">
        <v>1560</v>
      </c>
      <c r="D130" s="3768"/>
      <c r="E130" s="3768"/>
      <c r="F130" s="3768"/>
      <c r="G130" s="3769"/>
    </row>
    <row r="131" spans="2:7" ht="18" customHeight="1" x14ac:dyDescent="0.3">
      <c r="B131" s="1165" t="s">
        <v>1614</v>
      </c>
      <c r="C131" s="1443" t="s">
        <v>1560</v>
      </c>
      <c r="D131" s="3768"/>
      <c r="E131" s="3768"/>
      <c r="F131" s="3768"/>
      <c r="G131" s="3769"/>
    </row>
    <row r="132" spans="2:7" ht="18" customHeight="1" x14ac:dyDescent="0.3">
      <c r="B132" s="1165" t="s">
        <v>1614</v>
      </c>
      <c r="C132" s="1166" t="s">
        <v>1561</v>
      </c>
      <c r="D132" s="3768"/>
      <c r="E132" s="3768"/>
      <c r="F132" s="3768"/>
      <c r="G132" s="3769"/>
    </row>
    <row r="133" spans="2:7" ht="18" customHeight="1" x14ac:dyDescent="0.25">
      <c r="B133" s="1164" t="s">
        <v>1615</v>
      </c>
      <c r="C133" s="1166" t="s">
        <v>1616</v>
      </c>
      <c r="D133" s="3768"/>
      <c r="E133" s="3768" t="s">
        <v>2310</v>
      </c>
      <c r="F133" s="3768" t="s">
        <v>2310</v>
      </c>
      <c r="G133" s="3769" t="s">
        <v>2310</v>
      </c>
    </row>
    <row r="134" spans="2:7" ht="18" customHeight="1" x14ac:dyDescent="0.3">
      <c r="B134" s="1164" t="s">
        <v>1617</v>
      </c>
      <c r="C134" s="1443" t="s">
        <v>1560</v>
      </c>
      <c r="D134" s="3768"/>
      <c r="E134" s="3768"/>
      <c r="F134" s="3768"/>
      <c r="G134" s="3769"/>
    </row>
    <row r="135" spans="2:7" ht="18" customHeight="1" x14ac:dyDescent="0.3">
      <c r="B135" s="1164" t="s">
        <v>1617</v>
      </c>
      <c r="C135" s="1166" t="s">
        <v>1561</v>
      </c>
      <c r="D135" s="3768"/>
      <c r="E135" s="3768"/>
      <c r="F135" s="3768"/>
      <c r="G135" s="3769"/>
    </row>
    <row r="136" spans="2:7" ht="18" customHeight="1" x14ac:dyDescent="0.3">
      <c r="B136" s="1164" t="s">
        <v>1617</v>
      </c>
      <c r="C136" s="1166" t="s">
        <v>1562</v>
      </c>
      <c r="D136" s="3768"/>
      <c r="E136" s="3768"/>
      <c r="F136" s="3768"/>
      <c r="G136" s="3769"/>
    </row>
    <row r="137" spans="2:7" ht="18" customHeight="1" x14ac:dyDescent="0.25">
      <c r="B137" s="1164" t="s">
        <v>1617</v>
      </c>
      <c r="C137" s="1166" t="s">
        <v>1616</v>
      </c>
      <c r="D137" s="3768"/>
      <c r="E137" s="3768"/>
      <c r="F137" s="3768"/>
      <c r="G137" s="3769"/>
    </row>
    <row r="138" spans="2:7" ht="18" customHeight="1" x14ac:dyDescent="0.3">
      <c r="B138" s="1162" t="s">
        <v>1618</v>
      </c>
      <c r="C138" s="1443" t="s">
        <v>1560</v>
      </c>
      <c r="D138" s="3768" t="s">
        <v>2310</v>
      </c>
      <c r="E138" s="3768" t="s">
        <v>2310</v>
      </c>
      <c r="F138" s="3768" t="s">
        <v>2310</v>
      </c>
      <c r="G138" s="3769" t="s">
        <v>2310</v>
      </c>
    </row>
    <row r="139" spans="2:7" ht="18" customHeight="1" x14ac:dyDescent="0.3">
      <c r="B139" s="1162" t="s">
        <v>1618</v>
      </c>
      <c r="C139" s="1166" t="s">
        <v>1561</v>
      </c>
      <c r="D139" s="3768"/>
      <c r="E139" s="3768"/>
      <c r="F139" s="3768"/>
      <c r="G139" s="3769"/>
    </row>
    <row r="140" spans="2:7" ht="18" customHeight="1" x14ac:dyDescent="0.3">
      <c r="B140" s="1162" t="s">
        <v>1619</v>
      </c>
      <c r="C140" s="1443" t="s">
        <v>1560</v>
      </c>
      <c r="D140" s="3768"/>
      <c r="E140" s="3768"/>
      <c r="F140" s="3768"/>
      <c r="G140" s="3769"/>
    </row>
    <row r="141" spans="2:7" ht="18" customHeight="1" x14ac:dyDescent="0.3">
      <c r="B141" s="1162" t="s">
        <v>1619</v>
      </c>
      <c r="C141" s="1166" t="s">
        <v>1561</v>
      </c>
      <c r="D141" s="3768"/>
      <c r="E141" s="3768"/>
      <c r="F141" s="3768"/>
      <c r="G141" s="3769"/>
    </row>
    <row r="142" spans="2:7" ht="18" customHeight="1" x14ac:dyDescent="0.3">
      <c r="B142" s="1162" t="s">
        <v>1620</v>
      </c>
      <c r="C142" s="1443" t="s">
        <v>1560</v>
      </c>
      <c r="D142" s="3768" t="s">
        <v>2310</v>
      </c>
      <c r="E142" s="3768" t="s">
        <v>2310</v>
      </c>
      <c r="F142" s="3768" t="s">
        <v>2310</v>
      </c>
      <c r="G142" s="3769" t="s">
        <v>2310</v>
      </c>
    </row>
    <row r="143" spans="2:7" ht="18" customHeight="1" x14ac:dyDescent="0.25">
      <c r="B143" s="1162" t="s">
        <v>1620</v>
      </c>
      <c r="C143" s="1166" t="s">
        <v>1511</v>
      </c>
      <c r="D143" s="3768"/>
      <c r="E143" s="3768" t="s">
        <v>2310</v>
      </c>
      <c r="F143" s="3768" t="s">
        <v>2310</v>
      </c>
      <c r="G143" s="3769" t="s">
        <v>2310</v>
      </c>
    </row>
    <row r="144" spans="2:7" ht="18" customHeight="1" x14ac:dyDescent="0.3">
      <c r="B144" s="1164" t="s">
        <v>1620</v>
      </c>
      <c r="C144" s="1166" t="s">
        <v>1621</v>
      </c>
      <c r="D144" s="3768"/>
      <c r="E144" s="3768"/>
      <c r="F144" s="3768"/>
      <c r="G144" s="3769"/>
    </row>
    <row r="145" spans="2:7" ht="18" customHeight="1" x14ac:dyDescent="0.3">
      <c r="B145" s="1164" t="s">
        <v>1622</v>
      </c>
      <c r="C145" s="1443" t="s">
        <v>1560</v>
      </c>
      <c r="D145" s="3768"/>
      <c r="E145" s="3768"/>
      <c r="F145" s="3768"/>
      <c r="G145" s="3769"/>
    </row>
    <row r="146" spans="2:7" ht="18" customHeight="1" x14ac:dyDescent="0.25">
      <c r="B146" s="1164" t="s">
        <v>1622</v>
      </c>
      <c r="C146" s="1166" t="s">
        <v>1539</v>
      </c>
      <c r="D146" s="3768"/>
      <c r="E146" s="3768"/>
      <c r="F146" s="3768"/>
      <c r="G146" s="3769"/>
    </row>
    <row r="147" spans="2:7" ht="18" customHeight="1" x14ac:dyDescent="0.25">
      <c r="B147" s="1164" t="s">
        <v>1622</v>
      </c>
      <c r="C147" s="1166" t="s">
        <v>1511</v>
      </c>
      <c r="D147" s="3768"/>
      <c r="E147" s="3768"/>
      <c r="F147" s="3768"/>
      <c r="G147" s="3769"/>
    </row>
    <row r="148" spans="2:7" ht="18" customHeight="1" x14ac:dyDescent="0.3">
      <c r="B148" s="1164" t="s">
        <v>1622</v>
      </c>
      <c r="C148" s="1166" t="s">
        <v>1621</v>
      </c>
      <c r="D148" s="3768"/>
      <c r="E148" s="3768"/>
      <c r="F148" s="3768"/>
      <c r="G148" s="3769"/>
    </row>
    <row r="149" spans="2:7" ht="18" customHeight="1" x14ac:dyDescent="0.25">
      <c r="B149" s="1164" t="s">
        <v>1622</v>
      </c>
      <c r="C149" s="1166" t="s">
        <v>1512</v>
      </c>
      <c r="D149" s="3768"/>
      <c r="E149" s="3768"/>
      <c r="F149" s="3768"/>
      <c r="G149" s="3769"/>
    </row>
    <row r="150" spans="2:7" ht="18" customHeight="1" x14ac:dyDescent="0.3">
      <c r="B150" s="1164" t="s">
        <v>1623</v>
      </c>
      <c r="C150" s="1443" t="s">
        <v>1560</v>
      </c>
      <c r="D150" s="3768"/>
      <c r="E150" s="3768"/>
      <c r="F150" s="3768"/>
      <c r="G150" s="3769"/>
    </row>
    <row r="151" spans="2:7" ht="18" customHeight="1" x14ac:dyDescent="0.3">
      <c r="B151" s="1164" t="s">
        <v>1624</v>
      </c>
      <c r="C151" s="1443" t="s">
        <v>1560</v>
      </c>
      <c r="D151" s="3768"/>
      <c r="E151" s="3768"/>
      <c r="F151" s="3768"/>
      <c r="G151" s="3769"/>
    </row>
    <row r="152" spans="2:7" ht="18" customHeight="1" x14ac:dyDescent="0.3">
      <c r="B152" s="1164" t="s">
        <v>1625</v>
      </c>
      <c r="C152" s="1443" t="s">
        <v>1560</v>
      </c>
      <c r="D152" s="3768"/>
      <c r="E152" s="3768"/>
      <c r="F152" s="3768"/>
      <c r="G152" s="3769"/>
    </row>
    <row r="153" spans="2:7" ht="18" customHeight="1" x14ac:dyDescent="0.3">
      <c r="B153" s="1164" t="s">
        <v>1625</v>
      </c>
      <c r="C153" s="1166" t="s">
        <v>1561</v>
      </c>
      <c r="D153" s="3768"/>
      <c r="E153" s="3768"/>
      <c r="F153" s="3768"/>
      <c r="G153" s="3769"/>
    </row>
    <row r="154" spans="2:7" ht="18" customHeight="1" x14ac:dyDescent="0.3">
      <c r="B154" s="1164" t="s">
        <v>1625</v>
      </c>
      <c r="C154" s="1166" t="s">
        <v>1562</v>
      </c>
      <c r="D154" s="3768"/>
      <c r="E154" s="3768"/>
      <c r="F154" s="3768"/>
      <c r="G154" s="3769"/>
    </row>
    <row r="155" spans="2:7" ht="18" customHeight="1" x14ac:dyDescent="0.25">
      <c r="B155" s="1164" t="s">
        <v>1625</v>
      </c>
      <c r="C155" s="1166" t="s">
        <v>1616</v>
      </c>
      <c r="D155" s="3768"/>
      <c r="E155" s="3768"/>
      <c r="F155" s="3768"/>
      <c r="G155" s="3769"/>
    </row>
    <row r="156" spans="2:7" ht="18" customHeight="1" x14ac:dyDescent="0.3">
      <c r="B156" s="1164" t="s">
        <v>1626</v>
      </c>
      <c r="C156" s="1443" t="s">
        <v>1560</v>
      </c>
      <c r="D156" s="3768"/>
      <c r="E156" s="3768"/>
      <c r="F156" s="3768"/>
      <c r="G156" s="3769"/>
    </row>
    <row r="157" spans="2:7" ht="18" customHeight="1" x14ac:dyDescent="0.3">
      <c r="B157" s="1164" t="s">
        <v>1626</v>
      </c>
      <c r="C157" s="1166" t="s">
        <v>1561</v>
      </c>
      <c r="D157" s="3768"/>
      <c r="E157" s="3768"/>
      <c r="F157" s="3768"/>
      <c r="G157" s="3769"/>
    </row>
    <row r="158" spans="2:7" ht="18" customHeight="1" x14ac:dyDescent="0.3">
      <c r="B158" s="1164" t="s">
        <v>1626</v>
      </c>
      <c r="C158" s="1166" t="s">
        <v>1562</v>
      </c>
      <c r="D158" s="3768"/>
      <c r="E158" s="3768"/>
      <c r="F158" s="3768"/>
      <c r="G158" s="3769"/>
    </row>
    <row r="159" spans="2:7" ht="18" customHeight="1" x14ac:dyDescent="0.3">
      <c r="B159" s="1162" t="s">
        <v>1627</v>
      </c>
      <c r="C159" s="1166" t="s">
        <v>1562</v>
      </c>
      <c r="D159" s="3768"/>
      <c r="E159" s="3768"/>
      <c r="F159" s="3768"/>
      <c r="G159" s="3769"/>
    </row>
    <row r="160" spans="2:7" ht="18" customHeight="1" x14ac:dyDescent="0.25">
      <c r="B160" s="1162" t="s">
        <v>1627</v>
      </c>
      <c r="C160" s="1166" t="s">
        <v>1616</v>
      </c>
      <c r="D160" s="3768"/>
      <c r="E160" s="3768"/>
      <c r="F160" s="3768"/>
      <c r="G160" s="3769"/>
    </row>
    <row r="161" spans="2:7" ht="18" customHeight="1" x14ac:dyDescent="0.25">
      <c r="B161" s="1162" t="s">
        <v>1628</v>
      </c>
      <c r="C161" s="1166" t="s">
        <v>1616</v>
      </c>
      <c r="D161" s="3768" t="s">
        <v>2310</v>
      </c>
      <c r="E161" s="3768" t="s">
        <v>2310</v>
      </c>
      <c r="F161" s="3768" t="s">
        <v>2310</v>
      </c>
      <c r="G161" s="3769" t="s">
        <v>2310</v>
      </c>
    </row>
    <row r="162" spans="2:7" ht="18" customHeight="1" x14ac:dyDescent="0.25">
      <c r="B162" s="1162" t="s">
        <v>1629</v>
      </c>
      <c r="C162" s="1166" t="s">
        <v>1616</v>
      </c>
      <c r="D162" s="3768"/>
      <c r="E162" s="3768"/>
      <c r="F162" s="3768"/>
      <c r="G162" s="3769"/>
    </row>
    <row r="163" spans="2:7" ht="18" customHeight="1" x14ac:dyDescent="0.25">
      <c r="B163" s="1162" t="s">
        <v>1630</v>
      </c>
      <c r="C163" s="1166" t="s">
        <v>1616</v>
      </c>
      <c r="D163" s="3768"/>
      <c r="E163" s="3768"/>
      <c r="F163" s="3768"/>
      <c r="G163" s="3769"/>
    </row>
    <row r="164" spans="2:7" ht="18" customHeight="1" x14ac:dyDescent="0.25">
      <c r="B164" s="1162" t="s">
        <v>1631</v>
      </c>
      <c r="C164" s="1166" t="s">
        <v>1616</v>
      </c>
      <c r="D164" s="3768"/>
      <c r="E164" s="3768" t="s">
        <v>2310</v>
      </c>
      <c r="F164" s="3768" t="s">
        <v>2310</v>
      </c>
      <c r="G164" s="3769"/>
    </row>
    <row r="165" spans="2:7" ht="18" customHeight="1" x14ac:dyDescent="0.25">
      <c r="B165" s="1162" t="s">
        <v>1632</v>
      </c>
      <c r="C165" s="1166" t="s">
        <v>1616</v>
      </c>
      <c r="D165" s="3768"/>
      <c r="E165" s="3768"/>
      <c r="F165" s="3768"/>
      <c r="G165" s="3769"/>
    </row>
    <row r="166" spans="2:7" ht="18" customHeight="1" x14ac:dyDescent="0.25">
      <c r="B166" s="1162" t="s">
        <v>1633</v>
      </c>
      <c r="C166" s="1166" t="s">
        <v>1616</v>
      </c>
      <c r="D166" s="3768"/>
      <c r="E166" s="3768"/>
      <c r="F166" s="3768"/>
      <c r="G166" s="3769"/>
    </row>
    <row r="167" spans="2:7" ht="18" customHeight="1" x14ac:dyDescent="0.3">
      <c r="B167" s="1164" t="s">
        <v>1634</v>
      </c>
      <c r="C167" s="1443" t="s">
        <v>1560</v>
      </c>
      <c r="D167" s="3768"/>
      <c r="E167" s="3768"/>
      <c r="F167" s="3768"/>
      <c r="G167" s="3769"/>
    </row>
    <row r="168" spans="2:7" ht="18" customHeight="1" x14ac:dyDescent="0.3">
      <c r="B168" s="1164" t="s">
        <v>1634</v>
      </c>
      <c r="C168" s="1166" t="s">
        <v>1561</v>
      </c>
      <c r="D168" s="3768"/>
      <c r="E168" s="3768"/>
      <c r="F168" s="3768"/>
      <c r="G168" s="3769"/>
    </row>
    <row r="169" spans="2:7" ht="18" customHeight="1" x14ac:dyDescent="0.3">
      <c r="B169" s="1164" t="s">
        <v>1634</v>
      </c>
      <c r="C169" s="1166" t="s">
        <v>1562</v>
      </c>
      <c r="D169" s="3768"/>
      <c r="E169" s="3768"/>
      <c r="F169" s="3768"/>
      <c r="G169" s="3769"/>
    </row>
    <row r="170" spans="2:7" ht="18" customHeight="1" x14ac:dyDescent="0.25">
      <c r="B170" s="1164" t="s">
        <v>1634</v>
      </c>
      <c r="C170" s="1166" t="s">
        <v>1616</v>
      </c>
      <c r="D170" s="3768"/>
      <c r="E170" s="3768"/>
      <c r="F170" s="3768"/>
      <c r="G170" s="3769"/>
    </row>
    <row r="171" spans="2:7" ht="18" customHeight="1" x14ac:dyDescent="0.3">
      <c r="B171" s="1164" t="s">
        <v>1635</v>
      </c>
      <c r="C171" s="1443" t="s">
        <v>1560</v>
      </c>
      <c r="D171" s="3768"/>
      <c r="E171" s="3768"/>
      <c r="F171" s="3768"/>
      <c r="G171" s="3769"/>
    </row>
    <row r="172" spans="2:7" ht="18" customHeight="1" x14ac:dyDescent="0.3">
      <c r="B172" s="1164" t="s">
        <v>1635</v>
      </c>
      <c r="C172" s="1166" t="s">
        <v>1561</v>
      </c>
      <c r="D172" s="3768"/>
      <c r="E172" s="3768"/>
      <c r="F172" s="3768"/>
      <c r="G172" s="3769"/>
    </row>
    <row r="173" spans="2:7" ht="18" customHeight="1" x14ac:dyDescent="0.3">
      <c r="B173" s="1164" t="s">
        <v>1635</v>
      </c>
      <c r="C173" s="1166" t="s">
        <v>1562</v>
      </c>
      <c r="D173" s="3768"/>
      <c r="E173" s="3768"/>
      <c r="F173" s="3768"/>
      <c r="G173" s="3769"/>
    </row>
    <row r="174" spans="2:7" ht="18" customHeight="1" x14ac:dyDescent="0.25">
      <c r="B174" s="1164" t="s">
        <v>1635</v>
      </c>
      <c r="C174" s="1166" t="s">
        <v>1616</v>
      </c>
      <c r="D174" s="3768"/>
      <c r="E174" s="3768"/>
      <c r="F174" s="3768"/>
      <c r="G174" s="3769"/>
    </row>
    <row r="175" spans="2:7" ht="18" customHeight="1" x14ac:dyDescent="0.3">
      <c r="B175" s="1163" t="s">
        <v>1636</v>
      </c>
      <c r="C175" s="1443" t="s">
        <v>1560</v>
      </c>
      <c r="D175" s="3768"/>
      <c r="E175" s="3768"/>
      <c r="F175" s="3768"/>
      <c r="G175" s="3769"/>
    </row>
    <row r="176" spans="2:7" ht="18" customHeight="1" x14ac:dyDescent="0.3">
      <c r="B176" s="1164" t="s">
        <v>1637</v>
      </c>
      <c r="C176" s="1166" t="s">
        <v>1561</v>
      </c>
      <c r="D176" s="3768" t="s">
        <v>2310</v>
      </c>
      <c r="E176" s="3768" t="s">
        <v>2310</v>
      </c>
      <c r="F176" s="3768" t="s">
        <v>2310</v>
      </c>
      <c r="G176" s="3769" t="s">
        <v>2310</v>
      </c>
    </row>
    <row r="177" spans="2:7" ht="18" customHeight="1" x14ac:dyDescent="0.3">
      <c r="B177" s="1164" t="s">
        <v>1638</v>
      </c>
      <c r="C177" s="1166" t="s">
        <v>1561</v>
      </c>
      <c r="D177" s="3768" t="s">
        <v>2310</v>
      </c>
      <c r="E177" s="3768" t="s">
        <v>2310</v>
      </c>
      <c r="F177" s="3768" t="s">
        <v>2310</v>
      </c>
      <c r="G177" s="3769" t="s">
        <v>2310</v>
      </c>
    </row>
    <row r="178" spans="2:7" ht="18" customHeight="1" x14ac:dyDescent="0.3">
      <c r="B178" s="1164" t="s">
        <v>1638</v>
      </c>
      <c r="C178" s="1166" t="s">
        <v>1562</v>
      </c>
      <c r="D178" s="3768"/>
      <c r="E178" s="3768"/>
      <c r="F178" s="3768"/>
      <c r="G178" s="3769"/>
    </row>
    <row r="179" spans="2:7" ht="18" customHeight="1" x14ac:dyDescent="0.3">
      <c r="B179" s="1164" t="s">
        <v>1639</v>
      </c>
      <c r="C179" s="1166" t="s">
        <v>1561</v>
      </c>
      <c r="D179" s="3768"/>
      <c r="E179" s="3768"/>
      <c r="F179" s="3768"/>
      <c r="G179" s="3769"/>
    </row>
    <row r="180" spans="2:7" ht="18" customHeight="1" x14ac:dyDescent="0.3">
      <c r="B180" s="1164" t="s">
        <v>1640</v>
      </c>
      <c r="C180" s="1166" t="s">
        <v>1561</v>
      </c>
      <c r="D180" s="3768"/>
      <c r="E180" s="3768"/>
      <c r="F180" s="3768"/>
      <c r="G180" s="3769"/>
    </row>
    <row r="181" spans="2:7" ht="18" customHeight="1" x14ac:dyDescent="0.3">
      <c r="B181" s="1162" t="s">
        <v>1641</v>
      </c>
      <c r="C181" s="1166" t="s">
        <v>1562</v>
      </c>
      <c r="D181" s="3768" t="s">
        <v>2310</v>
      </c>
      <c r="E181" s="3768" t="s">
        <v>2310</v>
      </c>
      <c r="F181" s="3768" t="s">
        <v>2310</v>
      </c>
      <c r="G181" s="3769" t="s">
        <v>2310</v>
      </c>
    </row>
    <row r="182" spans="2:7" ht="18" customHeight="1" x14ac:dyDescent="0.3">
      <c r="B182" s="1163" t="s">
        <v>1642</v>
      </c>
      <c r="C182" s="1166" t="s">
        <v>1562</v>
      </c>
      <c r="D182" s="3768" t="s">
        <v>2310</v>
      </c>
      <c r="E182" s="3768" t="s">
        <v>2310</v>
      </c>
      <c r="F182" s="3768" t="s">
        <v>2310</v>
      </c>
      <c r="G182" s="3769" t="s">
        <v>2310</v>
      </c>
    </row>
    <row r="183" spans="2:7" ht="18" customHeight="1" x14ac:dyDescent="0.3">
      <c r="B183" s="1162" t="s">
        <v>1643</v>
      </c>
      <c r="C183" s="1166" t="s">
        <v>1561</v>
      </c>
      <c r="D183" s="3768"/>
      <c r="E183" s="3768"/>
      <c r="F183" s="3768"/>
      <c r="G183" s="3769"/>
    </row>
    <row r="184" spans="2:7" ht="18" customHeight="1" x14ac:dyDescent="0.3">
      <c r="B184" s="1162" t="s">
        <v>1643</v>
      </c>
      <c r="C184" s="1166" t="s">
        <v>1562</v>
      </c>
      <c r="D184" s="3768"/>
      <c r="E184" s="3768"/>
      <c r="F184" s="3768"/>
      <c r="G184" s="3769"/>
    </row>
    <row r="185" spans="2:7" ht="18" customHeight="1" x14ac:dyDescent="0.3">
      <c r="B185" s="1162" t="s">
        <v>1644</v>
      </c>
      <c r="C185" s="1166" t="s">
        <v>1561</v>
      </c>
      <c r="D185" s="3768"/>
      <c r="E185" s="3768"/>
      <c r="F185" s="3768"/>
      <c r="G185" s="3769"/>
    </row>
    <row r="186" spans="2:7" ht="18" customHeight="1" x14ac:dyDescent="0.3">
      <c r="B186" s="1162" t="s">
        <v>1644</v>
      </c>
      <c r="C186" s="1166" t="s">
        <v>1562</v>
      </c>
      <c r="D186" s="3768"/>
      <c r="E186" s="3768"/>
      <c r="F186" s="3768"/>
      <c r="G186" s="3769"/>
    </row>
    <row r="187" spans="2:7" ht="18" customHeight="1" x14ac:dyDescent="0.3">
      <c r="B187" s="1162" t="s">
        <v>1645</v>
      </c>
      <c r="C187" s="1443" t="s">
        <v>1560</v>
      </c>
      <c r="D187" s="3768" t="s">
        <v>2310</v>
      </c>
      <c r="E187" s="3768" t="s">
        <v>2310</v>
      </c>
      <c r="F187" s="3768" t="s">
        <v>2310</v>
      </c>
      <c r="G187" s="3769" t="s">
        <v>2310</v>
      </c>
    </row>
    <row r="188" spans="2:7" ht="18" customHeight="1" x14ac:dyDescent="0.3">
      <c r="B188" s="1162" t="s">
        <v>1646</v>
      </c>
      <c r="C188" s="1443" t="s">
        <v>1560</v>
      </c>
      <c r="D188" s="3768" t="s">
        <v>2310</v>
      </c>
      <c r="E188" s="3768" t="s">
        <v>2310</v>
      </c>
      <c r="F188" s="3768" t="s">
        <v>2310</v>
      </c>
      <c r="G188" s="3769" t="s">
        <v>2310</v>
      </c>
    </row>
    <row r="189" spans="2:7" ht="18" customHeight="1" x14ac:dyDescent="0.3">
      <c r="B189" s="1162" t="s">
        <v>1647</v>
      </c>
      <c r="C189" s="1443" t="s">
        <v>1560</v>
      </c>
      <c r="D189" s="3768"/>
      <c r="E189" s="3768"/>
      <c r="F189" s="3768"/>
      <c r="G189" s="3769"/>
    </row>
    <row r="190" spans="2:7" ht="18" customHeight="1" x14ac:dyDescent="0.3">
      <c r="B190" s="1162" t="s">
        <v>1648</v>
      </c>
      <c r="C190" s="1443" t="s">
        <v>1560</v>
      </c>
      <c r="D190" s="3768"/>
      <c r="E190" s="3768"/>
      <c r="F190" s="3768"/>
      <c r="G190" s="3769"/>
    </row>
    <row r="191" spans="2:7" ht="18" customHeight="1" x14ac:dyDescent="0.3">
      <c r="B191" s="1164" t="s">
        <v>1648</v>
      </c>
      <c r="C191" s="1166" t="s">
        <v>1561</v>
      </c>
      <c r="D191" s="3768"/>
      <c r="E191" s="3768"/>
      <c r="F191" s="3768"/>
      <c r="G191" s="3769"/>
    </row>
    <row r="192" spans="2:7" ht="18" customHeight="1" x14ac:dyDescent="0.3">
      <c r="B192" s="1164" t="s">
        <v>1648</v>
      </c>
      <c r="C192" s="1166" t="s">
        <v>1562</v>
      </c>
      <c r="D192" s="3768"/>
      <c r="E192" s="3768"/>
      <c r="F192" s="3768"/>
      <c r="G192" s="3769"/>
    </row>
    <row r="193" spans="2:7" ht="18" customHeight="1" x14ac:dyDescent="0.3">
      <c r="B193" s="1163" t="s">
        <v>1649</v>
      </c>
      <c r="C193" s="1443" t="s">
        <v>1560</v>
      </c>
      <c r="D193" s="3768"/>
      <c r="E193" s="3768"/>
      <c r="F193" s="3768"/>
      <c r="G193" s="3769"/>
    </row>
    <row r="194" spans="2:7" ht="18" customHeight="1" x14ac:dyDescent="0.3">
      <c r="B194" s="1164" t="s">
        <v>1650</v>
      </c>
      <c r="C194" s="1443" t="s">
        <v>1560</v>
      </c>
      <c r="D194" s="3768" t="s">
        <v>2310</v>
      </c>
      <c r="E194" s="3768" t="s">
        <v>2310</v>
      </c>
      <c r="F194" s="3768"/>
      <c r="G194" s="3769" t="s">
        <v>2310</v>
      </c>
    </row>
    <row r="195" spans="2:7" ht="18" customHeight="1" x14ac:dyDescent="0.3">
      <c r="B195" s="1164" t="s">
        <v>1651</v>
      </c>
      <c r="C195" s="1443" t="s">
        <v>1560</v>
      </c>
      <c r="D195" s="3768" t="s">
        <v>2310</v>
      </c>
      <c r="E195" s="3768" t="s">
        <v>2310</v>
      </c>
      <c r="F195" s="3768"/>
      <c r="G195" s="3769" t="s">
        <v>2310</v>
      </c>
    </row>
    <row r="196" spans="2:7" ht="18" customHeight="1" x14ac:dyDescent="0.3">
      <c r="B196" s="1164" t="s">
        <v>1652</v>
      </c>
      <c r="C196" s="1443" t="s">
        <v>1560</v>
      </c>
      <c r="D196" s="3768" t="s">
        <v>2310</v>
      </c>
      <c r="E196" s="3768" t="s">
        <v>2310</v>
      </c>
      <c r="F196" s="3768"/>
      <c r="G196" s="3769" t="s">
        <v>2310</v>
      </c>
    </row>
    <row r="197" spans="2:7" ht="18" customHeight="1" x14ac:dyDescent="0.3">
      <c r="B197" s="1164" t="s">
        <v>1653</v>
      </c>
      <c r="C197" s="1443" t="s">
        <v>1560</v>
      </c>
      <c r="D197" s="3768" t="s">
        <v>2310</v>
      </c>
      <c r="E197" s="3768" t="s">
        <v>2310</v>
      </c>
      <c r="F197" s="3768"/>
      <c r="G197" s="3769" t="s">
        <v>2310</v>
      </c>
    </row>
    <row r="198" spans="2:7" ht="18" customHeight="1" x14ac:dyDescent="0.3">
      <c r="B198" s="1164" t="s">
        <v>1654</v>
      </c>
      <c r="C198" s="1443" t="s">
        <v>1560</v>
      </c>
      <c r="D198" s="3768" t="s">
        <v>2310</v>
      </c>
      <c r="E198" s="3768" t="s">
        <v>2310</v>
      </c>
      <c r="F198" s="3768"/>
      <c r="G198" s="3769" t="s">
        <v>2310</v>
      </c>
    </row>
    <row r="199" spans="2:7" ht="18" customHeight="1" x14ac:dyDescent="0.3">
      <c r="B199" s="1164" t="s">
        <v>1655</v>
      </c>
      <c r="C199" s="1443" t="s">
        <v>1560</v>
      </c>
      <c r="D199" s="3768" t="s">
        <v>2310</v>
      </c>
      <c r="E199" s="3768" t="s">
        <v>2310</v>
      </c>
      <c r="F199" s="3768"/>
      <c r="G199" s="3769" t="s">
        <v>2310</v>
      </c>
    </row>
    <row r="200" spans="2:7" ht="18" customHeight="1" x14ac:dyDescent="0.3">
      <c r="B200" s="1164" t="s">
        <v>1656</v>
      </c>
      <c r="C200" s="1443" t="s">
        <v>1560</v>
      </c>
      <c r="D200" s="3768"/>
      <c r="E200" s="3768"/>
      <c r="F200" s="3768"/>
      <c r="G200" s="3769"/>
    </row>
    <row r="201" spans="2:7" ht="18" customHeight="1" x14ac:dyDescent="0.3">
      <c r="B201" s="1164" t="s">
        <v>1657</v>
      </c>
      <c r="C201" s="1443" t="s">
        <v>1560</v>
      </c>
      <c r="D201" s="3768"/>
      <c r="E201" s="3768"/>
      <c r="F201" s="3768"/>
      <c r="G201" s="3769"/>
    </row>
    <row r="202" spans="2:7" ht="18" customHeight="1" x14ac:dyDescent="0.3">
      <c r="B202" s="1164" t="s">
        <v>1658</v>
      </c>
      <c r="C202" s="1443" t="s">
        <v>1560</v>
      </c>
      <c r="D202" s="3768"/>
      <c r="E202" s="3768" t="s">
        <v>2310</v>
      </c>
      <c r="F202" s="3768"/>
      <c r="G202" s="3769" t="s">
        <v>2310</v>
      </c>
    </row>
    <row r="203" spans="2:7" ht="18" customHeight="1" x14ac:dyDescent="0.3">
      <c r="B203" s="1164" t="s">
        <v>1659</v>
      </c>
      <c r="C203" s="1443" t="s">
        <v>1560</v>
      </c>
      <c r="D203" s="3768"/>
      <c r="E203" s="3768"/>
      <c r="F203" s="3768"/>
      <c r="G203" s="3769"/>
    </row>
    <row r="204" spans="2:7" ht="18" customHeight="1" x14ac:dyDescent="0.3">
      <c r="B204" s="1164" t="s">
        <v>1660</v>
      </c>
      <c r="C204" s="1443" t="s">
        <v>1560</v>
      </c>
      <c r="D204" s="3768"/>
      <c r="E204" s="3768"/>
      <c r="F204" s="3768"/>
      <c r="G204" s="3769"/>
    </row>
    <row r="205" spans="2:7" ht="18" customHeight="1" x14ac:dyDescent="0.3">
      <c r="B205" s="1164" t="s">
        <v>1661</v>
      </c>
      <c r="C205" s="1443" t="s">
        <v>1560</v>
      </c>
      <c r="D205" s="3768" t="s">
        <v>2310</v>
      </c>
      <c r="E205" s="3768" t="s">
        <v>2310</v>
      </c>
      <c r="F205" s="3768"/>
      <c r="G205" s="3769" t="s">
        <v>2310</v>
      </c>
    </row>
    <row r="206" spans="2:7" ht="18" customHeight="1" x14ac:dyDescent="0.3">
      <c r="B206" s="1164" t="s">
        <v>1662</v>
      </c>
      <c r="C206" s="1443" t="s">
        <v>1560</v>
      </c>
      <c r="D206" s="3768"/>
      <c r="E206" s="3768"/>
      <c r="F206" s="3768"/>
      <c r="G206" s="3769"/>
    </row>
    <row r="207" spans="2:7" ht="18" customHeight="1" x14ac:dyDescent="0.3">
      <c r="B207" s="1164" t="s">
        <v>1663</v>
      </c>
      <c r="C207" s="1443" t="s">
        <v>1560</v>
      </c>
      <c r="D207" s="3768"/>
      <c r="E207" s="3768"/>
      <c r="F207" s="3768"/>
      <c r="G207" s="3769"/>
    </row>
    <row r="208" spans="2:7" ht="18" customHeight="1" x14ac:dyDescent="0.3">
      <c r="B208" s="1162" t="s">
        <v>1664</v>
      </c>
      <c r="C208" s="1443" t="s">
        <v>1560</v>
      </c>
      <c r="D208" s="3768" t="s">
        <v>2310</v>
      </c>
      <c r="E208" s="3768" t="s">
        <v>2310</v>
      </c>
      <c r="F208" s="3768"/>
      <c r="G208" s="3769" t="s">
        <v>2310</v>
      </c>
    </row>
    <row r="209" spans="2:7" ht="18" customHeight="1" x14ac:dyDescent="0.3">
      <c r="B209" s="1163" t="s">
        <v>1914</v>
      </c>
      <c r="C209" s="1166" t="s">
        <v>1562</v>
      </c>
      <c r="D209" s="3768"/>
      <c r="E209" s="3768"/>
      <c r="F209" s="3768"/>
      <c r="G209" s="3769"/>
    </row>
    <row r="210" spans="2:7" ht="18" customHeight="1" x14ac:dyDescent="0.3">
      <c r="B210" s="1163" t="s">
        <v>1665</v>
      </c>
      <c r="C210" s="1443" t="s">
        <v>1560</v>
      </c>
      <c r="D210" s="3768"/>
      <c r="E210" s="3768"/>
      <c r="F210" s="3768"/>
      <c r="G210" s="3769"/>
    </row>
    <row r="211" spans="2:7" ht="18" customHeight="1" x14ac:dyDescent="0.3">
      <c r="B211" s="1163" t="s">
        <v>1665</v>
      </c>
      <c r="C211" s="1166" t="s">
        <v>1561</v>
      </c>
      <c r="D211" s="3768" t="s">
        <v>2310</v>
      </c>
      <c r="E211" s="3768" t="s">
        <v>2310</v>
      </c>
      <c r="F211" s="3768"/>
      <c r="G211" s="3769" t="s">
        <v>2310</v>
      </c>
    </row>
    <row r="212" spans="2:7" ht="18" customHeight="1" x14ac:dyDescent="0.3">
      <c r="B212" s="1163" t="s">
        <v>1665</v>
      </c>
      <c r="C212" s="1166" t="s">
        <v>1562</v>
      </c>
      <c r="D212" s="3768"/>
      <c r="E212" s="3768"/>
      <c r="F212" s="3768"/>
      <c r="G212" s="3769"/>
    </row>
    <row r="213" spans="2:7" ht="18" customHeight="1" x14ac:dyDescent="0.3">
      <c r="B213" s="1165" t="s">
        <v>1915</v>
      </c>
      <c r="C213" s="1166" t="s">
        <v>1562</v>
      </c>
      <c r="D213" s="3768"/>
      <c r="E213" s="3768"/>
      <c r="F213" s="3768"/>
      <c r="G213" s="3769"/>
    </row>
    <row r="214" spans="2:7" ht="18" customHeight="1" x14ac:dyDescent="0.3">
      <c r="B214" s="1165" t="s">
        <v>1666</v>
      </c>
      <c r="C214" s="1443" t="s">
        <v>1560</v>
      </c>
      <c r="D214" s="3768"/>
      <c r="E214" s="3768"/>
      <c r="F214" s="3768"/>
      <c r="G214" s="3769"/>
    </row>
    <row r="215" spans="2:7" ht="18" customHeight="1" x14ac:dyDescent="0.3">
      <c r="B215" s="1164" t="s">
        <v>1666</v>
      </c>
      <c r="C215" s="1166" t="s">
        <v>1561</v>
      </c>
      <c r="D215" s="3768" t="s">
        <v>2310</v>
      </c>
      <c r="E215" s="3768" t="s">
        <v>2310</v>
      </c>
      <c r="F215" s="3768"/>
      <c r="G215" s="3769" t="s">
        <v>2310</v>
      </c>
    </row>
    <row r="216" spans="2:7" ht="18" customHeight="1" x14ac:dyDescent="0.3">
      <c r="B216" s="1164" t="s">
        <v>1666</v>
      </c>
      <c r="C216" s="1166" t="s">
        <v>1562</v>
      </c>
      <c r="D216" s="3768" t="s">
        <v>2310</v>
      </c>
      <c r="E216" s="3768"/>
      <c r="F216" s="3768"/>
      <c r="G216" s="3769" t="s">
        <v>2310</v>
      </c>
    </row>
    <row r="217" spans="2:7" ht="18" customHeight="1" x14ac:dyDescent="0.3">
      <c r="B217" s="1165" t="s">
        <v>1667</v>
      </c>
      <c r="C217" s="1443" t="s">
        <v>1560</v>
      </c>
      <c r="D217" s="3768"/>
      <c r="E217" s="3768"/>
      <c r="F217" s="3768"/>
      <c r="G217" s="3769"/>
    </row>
    <row r="218" spans="2:7" ht="18" customHeight="1" x14ac:dyDescent="0.3">
      <c r="B218" s="1165" t="s">
        <v>1667</v>
      </c>
      <c r="C218" s="1166" t="s">
        <v>1561</v>
      </c>
      <c r="D218" s="3768"/>
      <c r="E218" s="3768"/>
      <c r="F218" s="3768"/>
      <c r="G218" s="3769"/>
    </row>
    <row r="219" spans="2:7" ht="18" customHeight="1" x14ac:dyDescent="0.3">
      <c r="B219" s="1165" t="s">
        <v>1667</v>
      </c>
      <c r="C219" s="1166" t="s">
        <v>1562</v>
      </c>
      <c r="D219" s="3768"/>
      <c r="E219" s="3768"/>
      <c r="F219" s="3768"/>
      <c r="G219" s="3769"/>
    </row>
    <row r="220" spans="2:7" ht="18" customHeight="1" x14ac:dyDescent="0.3">
      <c r="B220" s="1163" t="s">
        <v>1668</v>
      </c>
      <c r="C220" s="1443" t="s">
        <v>1560</v>
      </c>
      <c r="D220" s="3768"/>
      <c r="E220" s="3768"/>
      <c r="F220" s="3768"/>
      <c r="G220" s="3769"/>
    </row>
    <row r="221" spans="2:7" ht="18" customHeight="1" x14ac:dyDescent="0.3">
      <c r="B221" s="1164" t="s">
        <v>1669</v>
      </c>
      <c r="C221" s="1166" t="s">
        <v>1561</v>
      </c>
      <c r="D221" s="3768" t="s">
        <v>2310</v>
      </c>
      <c r="E221" s="3768" t="s">
        <v>2310</v>
      </c>
      <c r="F221" s="3768" t="s">
        <v>2310</v>
      </c>
      <c r="G221" s="3769" t="s">
        <v>2310</v>
      </c>
    </row>
    <row r="222" spans="2:7" ht="18" customHeight="1" x14ac:dyDescent="0.3">
      <c r="B222" s="1164" t="s">
        <v>1670</v>
      </c>
      <c r="C222" s="1166" t="s">
        <v>1561</v>
      </c>
      <c r="D222" s="3768"/>
      <c r="E222" s="3768"/>
      <c r="F222" s="3768"/>
      <c r="G222" s="3769"/>
    </row>
    <row r="223" spans="2:7" ht="18" customHeight="1" x14ac:dyDescent="0.3">
      <c r="B223" s="1164" t="s">
        <v>1670</v>
      </c>
      <c r="C223" s="1166" t="s">
        <v>1562</v>
      </c>
      <c r="D223" s="3768"/>
      <c r="E223" s="3768"/>
      <c r="F223" s="3768"/>
      <c r="G223" s="3769"/>
    </row>
    <row r="224" spans="2:7" ht="18" customHeight="1" x14ac:dyDescent="0.3">
      <c r="B224" s="1164" t="s">
        <v>1671</v>
      </c>
      <c r="C224" s="1443" t="s">
        <v>1560</v>
      </c>
      <c r="D224" s="3768"/>
      <c r="E224" s="3768"/>
      <c r="F224" s="3768"/>
      <c r="G224" s="3769"/>
    </row>
    <row r="225" spans="2:7" ht="18" customHeight="1" x14ac:dyDescent="0.3">
      <c r="B225" s="1164" t="s">
        <v>1671</v>
      </c>
      <c r="C225" s="1166" t="s">
        <v>1561</v>
      </c>
      <c r="D225" s="3768"/>
      <c r="E225" s="3768"/>
      <c r="F225" s="3768"/>
      <c r="G225" s="3769"/>
    </row>
    <row r="226" spans="2:7" ht="18" customHeight="1" x14ac:dyDescent="0.3">
      <c r="B226" s="1164" t="s">
        <v>1671</v>
      </c>
      <c r="C226" s="1166" t="s">
        <v>1562</v>
      </c>
      <c r="D226" s="3768"/>
      <c r="E226" s="3768"/>
      <c r="F226" s="3768"/>
      <c r="G226" s="3769"/>
    </row>
    <row r="227" spans="2:7" ht="18" customHeight="1" x14ac:dyDescent="0.3">
      <c r="B227" s="1162" t="s">
        <v>1672</v>
      </c>
      <c r="C227" s="1166" t="s">
        <v>1561</v>
      </c>
      <c r="D227" s="3768" t="s">
        <v>2310</v>
      </c>
      <c r="E227" s="3768" t="s">
        <v>2310</v>
      </c>
      <c r="F227" s="3768" t="s">
        <v>2310</v>
      </c>
      <c r="G227" s="3769" t="s">
        <v>2310</v>
      </c>
    </row>
    <row r="228" spans="2:7" ht="18" customHeight="1" x14ac:dyDescent="0.3">
      <c r="B228" s="1162" t="s">
        <v>1672</v>
      </c>
      <c r="C228" s="1166" t="s">
        <v>1562</v>
      </c>
      <c r="D228" s="3768"/>
      <c r="E228" s="3768"/>
      <c r="F228" s="3768"/>
      <c r="G228" s="3769"/>
    </row>
    <row r="229" spans="2:7" ht="18" customHeight="1" x14ac:dyDescent="0.3">
      <c r="B229" s="1163" t="s">
        <v>1673</v>
      </c>
      <c r="C229" s="1443" t="s">
        <v>1560</v>
      </c>
      <c r="D229" s="3768"/>
      <c r="E229" s="3768"/>
      <c r="F229" s="3768"/>
      <c r="G229" s="3769"/>
    </row>
    <row r="230" spans="2:7" ht="18" customHeight="1" x14ac:dyDescent="0.3">
      <c r="B230" s="1163" t="s">
        <v>1673</v>
      </c>
      <c r="C230" s="1166" t="s">
        <v>1561</v>
      </c>
      <c r="D230" s="3768"/>
      <c r="E230" s="3768"/>
      <c r="F230" s="3768"/>
      <c r="G230" s="3769"/>
    </row>
    <row r="231" spans="2:7" ht="18" customHeight="1" x14ac:dyDescent="0.3">
      <c r="B231" s="1163" t="s">
        <v>1674</v>
      </c>
      <c r="C231" s="1443" t="s">
        <v>1560</v>
      </c>
      <c r="D231" s="3768"/>
      <c r="E231" s="3768"/>
      <c r="F231" s="3768"/>
      <c r="G231" s="3769"/>
    </row>
    <row r="232" spans="2:7" ht="18" customHeight="1" x14ac:dyDescent="0.3">
      <c r="B232" s="1163" t="s">
        <v>1675</v>
      </c>
      <c r="C232" s="1166" t="s">
        <v>1560</v>
      </c>
      <c r="D232" s="3768"/>
      <c r="E232" s="3768"/>
      <c r="F232" s="3768"/>
      <c r="G232" s="3769"/>
    </row>
    <row r="233" spans="2:7" ht="18" customHeight="1" x14ac:dyDescent="0.3">
      <c r="B233" s="1163" t="s">
        <v>1675</v>
      </c>
      <c r="C233" s="1166" t="s">
        <v>1561</v>
      </c>
      <c r="D233" s="3768"/>
      <c r="E233" s="3768"/>
      <c r="F233" s="3768"/>
      <c r="G233" s="3769"/>
    </row>
    <row r="234" spans="2:7" ht="18" customHeight="1" x14ac:dyDescent="0.3">
      <c r="B234" s="1163" t="s">
        <v>1675</v>
      </c>
      <c r="C234" s="1166" t="s">
        <v>1562</v>
      </c>
      <c r="D234" s="3768"/>
      <c r="E234" s="3768"/>
      <c r="F234" s="3768"/>
      <c r="G234" s="3769"/>
    </row>
    <row r="235" spans="2:7" ht="18" customHeight="1" x14ac:dyDescent="0.25">
      <c r="B235" s="1163" t="s">
        <v>1675</v>
      </c>
      <c r="C235" s="1166" t="s">
        <v>1616</v>
      </c>
      <c r="D235" s="3768"/>
      <c r="E235" s="3768"/>
      <c r="F235" s="3768"/>
      <c r="G235" s="3769"/>
    </row>
    <row r="236" spans="2:7" ht="18" customHeight="1" thickBot="1" x14ac:dyDescent="0.35">
      <c r="B236" s="1404" t="s">
        <v>1676</v>
      </c>
      <c r="C236" s="1444" t="s">
        <v>1560</v>
      </c>
      <c r="D236" s="3770"/>
      <c r="E236" s="3770"/>
      <c r="F236" s="3770"/>
      <c r="G236" s="3771"/>
    </row>
    <row r="237" spans="2:7" x14ac:dyDescent="0.25">
      <c r="B237" s="1"/>
      <c r="C237" s="1"/>
      <c r="D237" s="1"/>
      <c r="E237" s="1"/>
      <c r="F237" s="1"/>
      <c r="G237" s="1"/>
    </row>
    <row r="238" spans="2:7" ht="13.8" x14ac:dyDescent="0.25">
      <c r="B238" s="1933"/>
      <c r="C238" s="693"/>
      <c r="D238" s="693"/>
      <c r="E238" s="693"/>
      <c r="F238" s="693"/>
      <c r="G238" s="693"/>
    </row>
    <row r="239" spans="2:7" x14ac:dyDescent="0.25">
      <c r="B239" s="1934"/>
      <c r="C239" s="968"/>
      <c r="D239" s="969"/>
      <c r="E239" s="969"/>
      <c r="F239" s="969"/>
      <c r="G239" s="969"/>
    </row>
    <row r="245" spans="2:20" ht="13.8" thickBot="1" x14ac:dyDescent="0.3"/>
    <row r="246" spans="2:20" ht="15.6" x14ac:dyDescent="0.25">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6" x14ac:dyDescent="0.25">
      <c r="B247" s="978"/>
      <c r="C247" s="979"/>
      <c r="D247" s="979"/>
      <c r="E247" s="979"/>
      <c r="F247" s="979"/>
      <c r="G247" s="980"/>
      <c r="H247" s="738"/>
      <c r="I247" s="738"/>
      <c r="J247" s="738"/>
      <c r="K247" s="738"/>
      <c r="L247" s="738"/>
      <c r="M247" s="738"/>
      <c r="N247" s="738"/>
      <c r="O247" s="738"/>
      <c r="P247" s="738"/>
      <c r="Q247" s="738"/>
      <c r="R247" s="738"/>
      <c r="S247" s="738"/>
      <c r="T247" s="738"/>
    </row>
    <row r="248" spans="2:20" ht="15.6" x14ac:dyDescent="0.25">
      <c r="B248" s="978"/>
      <c r="C248" s="979"/>
      <c r="D248" s="979"/>
      <c r="E248" s="979"/>
      <c r="F248" s="979"/>
      <c r="G248" s="980"/>
      <c r="H248" s="738"/>
      <c r="I248" s="738"/>
      <c r="J248" s="738"/>
      <c r="K248" s="738"/>
      <c r="L248" s="738"/>
      <c r="M248" s="738"/>
      <c r="N248" s="738"/>
      <c r="O248" s="738"/>
      <c r="P248" s="738"/>
      <c r="Q248" s="738"/>
      <c r="R248" s="738"/>
      <c r="S248" s="738"/>
      <c r="T248" s="738"/>
    </row>
    <row r="249" spans="2:20" ht="16.2" thickBot="1" x14ac:dyDescent="0.3">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3">
      <c r="B250" s="4488" t="s">
        <v>2311</v>
      </c>
      <c r="C250" s="4489"/>
      <c r="D250" s="4489"/>
      <c r="E250" s="4489"/>
      <c r="F250" s="4489"/>
      <c r="G250" s="4490"/>
      <c r="H250" s="738"/>
      <c r="I250" s="738"/>
      <c r="J250" s="738"/>
      <c r="K250" s="738"/>
      <c r="L250" s="738"/>
      <c r="M250" s="738"/>
      <c r="N250" s="738"/>
      <c r="O250" s="738"/>
      <c r="P250" s="738"/>
      <c r="Q250" s="738"/>
      <c r="R250" s="738"/>
      <c r="S250" s="738"/>
      <c r="T250" s="738"/>
    </row>
    <row r="251" spans="2:20" ht="15.6" x14ac:dyDescent="0.25">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5"/>
  <cols>
    <col min="1" max="1" width="1.88671875" customWidth="1"/>
    <col min="2" max="2" width="57.109375" customWidth="1"/>
    <col min="3" max="6" width="12.88671875" customWidth="1"/>
    <col min="7" max="8" width="13.88671875" customWidth="1"/>
    <col min="9" max="12" width="12.88671875" customWidth="1"/>
    <col min="13" max="14" width="13.88671875" customWidth="1"/>
    <col min="15" max="18" width="12.88671875" customWidth="1"/>
    <col min="19" max="20" width="13.88671875" customWidth="1"/>
    <col min="21" max="21" width="10.88671875" customWidth="1"/>
  </cols>
  <sheetData>
    <row r="1" spans="2:20" ht="15.75" customHeight="1" x14ac:dyDescent="0.25">
      <c r="B1" s="213" t="s">
        <v>1677</v>
      </c>
      <c r="C1" s="213"/>
      <c r="D1" s="213"/>
      <c r="E1" s="213"/>
      <c r="F1" s="694"/>
      <c r="G1" s="694"/>
      <c r="H1" s="694"/>
      <c r="I1" s="695"/>
      <c r="J1" s="695"/>
      <c r="K1" s="695"/>
      <c r="L1" s="695"/>
      <c r="M1" s="695"/>
      <c r="N1" s="695"/>
      <c r="O1" s="695"/>
      <c r="P1" s="696"/>
      <c r="Q1" s="696"/>
      <c r="S1" s="697"/>
      <c r="T1" s="14" t="s">
        <v>2521</v>
      </c>
    </row>
    <row r="2" spans="2:20" ht="15.75" customHeight="1" x14ac:dyDescent="0.25">
      <c r="B2" s="3" t="s">
        <v>616</v>
      </c>
      <c r="C2" s="213" t="s">
        <v>1678</v>
      </c>
      <c r="D2" s="213"/>
      <c r="E2" s="213">
        <v>1990</v>
      </c>
      <c r="F2" s="695"/>
      <c r="G2" s="695"/>
      <c r="H2" s="695"/>
      <c r="I2" s="695"/>
      <c r="J2" s="695"/>
      <c r="K2" s="695"/>
      <c r="L2" s="695"/>
      <c r="M2" s="695"/>
      <c r="N2" s="695"/>
      <c r="O2" s="695"/>
      <c r="P2" s="695"/>
      <c r="Q2" s="695"/>
      <c r="R2" s="695"/>
      <c r="S2" s="695"/>
      <c r="T2" s="14" t="s">
        <v>2522</v>
      </c>
    </row>
    <row r="3" spans="2:20" ht="15.75" customHeight="1" x14ac:dyDescent="0.25">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5">
      <c r="B4" s="695"/>
      <c r="C4" s="695"/>
      <c r="D4" s="695"/>
      <c r="E4" s="695"/>
      <c r="F4" s="695"/>
      <c r="G4" s="695"/>
      <c r="H4" s="695"/>
      <c r="I4" s="695"/>
      <c r="J4" s="695"/>
      <c r="K4" s="695"/>
      <c r="L4" s="695"/>
      <c r="M4" s="695"/>
      <c r="N4" s="695"/>
      <c r="O4" s="695"/>
      <c r="P4" s="695"/>
      <c r="Q4" s="695"/>
      <c r="R4" s="695"/>
      <c r="S4" s="695"/>
      <c r="T4" s="2"/>
    </row>
    <row r="5" spans="2:20" ht="15.75" hidden="1" customHeight="1" x14ac:dyDescent="0.25">
      <c r="B5" s="695"/>
      <c r="C5" s="695"/>
      <c r="D5" s="695"/>
      <c r="E5" s="695"/>
      <c r="F5" s="695"/>
      <c r="G5" s="695"/>
      <c r="H5" s="695"/>
      <c r="I5" s="695"/>
      <c r="J5" s="695"/>
      <c r="K5" s="695"/>
      <c r="L5" s="695"/>
      <c r="M5" s="695"/>
      <c r="N5" s="695"/>
      <c r="O5" s="695"/>
      <c r="P5" s="695"/>
      <c r="Q5" s="695"/>
      <c r="R5" s="695"/>
      <c r="S5" s="695"/>
      <c r="T5" s="2"/>
    </row>
    <row r="6" spans="2:20" ht="16.5" customHeight="1" thickBot="1" x14ac:dyDescent="0.3">
      <c r="B6" s="2446" t="s">
        <v>64</v>
      </c>
    </row>
    <row r="7" spans="2:20" ht="15.75" customHeight="1" x14ac:dyDescent="0.25">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5">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3">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3">
      <c r="B10" s="1940" t="s">
        <v>1475</v>
      </c>
      <c r="C10" s="4193">
        <f>SUM(C11,C22,C30,C41,C50,C56)</f>
        <v>454227.61777467997</v>
      </c>
      <c r="D10" s="4193">
        <f>SUM(D11,D22,D30,D41,D50,D56)</f>
        <v>451741.62831893959</v>
      </c>
      <c r="E10" s="3840">
        <f>IF(D10="NO",IF(C10="NO","NA",-C10),IF(C10="NO",D10,D10-C10))</f>
        <v>-2485.989455740375</v>
      </c>
      <c r="F10" s="3838">
        <f>IF(E10="NA","NA",E10/C10*100)</f>
        <v>-0.54730037506736373</v>
      </c>
      <c r="G10" s="3841">
        <f>IF(E10="NA","NA",E10/Table8s2!$G$35*100)</f>
        <v>-0.56750396244032764</v>
      </c>
      <c r="H10" s="3842">
        <f>IF(E10="NA","NA",E10/Table8s2!$G$34*100)</f>
        <v>-0.39071380721668142</v>
      </c>
      <c r="I10" s="4194">
        <f>SUM(I11,I22,I30,I41,I50,I56)</f>
        <v>162255.1114465631</v>
      </c>
      <c r="J10" s="4193">
        <f>SUM(J11,J22,J30,J41,J50,J56)</f>
        <v>160497.86711497078</v>
      </c>
      <c r="K10" s="3840">
        <f t="shared" ref="K10:K12" si="0">IF(J10="NO",IF(I10="NO","NA",-I10),IF(I10="NO",J10,J10-I10))</f>
        <v>-1757.2443315923156</v>
      </c>
      <c r="L10" s="3838">
        <f t="shared" ref="L10:L12" si="1">IF(K10="NA","NA",K10/I10*100)</f>
        <v>-1.0830132350998658</v>
      </c>
      <c r="M10" s="3841">
        <f>IF(K10="NA","NA",K10/Table8s2!$G$35*100)</f>
        <v>-0.40114535435849069</v>
      </c>
      <c r="N10" s="3842">
        <f>IF(K10="NA","NA",K10/Table8s2!$G$34*100)</f>
        <v>-0.27617961991793311</v>
      </c>
      <c r="O10" s="4194">
        <f>SUM(O11,O22,O30,O41,O50,O56)</f>
        <v>18588.48705385227</v>
      </c>
      <c r="P10" s="4193">
        <f>SUM(P11,P22,P30,P41,P50,P56)</f>
        <v>18464.63523886554</v>
      </c>
      <c r="Q10" s="3840">
        <f t="shared" ref="Q10:Q12" si="2">IF(P10="NO",IF(O10="NO","NA",-O10),IF(O10="NO",P10,P10-O10))</f>
        <v>-123.85181498673046</v>
      </c>
      <c r="R10" s="3838">
        <f t="shared" ref="R10:R12" si="3">IF(Q10="NA","NA",Q10/O10*100)</f>
        <v>-0.66628238558588582</v>
      </c>
      <c r="S10" s="3841">
        <f>IF(Q10="NA","NA",Q10/Table8s2!$G$35*100)</f>
        <v>-2.8273006387093971E-2</v>
      </c>
      <c r="T10" s="3842">
        <f>IF(Q10="NA","NA",Q10/Table8s2!$G$34*100)</f>
        <v>-1.9465333633022129E-2</v>
      </c>
    </row>
    <row r="11" spans="2:20" ht="18" customHeight="1" x14ac:dyDescent="0.25">
      <c r="B11" s="1405" t="s">
        <v>1476</v>
      </c>
      <c r="C11" s="3839">
        <f>SUM(C12,C18,C21)</f>
        <v>258947.04465704245</v>
      </c>
      <c r="D11" s="3839">
        <f>Summary2!C11</f>
        <v>258951.78460704247</v>
      </c>
      <c r="E11" s="3843">
        <f t="shared" ref="E11:E38" si="4">IF(D11="NO",IF(C11="NO","NA",-C11),IF(C11="NO",D11,D11-C11))</f>
        <v>4.7399500000174157</v>
      </c>
      <c r="F11" s="3839">
        <f t="shared" ref="F11:F38" si="5">IF(E11="NA","NA",E11/C11*100)</f>
        <v>1.8304707845942605E-3</v>
      </c>
      <c r="G11" s="3844">
        <f>IF(E11="NA","NA",E11/Table8s2!$G$35*100)</f>
        <v>1.0820401512836662E-3</v>
      </c>
      <c r="H11" s="3845">
        <f>IF(E11="NA","NA",E11/Table8s2!$G$34*100)</f>
        <v>7.4496048494781869E-4</v>
      </c>
      <c r="I11" s="3846">
        <f>SUM(I12,I18,I21)</f>
        <v>36689.062189265882</v>
      </c>
      <c r="J11" s="3839">
        <f>Summary2!D11</f>
        <v>36689.350547660688</v>
      </c>
      <c r="K11" s="3843">
        <f t="shared" si="0"/>
        <v>0.28835839480598224</v>
      </c>
      <c r="L11" s="3839">
        <f t="shared" si="1"/>
        <v>7.8595193662471768E-4</v>
      </c>
      <c r="M11" s="3844">
        <f>IF(K11="NA","NA",K11/Table8s2!$G$35*100)</f>
        <v>6.5826719931356612E-5</v>
      </c>
      <c r="N11" s="3845">
        <f>IF(K11="NA","NA",K11/Table8s2!$G$34*100)</f>
        <v>4.5320226929113135E-5</v>
      </c>
      <c r="O11" s="3846">
        <f>SUM(O12,O18,O21)</f>
        <v>1744.3016264805615</v>
      </c>
      <c r="P11" s="3839">
        <f>Summary2!E11</f>
        <v>1744.2897014805612</v>
      </c>
      <c r="Q11" s="3843">
        <f t="shared" si="2"/>
        <v>-1.1925000000246655E-2</v>
      </c>
      <c r="R11" s="3839">
        <f t="shared" si="3"/>
        <v>-6.8365469705531734E-4</v>
      </c>
      <c r="S11" s="3844">
        <f>IF(Q11="NA","NA",Q11/Table8s2!$G$35*100)</f>
        <v>-2.7222499824422619E-6</v>
      </c>
      <c r="T11" s="3845">
        <f>IF(Q11="NA","NA",Q11/Table8s2!$G$34*100)</f>
        <v>-1.8742083319768872E-6</v>
      </c>
    </row>
    <row r="12" spans="2:20" ht="18" customHeight="1" x14ac:dyDescent="0.25">
      <c r="B12" s="620" t="s">
        <v>131</v>
      </c>
      <c r="C12" s="3839">
        <f>SUM(C13:C17)</f>
        <v>251674.54877254472</v>
      </c>
      <c r="D12" s="3839">
        <f>Summary2!C12</f>
        <v>251679.28872254473</v>
      </c>
      <c r="E12" s="3839">
        <f t="shared" si="4"/>
        <v>4.7399500000174157</v>
      </c>
      <c r="F12" s="3847">
        <f t="shared" si="5"/>
        <v>1.8833648547836391E-3</v>
      </c>
      <c r="G12" s="3844">
        <f>IF(E12="NA","NA",E12/Table8s2!$G$35*100)</f>
        <v>1.0820401512836662E-3</v>
      </c>
      <c r="H12" s="3845">
        <f>IF(E12="NA","NA",E12/Table8s2!$G$34*100)</f>
        <v>7.4496048494781869E-4</v>
      </c>
      <c r="I12" s="3846">
        <f>SUM(I13:I17)</f>
        <v>3686.1595485034127</v>
      </c>
      <c r="J12" s="3839">
        <f>Summary2!D12</f>
        <v>3686.1578685034137</v>
      </c>
      <c r="K12" s="3839">
        <f t="shared" si="0"/>
        <v>-1.6799999989416392E-3</v>
      </c>
      <c r="L12" s="3847">
        <f t="shared" si="1"/>
        <v>-4.5575889400222033E-5</v>
      </c>
      <c r="M12" s="3844">
        <f>IF(K12="NA","NA",K12/Table8s2!$G$35*100)</f>
        <v>-3.8351194696245558E-7</v>
      </c>
      <c r="N12" s="3845">
        <f>IF(K12="NA","NA",K12/Table8s2!$G$34*100)</f>
        <v>-2.6403941263500669E-7</v>
      </c>
      <c r="O12" s="3848">
        <f>SUM(O13:O17)</f>
        <v>1708.5129568935615</v>
      </c>
      <c r="P12" s="3847">
        <f>Summary2!E12</f>
        <v>1708.5010318935613</v>
      </c>
      <c r="Q12" s="3839">
        <f t="shared" si="2"/>
        <v>-1.1925000000246655E-2</v>
      </c>
      <c r="R12" s="3847">
        <f t="shared" si="3"/>
        <v>-6.9797539153164108E-4</v>
      </c>
      <c r="S12" s="3844">
        <f>IF(Q12="NA","NA",Q12/Table8s2!$G$35*100)</f>
        <v>-2.7222499824422619E-6</v>
      </c>
      <c r="T12" s="3845">
        <f>IF(Q12="NA","NA",Q12/Table8s2!$G$34*100)</f>
        <v>-1.8742083319768872E-6</v>
      </c>
    </row>
    <row r="13" spans="2:20" ht="18" customHeight="1" x14ac:dyDescent="0.25">
      <c r="B13" s="1392" t="s">
        <v>1478</v>
      </c>
      <c r="C13" s="3847">
        <v>142550.68803032237</v>
      </c>
      <c r="D13" s="3839">
        <f>Summary2!C13</f>
        <v>142550.68803032237</v>
      </c>
      <c r="E13" s="3839">
        <f t="shared" si="4"/>
        <v>0</v>
      </c>
      <c r="F13" s="3847">
        <f t="shared" si="5"/>
        <v>0</v>
      </c>
      <c r="G13" s="3844">
        <f>IF(E13="NA","NA",E13/Table8s2!$G$35*100)</f>
        <v>0</v>
      </c>
      <c r="H13" s="3845">
        <f>IF(E13="NA","NA",E13/Table8s2!$G$34*100)</f>
        <v>0</v>
      </c>
      <c r="I13" s="3846">
        <v>171.32169765427435</v>
      </c>
      <c r="J13" s="3839">
        <f>Summary2!D13</f>
        <v>171.32169765427429</v>
      </c>
      <c r="K13" s="3839">
        <f t="shared" ref="K13" si="6">IF(J13="NO",IF(I13="NO","NA",-I13),IF(I13="NO",J13,J13-I13))</f>
        <v>-5.6843418860808015E-14</v>
      </c>
      <c r="L13" s="3847">
        <f t="shared" ref="L13" si="7">IF(K13="NA","NA",K13/I13*100)</f>
        <v>-3.317934601343814E-14</v>
      </c>
      <c r="M13" s="3844">
        <f>IF(K13="NA","NA",K13/Table8s2!$G$35*100)</f>
        <v>-1.2976268007764539E-17</v>
      </c>
      <c r="N13" s="3845">
        <f>IF(K13="NA","NA",K13/Table8s2!$G$34*100)</f>
        <v>-8.9338707962075398E-18</v>
      </c>
      <c r="O13" s="3848">
        <v>450.7463118286056</v>
      </c>
      <c r="P13" s="3847">
        <f>Summary2!E13</f>
        <v>450.74631182860566</v>
      </c>
      <c r="Q13" s="3839">
        <f t="shared" ref="Q13" si="8">IF(P13="NO",IF(O13="NO","NA",-O13),IF(O13="NO",P13,P13-O13))</f>
        <v>5.6843418860808015E-14</v>
      </c>
      <c r="R13" s="3847">
        <f t="shared" ref="R13" si="9">IF(Q13="NA","NA",Q13/O13*100)</f>
        <v>1.2610955956622999E-14</v>
      </c>
      <c r="S13" s="3844">
        <f>IF(Q13="NA","NA",Q13/Table8s2!$G$35*100)</f>
        <v>1.2976268007764539E-17</v>
      </c>
      <c r="T13" s="3845">
        <f>IF(Q13="NA","NA",Q13/Table8s2!$G$34*100)</f>
        <v>8.9338707962075398E-18</v>
      </c>
    </row>
    <row r="14" spans="2:20" ht="18" customHeight="1" x14ac:dyDescent="0.25">
      <c r="B14" s="1392" t="s">
        <v>1517</v>
      </c>
      <c r="C14" s="3847">
        <v>35866.538631108189</v>
      </c>
      <c r="D14" s="3839">
        <f>Summary2!C14</f>
        <v>35866.538631108204</v>
      </c>
      <c r="E14" s="3839">
        <f t="shared" si="4"/>
        <v>1.4551915228366852E-11</v>
      </c>
      <c r="F14" s="3847">
        <f t="shared" si="5"/>
        <v>4.0572399188098722E-14</v>
      </c>
      <c r="G14" s="3844">
        <f>IF(E14="NA","NA",E14/Table8s2!$G$35*100)</f>
        <v>3.3219246099877219E-15</v>
      </c>
      <c r="H14" s="3845">
        <f>IF(E14="NA","NA",E14/Table8s2!$G$34*100)</f>
        <v>2.2870709238291302E-15</v>
      </c>
      <c r="I14" s="3846">
        <v>57.684927651331755</v>
      </c>
      <c r="J14" s="3839">
        <f>Summary2!D14</f>
        <v>57.684927651331748</v>
      </c>
      <c r="K14" s="3839">
        <f t="shared" ref="K14:K20" si="10">IF(J14="NO",IF(I14="NO","NA",-I14),IF(I14="NO",J14,J14-I14))</f>
        <v>-7.1054273576010019E-15</v>
      </c>
      <c r="L14" s="3847">
        <f t="shared" ref="L14:L20" si="11">IF(K14="NA","NA",K14/I14*100)</f>
        <v>-1.2317649769015461E-14</v>
      </c>
      <c r="M14" s="3844">
        <f>IF(K14="NA","NA",K14/Table8s2!$G$35*100)</f>
        <v>-1.6220335009705673E-18</v>
      </c>
      <c r="N14" s="3845">
        <f>IF(K14="NA","NA",K14/Table8s2!$G$34*100)</f>
        <v>-1.1167338495259425E-18</v>
      </c>
      <c r="O14" s="3848">
        <v>300.69837443314759</v>
      </c>
      <c r="P14" s="3847">
        <f>Summary2!E14</f>
        <v>300.69837443314759</v>
      </c>
      <c r="Q14" s="3839">
        <f t="shared" ref="Q14:Q20" si="12">IF(P14="NO",IF(O14="NO","NA",-O14),IF(O14="NO",P14,P14-O14))</f>
        <v>0</v>
      </c>
      <c r="R14" s="3847">
        <f t="shared" ref="R14:R20" si="13">IF(Q14="NA","NA",Q14/O14*100)</f>
        <v>0</v>
      </c>
      <c r="S14" s="3844">
        <f>IF(Q14="NA","NA",Q14/Table8s2!$G$35*100)</f>
        <v>0</v>
      </c>
      <c r="T14" s="3845">
        <f>IF(Q14="NA","NA",Q14/Table8s2!$G$34*100)</f>
        <v>0</v>
      </c>
    </row>
    <row r="15" spans="2:20" ht="18" customHeight="1" x14ac:dyDescent="0.25">
      <c r="B15" s="1392" t="s">
        <v>1480</v>
      </c>
      <c r="C15" s="3847">
        <v>59819.964940440375</v>
      </c>
      <c r="D15" s="3839">
        <f>Summary2!C15</f>
        <v>59818.85626807365</v>
      </c>
      <c r="E15" s="3839">
        <f t="shared" si="4"/>
        <v>-1.1086723667249316</v>
      </c>
      <c r="F15" s="3847">
        <f t="shared" si="5"/>
        <v>-1.8533484060526933E-3</v>
      </c>
      <c r="G15" s="3844">
        <f>IF(E15="NA","NA",E15/Table8s2!$G$35*100)</f>
        <v>-2.5308874891310194E-4</v>
      </c>
      <c r="H15" s="3845">
        <f>IF(E15="NA","NA",E15/Table8s2!$G$34*100)</f>
        <v>-1.7424595279710045E-4</v>
      </c>
      <c r="I15" s="3846">
        <v>737.66404467714869</v>
      </c>
      <c r="J15" s="3839">
        <f>Summary2!D15</f>
        <v>737.66236467714862</v>
      </c>
      <c r="K15" s="3839">
        <f t="shared" si="10"/>
        <v>-1.6800000000785076E-3</v>
      </c>
      <c r="L15" s="3847">
        <f t="shared" si="11"/>
        <v>-2.277459518599403E-4</v>
      </c>
      <c r="M15" s="3844">
        <f>IF(K15="NA","NA",K15/Table8s2!$G$35*100)</f>
        <v>-3.8351194722198091E-7</v>
      </c>
      <c r="N15" s="3845">
        <f>IF(K15="NA","NA",K15/Table8s2!$G$34*100)</f>
        <v>-2.6403941281368411E-7</v>
      </c>
      <c r="O15" s="3848">
        <v>813.08200052899929</v>
      </c>
      <c r="P15" s="3847">
        <f>Summary2!E15</f>
        <v>813.07007552899915</v>
      </c>
      <c r="Q15" s="3839">
        <f t="shared" si="12"/>
        <v>-1.1925000000132968E-2</v>
      </c>
      <c r="R15" s="3847">
        <f t="shared" si="13"/>
        <v>-1.4666417399935607E-3</v>
      </c>
      <c r="S15" s="3844">
        <f>IF(Q15="NA","NA",Q15/Table8s2!$G$35*100)</f>
        <v>-2.7222499824163093E-6</v>
      </c>
      <c r="T15" s="3845">
        <f>IF(Q15="NA","NA",Q15/Table8s2!$G$34*100)</f>
        <v>-1.8742083319590192E-6</v>
      </c>
    </row>
    <row r="16" spans="2:20" ht="18" customHeight="1" x14ac:dyDescent="0.25">
      <c r="B16" s="1392" t="s">
        <v>1481</v>
      </c>
      <c r="C16" s="3847">
        <v>13018.361652751866</v>
      </c>
      <c r="D16" s="3839">
        <f>Summary2!C16</f>
        <v>13024.210275118596</v>
      </c>
      <c r="E16" s="3839">
        <f t="shared" si="4"/>
        <v>5.8486223667296144</v>
      </c>
      <c r="F16" s="3847">
        <f t="shared" si="5"/>
        <v>4.4925947847618081E-2</v>
      </c>
      <c r="G16" s="3844">
        <f>IF(E16="NA","NA",E16/Table8s2!$G$35*100)</f>
        <v>1.3351289001938614E-3</v>
      </c>
      <c r="H16" s="3845">
        <f>IF(E16="NA","NA",E16/Table8s2!$G$34*100)</f>
        <v>9.1920643774291797E-4</v>
      </c>
      <c r="I16" s="3846">
        <v>2718.7557267592865</v>
      </c>
      <c r="J16" s="3839">
        <f>Summary2!D16</f>
        <v>2718.7557267592879</v>
      </c>
      <c r="K16" s="3839">
        <f t="shared" si="10"/>
        <v>1.3642420526593924E-12</v>
      </c>
      <c r="L16" s="3847">
        <f t="shared" si="11"/>
        <v>5.0178912332280293E-14</v>
      </c>
      <c r="M16" s="3844">
        <f>IF(K16="NA","NA",K16/Table8s2!$G$35*100)</f>
        <v>3.1143043218634889E-16</v>
      </c>
      <c r="N16" s="3845">
        <f>IF(K16="NA","NA",K16/Table8s2!$G$34*100)</f>
        <v>2.1441289910898095E-16</v>
      </c>
      <c r="O16" s="3848">
        <v>141.01921306144283</v>
      </c>
      <c r="P16" s="3847">
        <f>Summary2!E16</f>
        <v>141.01921306144283</v>
      </c>
      <c r="Q16" s="3839">
        <f t="shared" si="12"/>
        <v>0</v>
      </c>
      <c r="R16" s="3847">
        <f t="shared" si="13"/>
        <v>0</v>
      </c>
      <c r="S16" s="3844">
        <f>IF(Q16="NA","NA",Q16/Table8s2!$G$35*100)</f>
        <v>0</v>
      </c>
      <c r="T16" s="3845">
        <f>IF(Q16="NA","NA",Q16/Table8s2!$G$34*100)</f>
        <v>0</v>
      </c>
    </row>
    <row r="17" spans="2:20" ht="18" customHeight="1" x14ac:dyDescent="0.25">
      <c r="B17" s="1392" t="s">
        <v>1482</v>
      </c>
      <c r="C17" s="3847">
        <v>418.99551792193483</v>
      </c>
      <c r="D17" s="3839">
        <f>Summary2!C17</f>
        <v>418.99551792193483</v>
      </c>
      <c r="E17" s="3839">
        <f t="shared" si="4"/>
        <v>0</v>
      </c>
      <c r="F17" s="3847">
        <f t="shared" si="5"/>
        <v>0</v>
      </c>
      <c r="G17" s="3844">
        <f>IF(E17="NA","NA",E17/Table8s2!$G$35*100)</f>
        <v>0</v>
      </c>
      <c r="H17" s="3845">
        <f>IF(E17="NA","NA",E17/Table8s2!$G$34*100)</f>
        <v>0</v>
      </c>
      <c r="I17" s="3846">
        <v>0.73315176137152072</v>
      </c>
      <c r="J17" s="3839">
        <f>Summary2!D17</f>
        <v>0.73315176137152072</v>
      </c>
      <c r="K17" s="3839">
        <f t="shared" si="10"/>
        <v>0</v>
      </c>
      <c r="L17" s="3847">
        <f t="shared" si="11"/>
        <v>0</v>
      </c>
      <c r="M17" s="3844">
        <f>IF(K17="NA","NA",K17/Table8s2!$G$35*100)</f>
        <v>0</v>
      </c>
      <c r="N17" s="3845">
        <f>IF(K17="NA","NA",K17/Table8s2!$G$34*100)</f>
        <v>0</v>
      </c>
      <c r="O17" s="3848">
        <v>2.9670570413662052</v>
      </c>
      <c r="P17" s="3847">
        <f>Summary2!E17</f>
        <v>2.9670570413662061</v>
      </c>
      <c r="Q17" s="3839">
        <f t="shared" si="12"/>
        <v>8.8817841970012523E-16</v>
      </c>
      <c r="R17" s="3847">
        <f t="shared" si="13"/>
        <v>2.9934659405508305E-14</v>
      </c>
      <c r="S17" s="3844">
        <f>IF(Q17="NA","NA",Q17/Table8s2!$G$35*100)</f>
        <v>2.0275418762132092E-19</v>
      </c>
      <c r="T17" s="3845">
        <f>IF(Q17="NA","NA",Q17/Table8s2!$G$34*100)</f>
        <v>1.3959173119074281E-19</v>
      </c>
    </row>
    <row r="18" spans="2:20" ht="18" customHeight="1" x14ac:dyDescent="0.25">
      <c r="B18" s="620" t="s">
        <v>99</v>
      </c>
      <c r="C18" s="3847">
        <f>SUM(C19:C20)</f>
        <v>7272.4958844977455</v>
      </c>
      <c r="D18" s="3839">
        <f>Summary2!C18</f>
        <v>7272.4958844977455</v>
      </c>
      <c r="E18" s="3839">
        <f t="shared" si="4"/>
        <v>0</v>
      </c>
      <c r="F18" s="3847">
        <f t="shared" si="5"/>
        <v>0</v>
      </c>
      <c r="G18" s="3844">
        <f>IF(E18="NA","NA",E18/Table8s2!$G$35*100)</f>
        <v>0</v>
      </c>
      <c r="H18" s="3845">
        <f>IF(E18="NA","NA",E18/Table8s2!$G$34*100)</f>
        <v>0</v>
      </c>
      <c r="I18" s="3846">
        <f>SUM(I19:I20)</f>
        <v>33002.90264076247</v>
      </c>
      <c r="J18" s="3839">
        <f>Summary2!D18</f>
        <v>33003.192679157277</v>
      </c>
      <c r="K18" s="3839">
        <f t="shared" si="10"/>
        <v>0.29003839480719762</v>
      </c>
      <c r="L18" s="3847">
        <f t="shared" si="11"/>
        <v>8.7882692611699568E-4</v>
      </c>
      <c r="M18" s="3844">
        <f>IF(K18="NA","NA",K18/Table8s2!$G$35*100)</f>
        <v>6.6210231878838116E-5</v>
      </c>
      <c r="N18" s="3845">
        <f>IF(K18="NA","NA",K18/Table8s2!$G$34*100)</f>
        <v>4.5584266342105498E-5</v>
      </c>
      <c r="O18" s="3848">
        <f>SUM(O19:O20)</f>
        <v>35.788669587000015</v>
      </c>
      <c r="P18" s="3847">
        <f>Summary2!E18</f>
        <v>35.788669587000015</v>
      </c>
      <c r="Q18" s="3839">
        <f t="shared" si="12"/>
        <v>0</v>
      </c>
      <c r="R18" s="3847">
        <f t="shared" si="13"/>
        <v>0</v>
      </c>
      <c r="S18" s="3844">
        <f>IF(Q18="NA","NA",Q18/Table8s2!$G$35*100)</f>
        <v>0</v>
      </c>
      <c r="T18" s="3845">
        <f>IF(Q18="NA","NA",Q18/Table8s2!$G$34*100)</f>
        <v>0</v>
      </c>
    </row>
    <row r="19" spans="2:20" ht="18" customHeight="1" x14ac:dyDescent="0.25">
      <c r="B19" s="1392" t="s">
        <v>1483</v>
      </c>
      <c r="C19" s="3847">
        <v>1183.8805823664281</v>
      </c>
      <c r="D19" s="3839">
        <f>Summary2!C19</f>
        <v>1183.8805823664281</v>
      </c>
      <c r="E19" s="3839">
        <f t="shared" si="4"/>
        <v>0</v>
      </c>
      <c r="F19" s="3847">
        <f t="shared" si="5"/>
        <v>0</v>
      </c>
      <c r="G19" s="3844">
        <f>IF(E19="NA","NA",E19/Table8s2!$G$35*100)</f>
        <v>0</v>
      </c>
      <c r="H19" s="3845">
        <f>IF(E19="NA","NA",E19/Table8s2!$G$34*100)</f>
        <v>0</v>
      </c>
      <c r="I19" s="3846">
        <v>24393.980736922902</v>
      </c>
      <c r="J19" s="3839">
        <f>Summary2!D19</f>
        <v>24393.980736922909</v>
      </c>
      <c r="K19" s="3839">
        <f t="shared" si="10"/>
        <v>7.2759576141834259E-12</v>
      </c>
      <c r="L19" s="3847">
        <f t="shared" si="11"/>
        <v>2.9826856439098864E-14</v>
      </c>
      <c r="M19" s="3844">
        <f>IF(K19="NA","NA",K19/Table8s2!$G$35*100)</f>
        <v>1.6609623049938609E-15</v>
      </c>
      <c r="N19" s="3845">
        <f>IF(K19="NA","NA",K19/Table8s2!$G$34*100)</f>
        <v>1.1435354619145651E-15</v>
      </c>
      <c r="O19" s="3848">
        <v>1.4124384861120004E-4</v>
      </c>
      <c r="P19" s="3847">
        <f>Summary2!E19</f>
        <v>1.4124384861120004E-4</v>
      </c>
      <c r="Q19" s="3839">
        <f t="shared" si="12"/>
        <v>0</v>
      </c>
      <c r="R19" s="3847">
        <f t="shared" si="13"/>
        <v>0</v>
      </c>
      <c r="S19" s="3844">
        <f>IF(Q19="NA","NA",Q19/Table8s2!$G$35*100)</f>
        <v>0</v>
      </c>
      <c r="T19" s="3845">
        <f>IF(Q19="NA","NA",Q19/Table8s2!$G$34*100)</f>
        <v>0</v>
      </c>
    </row>
    <row r="20" spans="2:20" ht="18" customHeight="1" x14ac:dyDescent="0.25">
      <c r="B20" s="1393" t="s">
        <v>1484</v>
      </c>
      <c r="C20" s="3849">
        <v>6088.6153021313175</v>
      </c>
      <c r="D20" s="3850">
        <f>Summary2!C20</f>
        <v>6088.6153021313175</v>
      </c>
      <c r="E20" s="3850">
        <f t="shared" si="4"/>
        <v>0</v>
      </c>
      <c r="F20" s="3849">
        <f t="shared" si="5"/>
        <v>0</v>
      </c>
      <c r="G20" s="3851">
        <f>IF(E20="NA","NA",E20/Table8s2!$G$35*100)</f>
        <v>0</v>
      </c>
      <c r="H20" s="3852">
        <f>IF(E20="NA","NA",E20/Table8s2!$G$34*100)</f>
        <v>0</v>
      </c>
      <c r="I20" s="3853">
        <v>8608.9219038395677</v>
      </c>
      <c r="J20" s="3850">
        <f>Summary2!D20</f>
        <v>8609.2119422343676</v>
      </c>
      <c r="K20" s="3839">
        <f t="shared" si="10"/>
        <v>0.29003839479992166</v>
      </c>
      <c r="L20" s="3847">
        <f t="shared" si="11"/>
        <v>3.3690443244765054E-3</v>
      </c>
      <c r="M20" s="3844">
        <f>IF(K20="NA","NA",K20/Table8s2!$G$35*100)</f>
        <v>6.6210231877177159E-5</v>
      </c>
      <c r="N20" s="3845">
        <f>IF(K20="NA","NA",K20/Table8s2!$G$34*100)</f>
        <v>4.5584266340961963E-5</v>
      </c>
      <c r="O20" s="3854">
        <v>35.788528343151405</v>
      </c>
      <c r="P20" s="3849">
        <f>Summary2!E20</f>
        <v>35.788528343151405</v>
      </c>
      <c r="Q20" s="3839">
        <f t="shared" si="12"/>
        <v>0</v>
      </c>
      <c r="R20" s="3847">
        <f t="shared" si="13"/>
        <v>0</v>
      </c>
      <c r="S20" s="3844">
        <f>IF(Q20="NA","NA",Q20/Table8s2!$G$35*100)</f>
        <v>0</v>
      </c>
      <c r="T20" s="3845">
        <f>IF(Q20="NA","NA",Q20/Table8s2!$G$34*100)</f>
        <v>0</v>
      </c>
    </row>
    <row r="21" spans="2:20" ht="18" customHeight="1" thickBot="1" x14ac:dyDescent="0.3">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5">
      <c r="B22" s="1406" t="s">
        <v>1486</v>
      </c>
      <c r="C22" s="3839">
        <f>SUM(C23:C29)</f>
        <v>18551.256985147105</v>
      </c>
      <c r="D22" s="3839">
        <f>Summary2!C22</f>
        <v>18552.628794626791</v>
      </c>
      <c r="E22" s="3861">
        <f t="shared" si="4"/>
        <v>1.3718094796859077</v>
      </c>
      <c r="F22" s="3861">
        <f t="shared" si="5"/>
        <v>7.3946982718434365E-3</v>
      </c>
      <c r="G22" s="3862">
        <f>IF(E22="NA","NA",E22/Table8s2!$G$35*100)</f>
        <v>3.1315793139722009E-4</v>
      </c>
      <c r="H22" s="3863">
        <f>IF(E22="NA","NA",E22/Table8s2!$G$34*100)</f>
        <v>2.1560224374499179E-4</v>
      </c>
      <c r="I22" s="3839">
        <f>SUM(I23:I29)</f>
        <v>91.410140292475347</v>
      </c>
      <c r="J22" s="3839">
        <f>Summary2!D22</f>
        <v>91.410140292475361</v>
      </c>
      <c r="K22" s="3861">
        <f t="shared" ref="K22" si="14">IF(J22="NO",IF(I22="NO","NA",-I22),IF(I22="NO",J22,J22-I22))</f>
        <v>1.4210854715202004E-14</v>
      </c>
      <c r="L22" s="3861">
        <f t="shared" ref="L22" si="15">IF(K22="NA","NA",K22/I22*100)</f>
        <v>1.5546256323131149E-14</v>
      </c>
      <c r="M22" s="3862">
        <f>IF(K22="NA","NA",K22/Table8s2!$G$35*100)</f>
        <v>3.2440670019411346E-18</v>
      </c>
      <c r="N22" s="3863">
        <f>IF(K22="NA","NA",K22/Table8s2!$G$34*100)</f>
        <v>2.2334676990518849E-18</v>
      </c>
      <c r="O22" s="3839">
        <f>SUM(O23:O29)</f>
        <v>904.65743427542532</v>
      </c>
      <c r="P22" s="3839">
        <f>Summary2!E22</f>
        <v>904.65743427542532</v>
      </c>
      <c r="Q22" s="3861">
        <f t="shared" ref="Q22" si="16">IF(P22="NO",IF(O22="NO","NA",-O22),IF(O22="NO",P22,P22-O22))</f>
        <v>0</v>
      </c>
      <c r="R22" s="3864">
        <f t="shared" ref="R22" si="17">IF(Q22="NA","NA",Q22/O22*100)</f>
        <v>0</v>
      </c>
      <c r="S22" s="3865">
        <f>IF(Q22="NA","NA",Q22/Table8s2!$G$35*100)</f>
        <v>0</v>
      </c>
      <c r="T22" s="3866">
        <f>IF(Q22="NA","NA",Q22/Table8s2!$G$34*100)</f>
        <v>0</v>
      </c>
    </row>
    <row r="23" spans="2:20" ht="18" customHeight="1" x14ac:dyDescent="0.25">
      <c r="B23" s="1394" t="s">
        <v>1487</v>
      </c>
      <c r="C23" s="3839">
        <v>5489.5881371538135</v>
      </c>
      <c r="D23" s="3839">
        <f>Summary2!C23</f>
        <v>5489.5881371538135</v>
      </c>
      <c r="E23" s="3839">
        <f t="shared" si="4"/>
        <v>0</v>
      </c>
      <c r="F23" s="3847">
        <f t="shared" si="5"/>
        <v>0</v>
      </c>
      <c r="G23" s="3844">
        <f>IF(E23="NA","NA",E23/Table8s2!$G$35*100)</f>
        <v>0</v>
      </c>
      <c r="H23" s="3845">
        <f>IF(E23="NA","NA",E23/Table8s2!$G$34*100)</f>
        <v>0</v>
      </c>
      <c r="I23" s="1925"/>
      <c r="J23" s="1925"/>
      <c r="K23" s="1925"/>
      <c r="L23" s="1925"/>
      <c r="M23" s="1925"/>
      <c r="N23" s="1925"/>
      <c r="O23" s="1925"/>
      <c r="P23" s="1925"/>
      <c r="Q23" s="1925"/>
      <c r="R23" s="1925"/>
      <c r="S23" s="1925"/>
      <c r="T23" s="1925"/>
    </row>
    <row r="24" spans="2:20" ht="18" customHeight="1" x14ac:dyDescent="0.25">
      <c r="B24" s="1394" t="s">
        <v>621</v>
      </c>
      <c r="C24" s="3839">
        <v>1054.6897029809475</v>
      </c>
      <c r="D24" s="3839">
        <f>Summary2!C24</f>
        <v>1054.6897029809475</v>
      </c>
      <c r="E24" s="3839">
        <f t="shared" si="4"/>
        <v>0</v>
      </c>
      <c r="F24" s="3847">
        <f t="shared" si="5"/>
        <v>0</v>
      </c>
      <c r="G24" s="3844">
        <f>IF(E24="NA","NA",E24/Table8s2!$G$35*100)</f>
        <v>0</v>
      </c>
      <c r="H24" s="3845">
        <f>IF(E24="NA","NA",E24/Table8s2!$G$34*100)</f>
        <v>0</v>
      </c>
      <c r="I24" s="3846">
        <v>12.253530072</v>
      </c>
      <c r="J24" s="3839">
        <f>Summary2!D24</f>
        <v>12.253530072</v>
      </c>
      <c r="K24" s="3839">
        <f t="shared" ref="K24" si="18">IF(J24="NO",IF(I24="NO","NA",-I24),IF(I24="NO",J24,J24-I24))</f>
        <v>0</v>
      </c>
      <c r="L24" s="3847">
        <f t="shared" ref="L24" si="19">IF(K24="NA","NA",K24/I24*100)</f>
        <v>0</v>
      </c>
      <c r="M24" s="3844">
        <f>IF(K24="NA","NA",K24/Table8s2!$G$35*100)</f>
        <v>0</v>
      </c>
      <c r="N24" s="3845">
        <f>IF(K24="NA","NA",K24/Table8s2!$G$34*100)</f>
        <v>0</v>
      </c>
      <c r="O24" s="3848">
        <v>884.85171089999994</v>
      </c>
      <c r="P24" s="3847">
        <f>Summary2!E24</f>
        <v>884.85171089999994</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5">
      <c r="B25" s="1394" t="s">
        <v>459</v>
      </c>
      <c r="C25" s="3839">
        <v>11644.473410340323</v>
      </c>
      <c r="D25" s="3839">
        <f>Summary2!C25</f>
        <v>11644.473410340323</v>
      </c>
      <c r="E25" s="3839">
        <f t="shared" si="4"/>
        <v>0</v>
      </c>
      <c r="F25" s="3847">
        <f t="shared" si="5"/>
        <v>0</v>
      </c>
      <c r="G25" s="3844">
        <f>IF(E25="NA","NA",E25/Table8s2!$G$35*100)</f>
        <v>0</v>
      </c>
      <c r="H25" s="3845">
        <f>IF(E25="NA","NA",E25/Table8s2!$G$34*100)</f>
        <v>0</v>
      </c>
      <c r="I25" s="3846">
        <v>79.156610220475343</v>
      </c>
      <c r="J25" s="3839">
        <f>Summary2!D25</f>
        <v>79.156610220475358</v>
      </c>
      <c r="K25" s="3839">
        <f t="shared" ref="K25:K26" si="22">IF(J25="NO",IF(I25="NO","NA",-I25),IF(I25="NO",J25,J25-I25))</f>
        <v>1.4210854715202004E-14</v>
      </c>
      <c r="L25" s="3847">
        <f t="shared" ref="L25:L26" si="23">IF(K25="NA","NA",K25/I25*100)</f>
        <v>1.7952833851298624E-14</v>
      </c>
      <c r="M25" s="3844">
        <f>IF(K25="NA","NA",K25/Table8s2!$G$35*100)</f>
        <v>3.2440670019411346E-18</v>
      </c>
      <c r="N25" s="3845">
        <f>IF(K25="NA","NA",K25/Table8s2!$G$34*100)</f>
        <v>2.2334676990518849E-18</v>
      </c>
      <c r="O25" s="3848">
        <v>19.805723375425391</v>
      </c>
      <c r="P25" s="3847">
        <f>Summary2!E25</f>
        <v>19.805723375425394</v>
      </c>
      <c r="Q25" s="3839">
        <f t="shared" ref="Q25:Q29" si="24">IF(P25="NO",IF(O25="NO","NA",-O25),IF(O25="NO",P25,P25-O25))</f>
        <v>3.5527136788005009E-15</v>
      </c>
      <c r="R25" s="3847">
        <f t="shared" ref="R25:R29" si="25">IF(Q25="NA","NA",Q25/O25*100)</f>
        <v>1.7937813284864154E-14</v>
      </c>
      <c r="S25" s="3844">
        <f>IF(Q25="NA","NA",Q25/Table8s2!$G$35*100)</f>
        <v>8.1101675048528366E-19</v>
      </c>
      <c r="T25" s="3845">
        <f>IF(Q25="NA","NA",Q25/Table8s2!$G$34*100)</f>
        <v>5.5836692476297124E-19</v>
      </c>
    </row>
    <row r="26" spans="2:20" ht="18" customHeight="1" x14ac:dyDescent="0.25">
      <c r="B26" s="1395" t="s">
        <v>1519</v>
      </c>
      <c r="C26" s="3839">
        <v>279.9327000203167</v>
      </c>
      <c r="D26" s="3839">
        <f>Summary2!C26</f>
        <v>281.30450949999999</v>
      </c>
      <c r="E26" s="3839">
        <f t="shared" si="4"/>
        <v>1.3718094796832929</v>
      </c>
      <c r="F26" s="3847">
        <f t="shared" si="5"/>
        <v>0.49004974395050344</v>
      </c>
      <c r="G26" s="3844">
        <f>IF(E26="NA","NA",E26/Table8s2!$G$35*100)</f>
        <v>3.1315793139662313E-4</v>
      </c>
      <c r="H26" s="3845">
        <f>IF(E26="NA","NA",E26/Table8s2!$G$34*100)</f>
        <v>2.1560224374458079E-4</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5">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5">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3">
      <c r="B29" s="1407" t="s">
        <v>1523</v>
      </c>
      <c r="C29" s="3855">
        <v>82.573034651705768</v>
      </c>
      <c r="D29" s="3855">
        <f>Summary2!C30</f>
        <v>82.573034651705768</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5">
      <c r="B30" s="1445" t="s">
        <v>1491</v>
      </c>
      <c r="C30" s="3874">
        <f>SUM(C31:C40)</f>
        <v>582.01320937951778</v>
      </c>
      <c r="D30" s="3875">
        <f>Summary2!C31</f>
        <v>582.01320937951778</v>
      </c>
      <c r="E30" s="3861">
        <f t="shared" si="4"/>
        <v>0</v>
      </c>
      <c r="F30" s="3876">
        <f t="shared" si="5"/>
        <v>0</v>
      </c>
      <c r="G30" s="3877">
        <f>IF(E30="NA","NA",E30/Table8s2!$G$35*100)</f>
        <v>0</v>
      </c>
      <c r="H30" s="3878">
        <f>IF(E30="NA","NA",E30/Table8s2!$G$34*100)</f>
        <v>0</v>
      </c>
      <c r="I30" s="3874">
        <f>SUM(I31:I40)</f>
        <v>80137.552978977255</v>
      </c>
      <c r="J30" s="3875">
        <f>Summary2!D31</f>
        <v>80137.552978977241</v>
      </c>
      <c r="K30" s="3861">
        <f t="shared" ref="K30" si="28">IF(J30="NO",IF(I30="NO","NA",-I30),IF(I30="NO",J30,J30-I30))</f>
        <v>-1.4551915228366852E-11</v>
      </c>
      <c r="L30" s="3876">
        <f t="shared" ref="L30" si="29">IF(K30="NA","NA",K30/I30*100)</f>
        <v>-1.8158671792966154E-14</v>
      </c>
      <c r="M30" s="3877">
        <f>IF(K30="NA","NA",K30/Table8s2!$G$35*100)</f>
        <v>-3.3219246099877219E-15</v>
      </c>
      <c r="N30" s="3878">
        <f>IF(K30="NA","NA",K30/Table8s2!$G$34*100)</f>
        <v>-2.2870709238291302E-15</v>
      </c>
      <c r="O30" s="3874">
        <f>SUM(O31:O40)</f>
        <v>11376.843105137003</v>
      </c>
      <c r="P30" s="3875">
        <f>Summary2!E31</f>
        <v>11376.237958704807</v>
      </c>
      <c r="Q30" s="3861">
        <f t="shared" ref="Q30" si="30">IF(P30="NO",IF(O30="NO","NA",-O30),IF(O30="NO",P30,P30-O30))</f>
        <v>-0.60514643219539721</v>
      </c>
      <c r="R30" s="3880">
        <f t="shared" ref="R30" si="31">IF(Q30="NA","NA",Q30/O30*100)</f>
        <v>-5.3191067733205756E-3</v>
      </c>
      <c r="S30" s="3881">
        <f>IF(Q30="NA","NA",Q30/Table8s2!$G$35*100)</f>
        <v>-1.3814338485407495E-4</v>
      </c>
      <c r="T30" s="3882">
        <f>IF(Q30="NA","NA",Q30/Table8s2!$G$34*100)</f>
        <v>-9.5108636080774896E-5</v>
      </c>
    </row>
    <row r="31" spans="2:20" ht="18" customHeight="1" x14ac:dyDescent="0.25">
      <c r="B31" s="620" t="s">
        <v>1492</v>
      </c>
      <c r="C31" s="3867"/>
      <c r="D31" s="3867"/>
      <c r="E31" s="3868"/>
      <c r="F31" s="3868"/>
      <c r="G31" s="3869"/>
      <c r="H31" s="3870"/>
      <c r="I31" s="3846">
        <v>72388.855630241276</v>
      </c>
      <c r="J31" s="3839">
        <f>Summary2!D32</f>
        <v>72388.855630241276</v>
      </c>
      <c r="K31" s="3883">
        <f t="shared" ref="K31:K33" si="32">IF(J31="NO",IF(I31="NO","NA",-I31),IF(I31="NO",J31,J31-I31))</f>
        <v>0</v>
      </c>
      <c r="L31" s="3883">
        <f t="shared" ref="L31:L33" si="33">IF(K31="NA","NA",K31/I31*100)</f>
        <v>0</v>
      </c>
      <c r="M31" s="3884">
        <f>IF(K31="NA","NA",K31/Table8s2!$G$35*100)</f>
        <v>0</v>
      </c>
      <c r="N31" s="3885">
        <f>IF(K31="NA","NA",K31/Table8s2!$G$34*100)</f>
        <v>0</v>
      </c>
      <c r="O31" s="3886"/>
      <c r="P31" s="3887"/>
      <c r="Q31" s="3868"/>
      <c r="R31" s="3888"/>
      <c r="S31" s="3889"/>
      <c r="T31" s="3890"/>
    </row>
    <row r="32" spans="2:20" ht="18" customHeight="1" x14ac:dyDescent="0.25">
      <c r="B32" s="620" t="s">
        <v>1493</v>
      </c>
      <c r="C32" s="3891"/>
      <c r="D32" s="3891"/>
      <c r="E32" s="3892"/>
      <c r="F32" s="3892"/>
      <c r="G32" s="3869"/>
      <c r="H32" s="3870"/>
      <c r="I32" s="3846">
        <v>6889.0110462442917</v>
      </c>
      <c r="J32" s="3847">
        <f>Summary2!D33</f>
        <v>6889.0110462442917</v>
      </c>
      <c r="K32" s="3893">
        <f t="shared" si="32"/>
        <v>0</v>
      </c>
      <c r="L32" s="3893">
        <f t="shared" si="33"/>
        <v>0</v>
      </c>
      <c r="M32" s="3884">
        <f>IF(K32="NA","NA",K32/Table8s2!$G$35*100)</f>
        <v>0</v>
      </c>
      <c r="N32" s="3885">
        <f>IF(K32="NA","NA",K32/Table8s2!$G$34*100)</f>
        <v>0</v>
      </c>
      <c r="O32" s="3848">
        <v>203.56356240494054</v>
      </c>
      <c r="P32" s="3847">
        <f>Summary2!E33</f>
        <v>203.56356240494054</v>
      </c>
      <c r="Q32" s="3893">
        <f t="shared" ref="Q32" si="34">IF(P32="NO",IF(O32="NO","NA",-O32),IF(O32="NO",P32,P32-O32))</f>
        <v>0</v>
      </c>
      <c r="R32" s="3894">
        <f t="shared" ref="R32" si="35">IF(Q32="NA","NA",Q32/O32*100)</f>
        <v>0</v>
      </c>
      <c r="S32" s="3895">
        <f>IF(Q32="NA","NA",Q32/Table8s2!$G$35*100)</f>
        <v>0</v>
      </c>
      <c r="T32" s="3896">
        <f>IF(Q32="NA","NA",Q32/Table8s2!$G$34*100)</f>
        <v>0</v>
      </c>
    </row>
    <row r="33" spans="2:21" ht="18" customHeight="1" x14ac:dyDescent="0.25">
      <c r="B33" s="620" t="s">
        <v>1494</v>
      </c>
      <c r="C33" s="3891"/>
      <c r="D33" s="3891"/>
      <c r="E33" s="3892"/>
      <c r="F33" s="3892"/>
      <c r="G33" s="3897"/>
      <c r="H33" s="3898"/>
      <c r="I33" s="3848">
        <v>532.69558007436797</v>
      </c>
      <c r="J33" s="3847">
        <f>Summary2!D34</f>
        <v>532.69558007436797</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5">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11049.759349023889</v>
      </c>
      <c r="P34" s="3847">
        <f>Summary2!E35</f>
        <v>11049.154202591695</v>
      </c>
      <c r="Q34" s="3893">
        <f t="shared" ref="Q34" si="36">IF(P34="NO",IF(O34="NO","NA",-O34),IF(O34="NO",P34,P34-O34))</f>
        <v>-0.60514643219357822</v>
      </c>
      <c r="R34" s="3894">
        <f t="shared" ref="R34" si="37">IF(Q34="NA","NA",Q34/O34*100)</f>
        <v>-5.4765575708853381E-3</v>
      </c>
      <c r="S34" s="3895">
        <f>IF(Q34="NA","NA",Q34/Table8s2!$G$35*100)</f>
        <v>-1.3814338485365973E-4</v>
      </c>
      <c r="T34" s="3896">
        <f>IF(Q34="NA","NA",Q34/Table8s2!$G$34*100)</f>
        <v>-9.5108636080489019E-5</v>
      </c>
    </row>
    <row r="35" spans="2:21" ht="18" customHeight="1" x14ac:dyDescent="0.25">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5">
      <c r="B36" s="620" t="s">
        <v>1497</v>
      </c>
      <c r="C36" s="3891"/>
      <c r="D36" s="3891"/>
      <c r="E36" s="3892"/>
      <c r="F36" s="3892"/>
      <c r="G36" s="3869"/>
      <c r="H36" s="3870"/>
      <c r="I36" s="3846">
        <v>326.99072241731051</v>
      </c>
      <c r="J36" s="3847">
        <f>Summary2!D37</f>
        <v>326.99072241731045</v>
      </c>
      <c r="K36" s="3893">
        <f t="shared" ref="K36" si="38">IF(J36="NO",IF(I36="NO","NA",-I36),IF(I36="NO",J36,J36-I36))</f>
        <v>-5.6843418860808015E-14</v>
      </c>
      <c r="L36" s="3893">
        <f t="shared" ref="L36" si="39">IF(K36="NA","NA",K36/I36*100)</f>
        <v>-1.7383801730088106E-14</v>
      </c>
      <c r="M36" s="3884">
        <f>IF(K36="NA","NA",K36/Table8s2!$G$35*100)</f>
        <v>-1.2976268007764539E-17</v>
      </c>
      <c r="N36" s="3885">
        <f>IF(K36="NA","NA",K36/Table8s2!$G$34*100)</f>
        <v>-8.9338707962075398E-18</v>
      </c>
      <c r="O36" s="3848">
        <v>123.52019370817199</v>
      </c>
      <c r="P36" s="3847">
        <f>Summary2!E37</f>
        <v>123.52019370817199</v>
      </c>
      <c r="Q36" s="3893">
        <f t="shared" ref="Q36" si="40">IF(P36="NO",IF(O36="NO","NA",-O36),IF(O36="NO",P36,P36-O36))</f>
        <v>0</v>
      </c>
      <c r="R36" s="3894">
        <f t="shared" ref="R36" si="41">IF(Q36="NA","NA",Q36/O36*100)</f>
        <v>0</v>
      </c>
      <c r="S36" s="3895">
        <f>IF(Q36="NA","NA",Q36/Table8s2!$G$35*100)</f>
        <v>0</v>
      </c>
      <c r="T36" s="3896">
        <f>IF(Q36="NA","NA",Q36/Table8s2!$G$34*100)</f>
        <v>0</v>
      </c>
    </row>
    <row r="37" spans="2:21" ht="18" customHeight="1" x14ac:dyDescent="0.25">
      <c r="B37" s="620" t="s">
        <v>721</v>
      </c>
      <c r="C37" s="3847">
        <v>215.34654271285109</v>
      </c>
      <c r="D37" s="3847">
        <f>Summary2!C38</f>
        <v>215.34654271285109</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5">
      <c r="B38" s="620" t="s">
        <v>722</v>
      </c>
      <c r="C38" s="3847">
        <v>366.66666666666663</v>
      </c>
      <c r="D38" s="3847">
        <f>Summary2!C39</f>
        <v>366.66666666666663</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5">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3">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5">
      <c r="B41" s="1408" t="s">
        <v>1686</v>
      </c>
      <c r="C41" s="3839">
        <f>SUM(C42:C49)</f>
        <v>176073.46147889312</v>
      </c>
      <c r="D41" s="3839">
        <f>Summary2!C42</f>
        <v>173581.36026367306</v>
      </c>
      <c r="E41" s="3929">
        <f t="shared" ref="E41" si="42">IF(D41="NO",IF(C41="NO","NA",-C41),IF(C41="NO",D41,D41-C41))</f>
        <v>-2492.1012152200565</v>
      </c>
      <c r="F41" s="3929">
        <f t="shared" ref="F41" si="43">IF(E41="NA","NA",E41/C41*100)</f>
        <v>-1.4153758290932437</v>
      </c>
      <c r="G41" s="3869"/>
      <c r="H41" s="3929">
        <f>IF(E41="NA","NA",E41/Table8s2!$G$34*100)</f>
        <v>-0.3916743699453708</v>
      </c>
      <c r="I41" s="3846">
        <f>SUM(I42:I49)</f>
        <v>22105.872108701838</v>
      </c>
      <c r="J41" s="3839">
        <f>Summary2!D42</f>
        <v>20348.436600968224</v>
      </c>
      <c r="K41" s="3929">
        <f t="shared" ref="K41:K46" si="44">IF(J41="NO",IF(I41="NO","NA",-I41),IF(I41="NO",J41,J41-I41))</f>
        <v>-1757.4355077336149</v>
      </c>
      <c r="L41" s="3929">
        <f t="shared" ref="L41:L46" si="45">IF(K41="NA","NA",K41/I41*100)</f>
        <v>-7.950084480230986</v>
      </c>
      <c r="M41" s="3889"/>
      <c r="N41" s="3930">
        <f>IF(K41="NA","NA",K41/Table8s2!$G$34*100)</f>
        <v>-0.27620966636798688</v>
      </c>
      <c r="O41" s="3846">
        <f>SUM(O42:O49)</f>
        <v>4285.0274147501013</v>
      </c>
      <c r="P41" s="3839">
        <f>Summary2!E42</f>
        <v>4282.0930136656307</v>
      </c>
      <c r="Q41" s="3929">
        <f t="shared" ref="Q41" si="46">IF(P41="NO",IF(O41="NO","NA",-O41),IF(O41="NO",P41,P41-O41))</f>
        <v>-2.9344010844706645</v>
      </c>
      <c r="R41" s="3929">
        <f t="shared" ref="R41" si="47">IF(Q41="NA","NA",Q41/O41*100)</f>
        <v>-6.8480333973354429E-2</v>
      </c>
      <c r="S41" s="3889"/>
      <c r="T41" s="3930">
        <f>IF(Q41="NA","NA",Q41/Table8s2!$G$34*100)</f>
        <v>-4.6118901146861027E-4</v>
      </c>
      <c r="U41" s="713"/>
    </row>
    <row r="42" spans="2:21" ht="18" customHeight="1" x14ac:dyDescent="0.25">
      <c r="B42" s="620" t="s">
        <v>981</v>
      </c>
      <c r="C42" s="3847">
        <v>-14917.647172280445</v>
      </c>
      <c r="D42" s="3847">
        <f>Summary2!C43</f>
        <v>-15706.288508129443</v>
      </c>
      <c r="E42" s="3931">
        <f t="shared" ref="E42:E50" si="48">IF(D42="NO",IF(C42="NO","NA",-C42),IF(C42="NO",D42,D42-C42))</f>
        <v>-788.64133584899719</v>
      </c>
      <c r="F42" s="3931">
        <f t="shared" ref="F42:F50" si="49">IF(E42="NA","NA",E42/C42*100)</f>
        <v>5.2866335202941954</v>
      </c>
      <c r="G42" s="3889"/>
      <c r="H42" s="3931">
        <f>IF(E42="NA","NA",E42/Table8s2!$G$34*100)</f>
        <v>-0.12394785430264155</v>
      </c>
      <c r="I42" s="3848">
        <v>6578.3577265213589</v>
      </c>
      <c r="J42" s="3847">
        <f>Summary2!D43</f>
        <v>6504.0434994730595</v>
      </c>
      <c r="K42" s="3931">
        <f t="shared" si="44"/>
        <v>-74.314227048299472</v>
      </c>
      <c r="L42" s="3931">
        <f t="shared" si="45"/>
        <v>-1.1296774991225187</v>
      </c>
      <c r="M42" s="3889"/>
      <c r="N42" s="3932">
        <f>IF(K42="NA","NA",K42/Table8s2!$G$34*100)</f>
        <v>-1.1679693376558839E-2</v>
      </c>
      <c r="O42" s="3848">
        <v>1215.6208681266769</v>
      </c>
      <c r="P42" s="3847">
        <f>Summary2!E43</f>
        <v>1207.4721589111355</v>
      </c>
      <c r="Q42" s="3931">
        <f t="shared" ref="Q42:Q46" si="50">IF(P42="NO",IF(O42="NO","NA",-O42),IF(O42="NO",P42,P42-O42))</f>
        <v>-8.1487092155414302</v>
      </c>
      <c r="R42" s="3931">
        <f t="shared" ref="R42:R46" si="51">IF(Q42="NA","NA",Q42/O42*100)</f>
        <v>-0.6703331136540075</v>
      </c>
      <c r="S42" s="3889"/>
      <c r="T42" s="3932">
        <f>IF(Q42="NA","NA",Q42/Table8s2!$G$34*100)</f>
        <v>-1.2807026168812326E-3</v>
      </c>
      <c r="U42" s="713"/>
    </row>
    <row r="43" spans="2:21" ht="18" customHeight="1" x14ac:dyDescent="0.25">
      <c r="B43" s="620" t="s">
        <v>984</v>
      </c>
      <c r="C43" s="3847">
        <v>45465.953297026397</v>
      </c>
      <c r="D43" s="3847">
        <f>Summary2!C44</f>
        <v>45095.37484836088</v>
      </c>
      <c r="E43" s="3931">
        <f t="shared" si="48"/>
        <v>-370.5784486655175</v>
      </c>
      <c r="F43" s="3931">
        <f t="shared" si="49"/>
        <v>-0.81506802737545225</v>
      </c>
      <c r="G43" s="3889"/>
      <c r="H43" s="3931">
        <f>IF(E43="NA","NA",E43/Table8s2!$G$34*100)</f>
        <v>-5.8242449989569497E-2</v>
      </c>
      <c r="I43" s="3848">
        <v>650.01609948062037</v>
      </c>
      <c r="J43" s="3847">
        <f>Summary2!D44</f>
        <v>651.81896639999991</v>
      </c>
      <c r="K43" s="3931">
        <f t="shared" si="44"/>
        <v>1.8028669193795395</v>
      </c>
      <c r="L43" s="3931">
        <f t="shared" si="45"/>
        <v>0.277357271738358</v>
      </c>
      <c r="M43" s="3889"/>
      <c r="N43" s="3932">
        <f>IF(K43="NA","NA",K43/Table8s2!$G$34*100)</f>
        <v>2.8334995401901435E-4</v>
      </c>
      <c r="O43" s="3848">
        <v>148.82628097437504</v>
      </c>
      <c r="P43" s="3847">
        <f>Summary2!E44</f>
        <v>149.08013767086408</v>
      </c>
      <c r="Q43" s="3931">
        <f t="shared" si="50"/>
        <v>0.25385669648903786</v>
      </c>
      <c r="R43" s="3931">
        <f t="shared" si="51"/>
        <v>0.17057249218822246</v>
      </c>
      <c r="S43" s="3889"/>
      <c r="T43" s="3932">
        <f>IF(Q43="NA","NA",Q43/Table8s2!$G$34*100)</f>
        <v>3.9897722069437446E-5</v>
      </c>
      <c r="U43" s="713"/>
    </row>
    <row r="44" spans="2:21" ht="18" customHeight="1" x14ac:dyDescent="0.25">
      <c r="B44" s="620" t="s">
        <v>987</v>
      </c>
      <c r="C44" s="3847">
        <v>143823.74951473443</v>
      </c>
      <c r="D44" s="3847">
        <f>Summary2!C45</f>
        <v>142919.7014527928</v>
      </c>
      <c r="E44" s="3931">
        <f t="shared" si="48"/>
        <v>-904.04806194163393</v>
      </c>
      <c r="F44" s="3931">
        <f t="shared" si="49"/>
        <v>-0.62858051260095693</v>
      </c>
      <c r="G44" s="3889"/>
      <c r="H44" s="3931">
        <f>IF(E44="NA","NA",E44/Table8s2!$G$34*100)</f>
        <v>-0.14208590441622818</v>
      </c>
      <c r="I44" s="3848">
        <v>10493.153019735051</v>
      </c>
      <c r="J44" s="3847">
        <f>Summary2!D45</f>
        <v>10508.776468067099</v>
      </c>
      <c r="K44" s="3931">
        <f t="shared" si="44"/>
        <v>15.623448332047701</v>
      </c>
      <c r="L44" s="3931">
        <f t="shared" si="45"/>
        <v>0.14889183739781381</v>
      </c>
      <c r="M44" s="3889"/>
      <c r="N44" s="3932">
        <f>IF(K44="NA","NA",K44/Table8s2!$G$34*100)</f>
        <v>2.4554798354321631E-3</v>
      </c>
      <c r="O44" s="3848">
        <v>2810.1993792361295</v>
      </c>
      <c r="P44" s="3847">
        <f>Summary2!E45</f>
        <v>2814.8982883138283</v>
      </c>
      <c r="Q44" s="3931">
        <f t="shared" si="50"/>
        <v>4.6989090776987723</v>
      </c>
      <c r="R44" s="3931">
        <f t="shared" si="51"/>
        <v>0.16720909955421145</v>
      </c>
      <c r="S44" s="3889"/>
      <c r="T44" s="3932">
        <f>IF(Q44="NA","NA",Q44/Table8s2!$G$34*100)</f>
        <v>7.3851023433481853E-4</v>
      </c>
      <c r="U44" s="713"/>
    </row>
    <row r="45" spans="2:21" ht="18" customHeight="1" x14ac:dyDescent="0.25">
      <c r="B45" s="620" t="s">
        <v>1525</v>
      </c>
      <c r="C45" s="3847">
        <v>1770.9879211426369</v>
      </c>
      <c r="D45" s="3847">
        <f>Summary2!C46</f>
        <v>1393.2728901558985</v>
      </c>
      <c r="E45" s="3931">
        <f t="shared" si="48"/>
        <v>-377.71503098673838</v>
      </c>
      <c r="F45" s="3931">
        <f t="shared" si="49"/>
        <v>-21.327928128557623</v>
      </c>
      <c r="G45" s="3889"/>
      <c r="H45" s="3931">
        <f>IF(E45="NA","NA",E45/Table8s2!$G$34*100)</f>
        <v>-5.9364080349988316E-2</v>
      </c>
      <c r="I45" s="3848">
        <v>4198.4028902585069</v>
      </c>
      <c r="J45" s="3847">
        <f>Summary2!D46</f>
        <v>2496.8001598280675</v>
      </c>
      <c r="K45" s="3931">
        <f t="shared" si="44"/>
        <v>-1701.6027304304394</v>
      </c>
      <c r="L45" s="3931">
        <f t="shared" si="45"/>
        <v>-40.529762743319452</v>
      </c>
      <c r="M45" s="3889"/>
      <c r="N45" s="3932">
        <f>IF(K45="NA","NA",K45/Table8s2!$G$34*100)</f>
        <v>-0.26743463438334475</v>
      </c>
      <c r="O45" s="3848">
        <v>68.087924601293125</v>
      </c>
      <c r="P45" s="3847">
        <f>Summary2!E46</f>
        <v>68.149564250888773</v>
      </c>
      <c r="Q45" s="3931">
        <f t="shared" si="50"/>
        <v>6.1639649595647938E-2</v>
      </c>
      <c r="R45" s="3931">
        <f t="shared" si="51"/>
        <v>9.0529488094394456E-2</v>
      </c>
      <c r="S45" s="3889"/>
      <c r="T45" s="3932">
        <f>IF(Q45="NA","NA",Q45/Table8s2!$G$34*100)</f>
        <v>9.687676716973552E-6</v>
      </c>
      <c r="U45" s="713"/>
    </row>
    <row r="46" spans="2:21" ht="18" customHeight="1" x14ac:dyDescent="0.25">
      <c r="B46" s="620" t="s">
        <v>1526</v>
      </c>
      <c r="C46" s="3847">
        <v>7316.8849466223137</v>
      </c>
      <c r="D46" s="3847">
        <f>Summary2!C47</f>
        <v>7263.3273582147913</v>
      </c>
      <c r="E46" s="3931">
        <f t="shared" si="48"/>
        <v>-53.557588407522417</v>
      </c>
      <c r="F46" s="3931">
        <f t="shared" si="49"/>
        <v>-0.73197253746959834</v>
      </c>
      <c r="G46" s="3889"/>
      <c r="H46" s="3931">
        <f>IF(E46="NA","NA",E46/Table8s2!$G$34*100)</f>
        <v>-8.417448925106168E-3</v>
      </c>
      <c r="I46" s="3848">
        <v>185.9423727062987</v>
      </c>
      <c r="J46" s="3847">
        <f>Summary2!D47</f>
        <v>186.9975072</v>
      </c>
      <c r="K46" s="3931">
        <f t="shared" si="44"/>
        <v>1.0551344937013027</v>
      </c>
      <c r="L46" s="3931">
        <f t="shared" si="45"/>
        <v>0.56745241998601248</v>
      </c>
      <c r="M46" s="3889"/>
      <c r="N46" s="3932">
        <f>IF(K46="NA","NA",K46/Table8s2!$G$34*100)</f>
        <v>1.6583160246627193E-4</v>
      </c>
      <c r="O46" s="3848">
        <v>38.912078183055108</v>
      </c>
      <c r="P46" s="3847">
        <f>Summary2!E47</f>
        <v>39.111980890343034</v>
      </c>
      <c r="Q46" s="3931">
        <f t="shared" si="50"/>
        <v>0.19990270728792581</v>
      </c>
      <c r="R46" s="3931">
        <f t="shared" si="51"/>
        <v>0.51372919829035668</v>
      </c>
      <c r="S46" s="3889"/>
      <c r="T46" s="3932">
        <f>IF(Q46="NA","NA",Q46/Table8s2!$G$34*100)</f>
        <v>3.1417972291489976E-5</v>
      </c>
      <c r="U46" s="713"/>
    </row>
    <row r="47" spans="2:21" ht="18" customHeight="1" x14ac:dyDescent="0.25">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5">
      <c r="B48" s="620" t="s">
        <v>1528</v>
      </c>
      <c r="C48" s="3847">
        <v>-7386.4670283522028</v>
      </c>
      <c r="D48" s="3847">
        <f>Summary2!C49</f>
        <v>-7384.0277777218835</v>
      </c>
      <c r="E48" s="3931">
        <f t="shared" si="48"/>
        <v>2.4392506303192931</v>
      </c>
      <c r="F48" s="3931">
        <f t="shared" si="49"/>
        <v>-3.3023238592367332E-2</v>
      </c>
      <c r="G48" s="3889"/>
      <c r="H48" s="3931">
        <f>IF(E48="NA","NA",E48/Table8s2!$G$34*100)</f>
        <v>3.833680381576296E-4</v>
      </c>
      <c r="I48" s="3913"/>
      <c r="J48" s="3910"/>
      <c r="K48" s="3918"/>
      <c r="L48" s="3918"/>
      <c r="M48" s="3918"/>
      <c r="N48" s="3905"/>
      <c r="O48" s="3913"/>
      <c r="P48" s="3910"/>
      <c r="Q48" s="3918"/>
      <c r="R48" s="3918"/>
      <c r="S48" s="3918"/>
      <c r="T48" s="3905"/>
      <c r="U48" s="713"/>
    </row>
    <row r="49" spans="2:21" ht="18" customHeight="1" thickBot="1" x14ac:dyDescent="0.3">
      <c r="B49" s="1552" t="s">
        <v>1529</v>
      </c>
      <c r="C49" s="3855" t="s">
        <v>2146</v>
      </c>
      <c r="D49" s="3855" t="str">
        <f>Summary2!C50</f>
        <v>NO</v>
      </c>
      <c r="E49" s="3933" t="str">
        <f t="shared" si="48"/>
        <v>NA</v>
      </c>
      <c r="F49" s="3933" t="str">
        <f t="shared" si="49"/>
        <v>NA</v>
      </c>
      <c r="G49" s="3934"/>
      <c r="H49" s="3933" t="str">
        <f>IF(E49="NA","NA",E49/Table8s2!$G$34*100)</f>
        <v>NA</v>
      </c>
      <c r="I49" s="3935" t="s">
        <v>2146</v>
      </c>
      <c r="J49" s="3936" t="str">
        <f>Summary2!D50</f>
        <v>NO</v>
      </c>
      <c r="K49" s="3937" t="s">
        <v>2147</v>
      </c>
      <c r="L49" s="3937" t="s">
        <v>2147</v>
      </c>
      <c r="M49" s="3938"/>
      <c r="N49" s="3937" t="s">
        <v>2147</v>
      </c>
      <c r="O49" s="3873">
        <v>3.3808836285714294</v>
      </c>
      <c r="P49" s="3855">
        <f>Summary2!E50</f>
        <v>3.3808836285714294</v>
      </c>
      <c r="Q49" s="3933">
        <f t="shared" ref="Q49:Q50" si="52">IF(P49="NO",IF(O49="NO","NA",-O49),IF(O49="NO",P49,P49-O49))</f>
        <v>0</v>
      </c>
      <c r="R49" s="3933">
        <f t="shared" ref="R49:R50" si="53">IF(Q49="NA","NA",Q49/O49*100)</f>
        <v>0</v>
      </c>
      <c r="S49" s="3934"/>
      <c r="T49" s="3939">
        <f>IF(Q49="NA","NA",Q49/Table8s2!$G$34*100)</f>
        <v>0</v>
      </c>
      <c r="U49" s="713"/>
    </row>
    <row r="50" spans="2:21" ht="18" customHeight="1" x14ac:dyDescent="0.25">
      <c r="B50" s="710" t="s">
        <v>1500</v>
      </c>
      <c r="C50" s="3839">
        <f>SUM(C51:C55)</f>
        <v>73.841444217785693</v>
      </c>
      <c r="D50" s="3839">
        <f>Summary2!C51</f>
        <v>73.841444217785693</v>
      </c>
      <c r="E50" s="3839">
        <f t="shared" si="48"/>
        <v>0</v>
      </c>
      <c r="F50" s="3839">
        <f t="shared" si="49"/>
        <v>0</v>
      </c>
      <c r="G50" s="3844">
        <f>IF(E50="NA","NA",E50/Table8s2!$G$35*100)</f>
        <v>0</v>
      </c>
      <c r="H50" s="3845">
        <f>IF(E50="NA","NA",E50/Table8s2!$G$34*100)</f>
        <v>0</v>
      </c>
      <c r="I50" s="3839">
        <f>SUM(I51:I55)</f>
        <v>23231.214029325631</v>
      </c>
      <c r="J50" s="3839">
        <f>Summary2!D51</f>
        <v>23231.116847072135</v>
      </c>
      <c r="K50" s="3839">
        <f t="shared" ref="K50" si="54">IF(J50="NO",IF(I50="NO","NA",-I50),IF(I50="NO",J50,J50-I50))</f>
        <v>-9.7182253495702753E-2</v>
      </c>
      <c r="L50" s="3839">
        <f t="shared" ref="L50" si="55">IF(K50="NA","NA",K50/I50*100)</f>
        <v>-4.1832619411549463E-4</v>
      </c>
      <c r="M50" s="3844">
        <f>IF(K50="NA","NA",K50/Table8s2!$G$35*100)</f>
        <v>-2.2184854328461575E-5</v>
      </c>
      <c r="N50" s="3845">
        <f>IF(K50="NA","NA",K50/Table8s2!$G$34*100)</f>
        <v>-1.527377687364098E-5</v>
      </c>
      <c r="O50" s="3839">
        <f>SUM(O51:O55)</f>
        <v>277.65747320917842</v>
      </c>
      <c r="P50" s="3839">
        <f>Summary2!E51</f>
        <v>157.35713073911381</v>
      </c>
      <c r="Q50" s="3839">
        <f t="shared" si="52"/>
        <v>-120.30034247006461</v>
      </c>
      <c r="R50" s="3839">
        <f t="shared" si="53"/>
        <v>-43.326888010478335</v>
      </c>
      <c r="S50" s="3844">
        <f>IF(Q50="NA","NA",Q50/Table8s2!$G$35*100)</f>
        <v>-2.7462272970243843E-2</v>
      </c>
      <c r="T50" s="3845">
        <f>IF(Q50="NA","NA",Q50/Table8s2!$G$34*100)</f>
        <v>-1.8907161777140837E-2</v>
      </c>
    </row>
    <row r="51" spans="2:21" ht="18" customHeight="1" x14ac:dyDescent="0.25">
      <c r="B51" s="620" t="s">
        <v>1530</v>
      </c>
      <c r="C51" s="3918"/>
      <c r="D51" s="3918"/>
      <c r="E51" s="3888"/>
      <c r="F51" s="3903"/>
      <c r="G51" s="3904"/>
      <c r="H51" s="3905"/>
      <c r="I51" s="3839">
        <v>17064.7528518535</v>
      </c>
      <c r="J51" s="3839">
        <f>Summary2!D52</f>
        <v>17064.655669599997</v>
      </c>
      <c r="K51" s="3839">
        <f t="shared" ref="K51:K52" si="56">IF(J51="NO",IF(I51="NO","NA",-I51),IF(I51="NO",J51,J51-I51))</f>
        <v>-9.718225350297871E-2</v>
      </c>
      <c r="L51" s="3839">
        <f t="shared" ref="L51:L52" si="57">IF(K51="NA","NA",K51/I51*100)</f>
        <v>-5.694911279797597E-4</v>
      </c>
      <c r="M51" s="3844">
        <f>IF(K51="NA","NA",K51/Table8s2!$G$35*100)</f>
        <v>-2.2184854330122539E-5</v>
      </c>
      <c r="N51" s="3845">
        <f>IF(K51="NA","NA",K51/Table8s2!$G$34*100)</f>
        <v>-1.5273776874784515E-5</v>
      </c>
      <c r="O51" s="3886"/>
      <c r="P51" s="3887"/>
      <c r="Q51" s="3940"/>
      <c r="R51" s="3941"/>
      <c r="S51" s="3942"/>
      <c r="T51" s="3943"/>
    </row>
    <row r="52" spans="2:21" ht="18" customHeight="1" x14ac:dyDescent="0.25">
      <c r="B52" s="1396" t="s">
        <v>1531</v>
      </c>
      <c r="C52" s="3918"/>
      <c r="D52" s="3918"/>
      <c r="E52" s="3888"/>
      <c r="F52" s="3903"/>
      <c r="G52" s="3904"/>
      <c r="H52" s="3905"/>
      <c r="I52" s="3849">
        <v>9.807483363719852</v>
      </c>
      <c r="J52" s="3847">
        <f>Summary2!D53</f>
        <v>9.807483363719852</v>
      </c>
      <c r="K52" s="3839">
        <f t="shared" si="56"/>
        <v>0</v>
      </c>
      <c r="L52" s="3839">
        <f t="shared" si="57"/>
        <v>0</v>
      </c>
      <c r="M52" s="3844">
        <f>IF(K52="NA","NA",K52/Table8s2!$G$35*100)</f>
        <v>0</v>
      </c>
      <c r="N52" s="3845">
        <f>IF(K52="NA","NA",K52/Table8s2!$G$34*100)</f>
        <v>0</v>
      </c>
      <c r="O52" s="3839">
        <v>11.881065560620621</v>
      </c>
      <c r="P52" s="3839">
        <f>Summary2!E53</f>
        <v>11.881065560620621</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5">
      <c r="B53" s="1397" t="s">
        <v>1532</v>
      </c>
      <c r="C53" s="3839">
        <v>73.841444217785693</v>
      </c>
      <c r="D53" s="3839">
        <f>Summary2!C54</f>
        <v>73.841444217785693</v>
      </c>
      <c r="E53" s="3839">
        <f t="shared" ref="E53" si="60">IF(D53="NO",IF(C53="NO","NA",-C53),IF(C53="NO",D53,D53-C53))</f>
        <v>0</v>
      </c>
      <c r="F53" s="3839">
        <f t="shared" ref="F53" si="61">IF(E53="NA","NA",E53/C53*100)</f>
        <v>0</v>
      </c>
      <c r="G53" s="3844">
        <f>IF(E53="NA","NA",E53/Table8s2!$G$35*100)</f>
        <v>0</v>
      </c>
      <c r="H53" s="3845">
        <f>IF(E53="NA","NA",E53/Table8s2!$G$34*100)</f>
        <v>0</v>
      </c>
      <c r="I53" s="3849">
        <v>2.5947936</v>
      </c>
      <c r="J53" s="3847">
        <f>Summary2!D54</f>
        <v>2.5947936</v>
      </c>
      <c r="K53" s="3839" t="s">
        <v>2147</v>
      </c>
      <c r="L53" s="3944" t="s">
        <v>2147</v>
      </c>
      <c r="M53" s="3895" t="s">
        <v>2147</v>
      </c>
      <c r="N53" s="3896" t="s">
        <v>2147</v>
      </c>
      <c r="O53" s="3839">
        <v>10.064699999999998</v>
      </c>
      <c r="P53" s="3839">
        <f>Summary2!E54</f>
        <v>10.064699999999998</v>
      </c>
      <c r="Q53" s="3839" t="s">
        <v>2147</v>
      </c>
      <c r="R53" s="3839" t="s">
        <v>2147</v>
      </c>
      <c r="S53" s="3844" t="s">
        <v>2147</v>
      </c>
      <c r="T53" s="3845" t="s">
        <v>2147</v>
      </c>
    </row>
    <row r="54" spans="2:21" ht="18" customHeight="1" x14ac:dyDescent="0.25">
      <c r="B54" s="620" t="s">
        <v>1533</v>
      </c>
      <c r="C54" s="3945"/>
      <c r="D54" s="3946"/>
      <c r="E54" s="3947"/>
      <c r="F54" s="3946"/>
      <c r="G54" s="3948"/>
      <c r="H54" s="3949"/>
      <c r="I54" s="3847">
        <v>6154.058900508413</v>
      </c>
      <c r="J54" s="3847">
        <f>Summary2!D55</f>
        <v>6154.0589005084139</v>
      </c>
      <c r="K54" s="3839">
        <f t="shared" ref="K54" si="62">IF(J54="NO",IF(I54="NO","NA",-I54),IF(I54="NO",J54,J54-I54))</f>
        <v>9.0949470177292824E-13</v>
      </c>
      <c r="L54" s="3839">
        <f t="shared" ref="L54" si="63">IF(K54="NA","NA",K54/I54*100)</f>
        <v>1.4778777981760801E-14</v>
      </c>
      <c r="M54" s="3844">
        <f>IF(K54="NA","NA",K54/Table8s2!$G$35*100)</f>
        <v>2.0762028812423262E-16</v>
      </c>
      <c r="N54" s="3845">
        <f>IF(K54="NA","NA",K54/Table8s2!$G$34*100)</f>
        <v>1.4294193273932064E-16</v>
      </c>
      <c r="O54" s="3839">
        <v>255.71170764855779</v>
      </c>
      <c r="P54" s="3839">
        <f>Summary2!E55</f>
        <v>135.41136517849318</v>
      </c>
      <c r="Q54" s="3839">
        <f t="shared" ref="Q54" si="64">IF(P54="NO",IF(O54="NO","NA",-O54),IF(O54="NO",P54,P54-O54))</f>
        <v>-120.30034247006461</v>
      </c>
      <c r="R54" s="3839">
        <f t="shared" ref="R54" si="65">IF(Q54="NA","NA",Q54/O54*100)</f>
        <v>-47.045300966587597</v>
      </c>
      <c r="S54" s="3844">
        <f>IF(Q54="NA","NA",Q54/Table8s2!$G$35*100)</f>
        <v>-2.7462272970243843E-2</v>
      </c>
      <c r="T54" s="3845">
        <f>IF(Q54="NA","NA",Q54/Table8s2!$G$34*100)</f>
        <v>-1.8907161777140837E-2</v>
      </c>
    </row>
    <row r="55" spans="2:21" ht="18" customHeight="1" thickBot="1" x14ac:dyDescent="0.3">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3">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3">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5">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5">
      <c r="B59" s="1409" t="s">
        <v>110</v>
      </c>
      <c r="C59" s="3847">
        <v>6460.402</v>
      </c>
      <c r="D59" s="3847">
        <f>Summary2!C60</f>
        <v>6460.402</v>
      </c>
      <c r="E59" s="3861">
        <f t="shared" ref="E59" si="66">IF(D59="NO",IF(C59="NO","NA",-C59),IF(C59="NO",D59,D59-C59))</f>
        <v>0</v>
      </c>
      <c r="F59" s="3861">
        <f t="shared" ref="F59" si="67">IF(E59="NA","NA",E59/C59*100)</f>
        <v>0</v>
      </c>
      <c r="G59" s="3862">
        <f>IF(E59="NA","NA",E59/Table8s2!$G$35*100)</f>
        <v>0</v>
      </c>
      <c r="H59" s="3863">
        <f>IF(E59="NA","NA",E59/Table8s2!$G$34*100)</f>
        <v>0</v>
      </c>
      <c r="I59" s="3847">
        <v>5.8068485533332401</v>
      </c>
      <c r="J59" s="3847">
        <f>Summary2!D60</f>
        <v>5.8068485533333343</v>
      </c>
      <c r="K59" s="3861">
        <f t="shared" ref="K59:K61" si="68">IF(J59="NO",IF(I59="NO","NA",-I59),IF(I59="NO",J59,J59-I59))</f>
        <v>9.4146912488213275E-14</v>
      </c>
      <c r="L59" s="3861">
        <f t="shared" ref="L59:L61" si="69">IF(K59="NA","NA",K59/I59*100)</f>
        <v>1.6213082125961624E-12</v>
      </c>
      <c r="M59" s="3862">
        <f>IF(K59="NA","NA",K59/Table8s2!$G$35*100)</f>
        <v>2.1491943887860016E-17</v>
      </c>
      <c r="N59" s="3863">
        <f>IF(K59="NA","NA",K59/Table8s2!$G$34*100)</f>
        <v>1.4796723506218739E-17</v>
      </c>
      <c r="O59" s="3848">
        <v>21.198376430311452</v>
      </c>
      <c r="P59" s="3847">
        <f>Summary2!E60</f>
        <v>21.198376430311402</v>
      </c>
      <c r="Q59" s="3861">
        <f t="shared" ref="Q59" si="70">IF(P59="NO",IF(O59="NO","NA",-O59),IF(O59="NO",P59,P59-O59))</f>
        <v>-4.9737991503207013E-14</v>
      </c>
      <c r="R59" s="3966">
        <f t="shared" ref="R59" si="71">IF(Q59="NA","NA",Q59/O59*100)</f>
        <v>-2.3463113633592669E-13</v>
      </c>
      <c r="S59" s="3967">
        <f>IF(Q59="NA","NA",Q59/Table8s2!$G$35*100)</f>
        <v>-1.1354234506793971E-17</v>
      </c>
      <c r="T59" s="3968">
        <f>IF(Q59="NA","NA",Q59/Table8s2!$G$34*100)</f>
        <v>-7.8171369466815973E-18</v>
      </c>
    </row>
    <row r="60" spans="2:21" ht="18" customHeight="1" x14ac:dyDescent="0.25">
      <c r="B60" s="1410" t="s">
        <v>111</v>
      </c>
      <c r="C60" s="3847">
        <v>4382.7120000000004</v>
      </c>
      <c r="D60" s="3847">
        <f>Summary2!C61</f>
        <v>4382.7120000000004</v>
      </c>
      <c r="E60" s="3861">
        <f t="shared" ref="E60:E61" si="72">IF(D60="NO",IF(C60="NO","NA",-C60),IF(C60="NO",D60,D60-C60))</f>
        <v>0</v>
      </c>
      <c r="F60" s="3861">
        <f t="shared" ref="F60:F61" si="73">IF(E60="NA","NA",E60/C60*100)</f>
        <v>0</v>
      </c>
      <c r="G60" s="3862">
        <f>IF(E60="NA","NA",E60/Table8s2!$G$35*100)</f>
        <v>0</v>
      </c>
      <c r="H60" s="3863">
        <f>IF(E60="NA","NA",E60/Table8s2!$G$34*100)</f>
        <v>0</v>
      </c>
      <c r="I60" s="3847">
        <v>0.21888855333324</v>
      </c>
      <c r="J60" s="3847">
        <f>Summary2!D61</f>
        <v>0.21888855333333335</v>
      </c>
      <c r="K60" s="3861">
        <f t="shared" si="68"/>
        <v>9.3342000795360036E-14</v>
      </c>
      <c r="L60" s="3861">
        <f t="shared" si="69"/>
        <v>4.2643619035324537E-11</v>
      </c>
      <c r="M60" s="3862">
        <f>IF(K60="NA","NA",K60/Table8s2!$G$35*100)</f>
        <v>2.1308197905328192E-17</v>
      </c>
      <c r="N60" s="3863">
        <f>IF(K60="NA","NA",K60/Table8s2!$G$34*100)</f>
        <v>1.467021849982713E-17</v>
      </c>
      <c r="O60" s="3848">
        <v>6.0880764303114496</v>
      </c>
      <c r="P60" s="3847">
        <f>Summary2!E61</f>
        <v>6.0880764303114034</v>
      </c>
      <c r="Q60" s="3861">
        <f t="shared" ref="Q60:Q61" si="74">IF(P60="NO",IF(O60="NO","NA",-O60),IF(O60="NO",P60,P60-O60))</f>
        <v>-4.6185277824406512E-14</v>
      </c>
      <c r="R60" s="3966">
        <f t="shared" ref="R60:R61" si="75">IF(Q60="NA","NA",Q60/O60*100)</f>
        <v>-7.5861856126605497E-13</v>
      </c>
      <c r="S60" s="3967">
        <f>IF(Q60="NA","NA",Q60/Table8s2!$G$35*100)</f>
        <v>-1.0543217756308687E-17</v>
      </c>
      <c r="T60" s="3968">
        <f>IF(Q60="NA","NA",Q60/Table8s2!$G$34*100)</f>
        <v>-7.2587700219186276E-18</v>
      </c>
    </row>
    <row r="61" spans="2:21" ht="18" customHeight="1" x14ac:dyDescent="0.25">
      <c r="B61" s="1411" t="s">
        <v>1503</v>
      </c>
      <c r="C61" s="3847">
        <v>2077.69</v>
      </c>
      <c r="D61" s="3847">
        <f>Summary2!C62</f>
        <v>2077.69</v>
      </c>
      <c r="E61" s="3861">
        <f t="shared" si="72"/>
        <v>0</v>
      </c>
      <c r="F61" s="3861">
        <f t="shared" si="73"/>
        <v>0</v>
      </c>
      <c r="G61" s="3862">
        <f>IF(E61="NA","NA",E61/Table8s2!$G$35*100)</f>
        <v>0</v>
      </c>
      <c r="H61" s="3863">
        <f>IF(E61="NA","NA",E61/Table8s2!$G$34*100)</f>
        <v>0</v>
      </c>
      <c r="I61" s="3847">
        <v>5.5879599999999998</v>
      </c>
      <c r="J61" s="3847">
        <f>Summary2!D62</f>
        <v>5.5879600000000007</v>
      </c>
      <c r="K61" s="3861">
        <f t="shared" si="68"/>
        <v>8.8817841970012523E-16</v>
      </c>
      <c r="L61" s="3861">
        <f t="shared" si="69"/>
        <v>1.5894502102737407E-14</v>
      </c>
      <c r="M61" s="3862">
        <f>IF(K61="NA","NA",K61/Table8s2!$G$35*100)</f>
        <v>2.0275418762132092E-19</v>
      </c>
      <c r="N61" s="3863">
        <f>IF(K61="NA","NA",K61/Table8s2!$G$34*100)</f>
        <v>1.3959173119074281E-19</v>
      </c>
      <c r="O61" s="3848">
        <v>15.110300000000001</v>
      </c>
      <c r="P61" s="3847">
        <f>Summary2!E62</f>
        <v>15.110300000000001</v>
      </c>
      <c r="Q61" s="3861">
        <f t="shared" si="74"/>
        <v>0</v>
      </c>
      <c r="R61" s="3966">
        <f t="shared" si="75"/>
        <v>0</v>
      </c>
      <c r="S61" s="3967">
        <f>IF(Q61="NA","NA",Q61/Table8s2!$G$35*100)</f>
        <v>0</v>
      </c>
      <c r="T61" s="3968">
        <f>IF(Q61="NA","NA",Q61/Table8s2!$G$34*100)</f>
        <v>0</v>
      </c>
    </row>
    <row r="62" spans="2:21" ht="18" customHeight="1" x14ac:dyDescent="0.25">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5">
      <c r="B63" s="1409" t="s">
        <v>1688</v>
      </c>
      <c r="C63" s="3847">
        <v>15142.26513</v>
      </c>
      <c r="D63" s="3847">
        <f>Summary2!C64</f>
        <v>15142.26513</v>
      </c>
      <c r="E63" s="3861">
        <f t="shared" ref="E63:E65" si="76">IF(D63="NO",IF(C63="NO","NA",-C63),IF(C63="NO",D63,D63-C63))</f>
        <v>0</v>
      </c>
      <c r="F63" s="3861">
        <f t="shared" ref="F63:F65" si="77">IF(E63="NA","NA",E63/C63*100)</f>
        <v>0</v>
      </c>
      <c r="G63" s="3862">
        <f>IF(E63="NA","NA",E63/Table8s2!$G$35*100)</f>
        <v>0</v>
      </c>
      <c r="H63" s="3863">
        <f>IF(E63="NA","NA",E63/Table8s2!$G$34*100)</f>
        <v>0</v>
      </c>
      <c r="I63" s="3969"/>
      <c r="J63" s="3969"/>
      <c r="K63" s="3970"/>
      <c r="L63" s="3970"/>
      <c r="M63" s="3971"/>
      <c r="N63" s="3972"/>
      <c r="O63" s="3973"/>
      <c r="P63" s="3969"/>
      <c r="Q63" s="3970"/>
      <c r="R63" s="3974"/>
      <c r="S63" s="3975"/>
      <c r="T63" s="3976"/>
    </row>
    <row r="64" spans="2:21" ht="18" customHeight="1" x14ac:dyDescent="0.25">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5">
      <c r="B65" s="1414" t="s">
        <v>1505</v>
      </c>
      <c r="C65" s="3847">
        <v>-186839.85861468967</v>
      </c>
      <c r="D65" s="3849">
        <f>Summary2!C66</f>
        <v>-186838.5274408925</v>
      </c>
      <c r="E65" s="3977">
        <f t="shared" si="76"/>
        <v>1.3311737971671391</v>
      </c>
      <c r="F65" s="3984">
        <f t="shared" si="77"/>
        <v>-7.1246778232280251E-4</v>
      </c>
      <c r="G65" s="3985">
        <f>IF(E65="NA","NA",E65/Table8s2!$G$35*100)</f>
        <v>3.0388158036820877E-4</v>
      </c>
      <c r="H65" s="3986">
        <f>IF(E65="NA","NA",E65/Table8s2!$G$34*100)</f>
        <v>2.0921568317889801E-4</v>
      </c>
      <c r="I65" s="3980"/>
      <c r="J65" s="3980"/>
      <c r="K65" s="3980"/>
      <c r="L65" s="3980"/>
      <c r="M65" s="3987"/>
      <c r="N65" s="3983"/>
      <c r="O65" s="3979"/>
      <c r="P65" s="3980"/>
      <c r="Q65" s="3988"/>
      <c r="R65" s="3981"/>
      <c r="S65" s="3982"/>
      <c r="T65" s="3983"/>
    </row>
    <row r="66" spans="2:20" ht="18" customHeight="1" thickBot="1" x14ac:dyDescent="0.35">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3">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5">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5">
      <c r="B70" s="83" t="s">
        <v>1935</v>
      </c>
    </row>
    <row r="71" spans="2:20" ht="15.75" customHeight="1" x14ac:dyDescent="0.25">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5"/>
  <cols>
    <col min="1" max="1" width="1.88671875" customWidth="1"/>
    <col min="2" max="2" width="36.88671875" customWidth="1"/>
    <col min="3" max="6" width="12.88671875" customWidth="1"/>
    <col min="7" max="8" width="13.88671875" customWidth="1"/>
    <col min="9" max="12" width="12.88671875" customWidth="1"/>
    <col min="13" max="14" width="13.88671875" customWidth="1"/>
    <col min="15" max="18" width="12.88671875" customWidth="1"/>
    <col min="19" max="20" width="13.88671875" customWidth="1"/>
    <col min="21" max="24" width="12.88671875" customWidth="1"/>
    <col min="25" max="26" width="13.88671875" customWidth="1"/>
    <col min="27" max="30" width="12.88671875" customWidth="1"/>
    <col min="31" max="32" width="13.88671875" customWidth="1"/>
    <col min="33" max="33" width="10.88671875" customWidth="1"/>
  </cols>
  <sheetData>
    <row r="1" spans="2:32" ht="15.75" customHeight="1" x14ac:dyDescent="0.25">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5">
      <c r="B2" s="3" t="s">
        <v>650</v>
      </c>
      <c r="C2" s="3" t="s">
        <v>1678</v>
      </c>
      <c r="D2" s="695"/>
      <c r="E2" s="695"/>
      <c r="F2" s="695"/>
      <c r="G2" s="695"/>
      <c r="H2" s="695"/>
      <c r="I2" s="695"/>
      <c r="J2" s="695"/>
      <c r="K2" s="695"/>
      <c r="L2" s="2495"/>
      <c r="M2" s="714"/>
      <c r="N2" s="618"/>
      <c r="O2" s="618"/>
      <c r="P2" s="618"/>
      <c r="Q2" s="618"/>
      <c r="R2" s="618"/>
      <c r="S2" s="618"/>
      <c r="AF2" s="14" t="s">
        <v>2522</v>
      </c>
    </row>
    <row r="3" spans="2:32" ht="15.6" x14ac:dyDescent="0.25">
      <c r="B3" s="3"/>
      <c r="D3" s="695"/>
      <c r="E3" s="695"/>
      <c r="F3" s="695"/>
      <c r="G3" s="695"/>
      <c r="H3" s="695"/>
      <c r="I3" s="695"/>
      <c r="J3" s="695"/>
      <c r="K3" s="695"/>
      <c r="L3" s="714"/>
      <c r="M3" s="714"/>
      <c r="N3" s="618"/>
      <c r="O3" s="618"/>
      <c r="P3" s="618"/>
      <c r="Q3" s="618"/>
      <c r="R3" s="618"/>
      <c r="S3" s="618"/>
      <c r="AF3" s="14" t="s">
        <v>2144</v>
      </c>
    </row>
    <row r="4" spans="2:32" ht="15.6" hidden="1" x14ac:dyDescent="0.25">
      <c r="B4" s="3"/>
      <c r="D4" s="695"/>
      <c r="E4" s="695"/>
      <c r="F4" s="695"/>
      <c r="G4" s="695"/>
      <c r="H4" s="695"/>
      <c r="I4" s="695"/>
      <c r="J4" s="695"/>
      <c r="K4" s="695"/>
      <c r="L4" s="714"/>
      <c r="M4" s="714"/>
      <c r="N4" s="618"/>
      <c r="O4" s="618"/>
      <c r="P4" s="618"/>
      <c r="Q4" s="618"/>
      <c r="R4" s="618"/>
      <c r="S4" s="618"/>
      <c r="AF4" s="2"/>
    </row>
    <row r="5" spans="2:32" ht="15.6" hidden="1" x14ac:dyDescent="0.25">
      <c r="B5" s="3"/>
      <c r="D5" s="695"/>
      <c r="E5" s="695"/>
      <c r="F5" s="695"/>
      <c r="G5" s="695"/>
      <c r="H5" s="695"/>
      <c r="I5" s="695"/>
      <c r="J5" s="695"/>
      <c r="K5" s="695"/>
      <c r="L5" s="714"/>
      <c r="M5" s="714"/>
      <c r="N5" s="618"/>
      <c r="O5" s="618"/>
      <c r="P5" s="618"/>
      <c r="Q5" s="618"/>
      <c r="R5" s="618"/>
      <c r="S5" s="618"/>
      <c r="AF5" s="2"/>
    </row>
    <row r="6" spans="2:32" ht="15.75" customHeight="1" thickBot="1" x14ac:dyDescent="0.3">
      <c r="B6" s="2452" t="s">
        <v>64</v>
      </c>
      <c r="D6" s="695"/>
      <c r="E6" s="695"/>
      <c r="F6" s="695"/>
      <c r="G6" s="695"/>
      <c r="H6" s="695"/>
      <c r="I6" s="695"/>
      <c r="J6" s="695"/>
      <c r="K6" s="695"/>
      <c r="L6" s="714"/>
      <c r="M6" s="714"/>
      <c r="N6" s="618"/>
      <c r="O6" s="618"/>
      <c r="P6" s="618"/>
      <c r="Q6" s="618"/>
      <c r="R6" s="618"/>
      <c r="S6" s="618"/>
    </row>
    <row r="7" spans="2:32" ht="17.25" customHeight="1" x14ac:dyDescent="0.25">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5">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3">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5">
      <c r="B10" s="1950" t="s">
        <v>1693</v>
      </c>
      <c r="C10" s="4018">
        <f>IF(SUM(C11:C30)=0,"NO",SUM(C11:C30))</f>
        <v>1193.6537599999999</v>
      </c>
      <c r="D10" s="4019">
        <f>IF(SUM(D11:D30)=0,"NO",SUM(D11:D30))</f>
        <v>1193.6537599999999</v>
      </c>
      <c r="E10" s="4019">
        <f>IF(D10="NO",IF(C10="NO","NA",-C10),IF(C10="NO",D10,D10-C10))</f>
        <v>0</v>
      </c>
      <c r="F10" s="4019">
        <f>IF(E10="NA","NA",E10/C10*100)</f>
        <v>0</v>
      </c>
      <c r="G10" s="4020">
        <f>IF(E10="NA","NA",E10/$G$35*100)</f>
        <v>0</v>
      </c>
      <c r="H10" s="4021">
        <f>IF(E10="NA","NA",E10/$G$34*100)</f>
        <v>0</v>
      </c>
      <c r="I10" s="4022">
        <f>IF(SUM(I11:I30)=0,"NO",SUM(I11:I30))</f>
        <v>4143.5315389337156</v>
      </c>
      <c r="J10" s="4022">
        <f>IF(SUM(J11:J30)=0,"NO",SUM(J11:J30))</f>
        <v>4143.5315389337156</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227.33126391232889</v>
      </c>
      <c r="V10" s="4019">
        <f>IF(SUM(V11:V30)=0,"NO",SUM(V11:V30))</f>
        <v>227.33126391232889</v>
      </c>
      <c r="W10" s="4019">
        <f>IF(V10="NO",IF(U10="NO","NA",-U10),IF(U10="NO",V10,V10-U10))</f>
        <v>0</v>
      </c>
      <c r="X10" s="4023">
        <f>IF(W10="NA","NA",W10/U10*100)</f>
        <v>0</v>
      </c>
      <c r="Y10" s="4024">
        <f>IF(W10="NA","NA",W10/$G$35*100)</f>
        <v>0</v>
      </c>
      <c r="Z10" s="4021">
        <f>IF(W10="NA","NA",W10/$G$34*100)</f>
        <v>0</v>
      </c>
      <c r="AA10" s="4019" t="s">
        <v>2146</v>
      </c>
      <c r="AB10" s="4019" t="s">
        <v>2146</v>
      </c>
      <c r="AC10" s="4019" t="s">
        <v>2147</v>
      </c>
      <c r="AD10" s="4023" t="s">
        <v>2147</v>
      </c>
      <c r="AE10" s="4024" t="s">
        <v>2147</v>
      </c>
      <c r="AF10" s="4021" t="s">
        <v>2147</v>
      </c>
    </row>
    <row r="11" spans="2:32" ht="18" customHeight="1" x14ac:dyDescent="0.25">
      <c r="B11" s="1951" t="s">
        <v>1694</v>
      </c>
      <c r="C11" s="3848">
        <v>1193.6537599999999</v>
      </c>
      <c r="D11" s="3847">
        <f>'Table2(I)'!F25</f>
        <v>1193.6537599999999</v>
      </c>
      <c r="E11" s="3847">
        <f>IF(D11="NO",IF(C11="NO","NA",-C11),IF(C11="NO",D11,D11-C11))</f>
        <v>0</v>
      </c>
      <c r="F11" s="4016">
        <f>IF(E11="NA","NA",E11/C11*100)</f>
        <v>0</v>
      </c>
      <c r="G11" s="3871">
        <f>IF(E11="NA","NA",E11/$G$35*100)</f>
        <v>0</v>
      </c>
      <c r="H11" s="3872">
        <f>IF(E11="NA","NA",E11/$G$34*100)</f>
        <v>0</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5">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5">
      <c r="B13" s="1951" t="s">
        <v>532</v>
      </c>
      <c r="C13" s="4033"/>
      <c r="D13" s="4034"/>
      <c r="E13" s="4034"/>
      <c r="F13" s="4034"/>
      <c r="G13" s="4034"/>
      <c r="H13" s="4035"/>
      <c r="I13" s="4017">
        <v>4143.5315389337156</v>
      </c>
      <c r="J13" s="3839">
        <f>'Table2(II)'!AH41</f>
        <v>4143.5315389337156</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5">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t="s">
        <v>2146</v>
      </c>
      <c r="V14" s="3847" t="str">
        <f>IFERROR('Table2(I)'!I31*23500,'Table2(I)'!I31)</f>
        <v>NO</v>
      </c>
      <c r="W14" s="3847" t="str">
        <f>IF(V14="NO",IF(U14="NO","NA",-U14),IF(U14="NO",V14,V14-U14))</f>
        <v>NA</v>
      </c>
      <c r="X14" s="4016" t="str">
        <f>IF(W14="NA","NA",W14/U14*100)</f>
        <v>NA</v>
      </c>
      <c r="Y14" s="3871" t="str">
        <f>IF(W14="NA","NA",W14/$G$35*100)</f>
        <v>NA</v>
      </c>
      <c r="Z14" s="3872" t="str">
        <f>IF(W14="NA","NA",W14/$G$34*100)</f>
        <v>NA</v>
      </c>
      <c r="AA14" s="3902"/>
      <c r="AB14" s="3902"/>
      <c r="AC14" s="3902"/>
      <c r="AD14" s="4036"/>
      <c r="AE14" s="4034"/>
      <c r="AF14" s="4037"/>
    </row>
    <row r="15" spans="2:32" ht="18" customHeight="1" x14ac:dyDescent="0.25">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5">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5">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5">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5">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5">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5">
      <c r="B21" s="1951" t="s">
        <v>474</v>
      </c>
      <c r="C21" s="3848" t="s">
        <v>2146</v>
      </c>
      <c r="D21" s="3847" t="str">
        <f>'Table2(I)'!F46</f>
        <v>NO</v>
      </c>
      <c r="E21" s="3847" t="str">
        <f>IF(D21="NO",IF(C21="NO","NA",-C21),IF(C21="NO",D21,D21-C21))</f>
        <v>NA</v>
      </c>
      <c r="F21" s="4016" t="str">
        <f>IF(E21="NA","NA",E21/C21*100)</f>
        <v>NA</v>
      </c>
      <c r="G21" s="3871" t="str">
        <f>IF(E21="NA","NA",E21/$G$35*100)</f>
        <v>NA</v>
      </c>
      <c r="H21" s="3872" t="str">
        <f>IF(E21="NA","NA",E21/$G$34*100)</f>
        <v>NA</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5">
      <c r="B22" s="1951" t="s">
        <v>475</v>
      </c>
      <c r="C22" s="3848" t="s">
        <v>2146</v>
      </c>
      <c r="D22" s="3847" t="str">
        <f>'Table2(I)'!F47</f>
        <v>NO</v>
      </c>
      <c r="E22" s="3847" t="str">
        <f t="shared" ref="E22:E25" si="0">IF(D22="NO",IF(C22="NO","NA",-C22),IF(C22="NO",D22,D22-C22))</f>
        <v>NA</v>
      </c>
      <c r="F22" s="4016" t="str">
        <f t="shared" ref="F22:F25" si="1">IF(E22="NA","NA",E22/C22*100)</f>
        <v>NA</v>
      </c>
      <c r="G22" s="3871" t="str">
        <f t="shared" ref="G22:G25" si="2">IF(E22="NA","NA",E22/$G$35*100)</f>
        <v>NA</v>
      </c>
      <c r="H22" s="3872" t="str">
        <f t="shared" ref="H22:H25" si="3">IF(E22="NA","NA",E22/$G$34*100)</f>
        <v>NA</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5">
      <c r="B23" s="1951" t="s">
        <v>476</v>
      </c>
      <c r="C23" s="3848" t="s">
        <v>2146</v>
      </c>
      <c r="D23" s="3847" t="str">
        <f>'Table2(I)'!F48</f>
        <v>NO</v>
      </c>
      <c r="E23" s="3847" t="str">
        <f t="shared" si="0"/>
        <v>NA</v>
      </c>
      <c r="F23" s="4016" t="str">
        <f t="shared" si="1"/>
        <v>NA</v>
      </c>
      <c r="G23" s="3871" t="str">
        <f t="shared" si="2"/>
        <v>NA</v>
      </c>
      <c r="H23" s="3872" t="str">
        <f t="shared" si="3"/>
        <v>NA</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5">
      <c r="B24" s="1951" t="s">
        <v>477</v>
      </c>
      <c r="C24" s="3848" t="s">
        <v>2146</v>
      </c>
      <c r="D24" s="3847" t="str">
        <f>'Table2(I)'!F49</f>
        <v>NO</v>
      </c>
      <c r="E24" s="3847" t="str">
        <f t="shared" si="0"/>
        <v>NA</v>
      </c>
      <c r="F24" s="4016" t="str">
        <f t="shared" si="1"/>
        <v>NA</v>
      </c>
      <c r="G24" s="3871" t="str">
        <f t="shared" si="2"/>
        <v>NA</v>
      </c>
      <c r="H24" s="3872" t="str">
        <f t="shared" si="3"/>
        <v>NA</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5">
      <c r="B25" s="1951" t="s">
        <v>478</v>
      </c>
      <c r="C25" s="3848" t="s">
        <v>2146</v>
      </c>
      <c r="D25" s="3847" t="str">
        <f>'Table2(I)'!F50</f>
        <v>NO</v>
      </c>
      <c r="E25" s="3847" t="str">
        <f t="shared" si="0"/>
        <v>NA</v>
      </c>
      <c r="F25" s="4016" t="str">
        <f t="shared" si="1"/>
        <v>NA</v>
      </c>
      <c r="G25" s="3871" t="str">
        <f t="shared" si="2"/>
        <v>NA</v>
      </c>
      <c r="H25" s="3872" t="str">
        <f t="shared" si="3"/>
        <v>NA</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5">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5">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213.66847605472299</v>
      </c>
      <c r="V27" s="3847">
        <f>IFERROR('Table2(I)'!I53*23500,'Table2(I)'!I53)</f>
        <v>213.66847605472302</v>
      </c>
      <c r="W27" s="3847">
        <f>IF(V27="NO",IF(U27="NO","NA",-U27),IF(U27="NO",V27,V27-U27))</f>
        <v>2.8421709430404007E-14</v>
      </c>
      <c r="X27" s="4016">
        <f>IF(W27="NA","NA",W27/U27*100)</f>
        <v>1.3301779445988503E-14</v>
      </c>
      <c r="Y27" s="3871">
        <f>IF(W27="NA","NA",W27/$G$35*100)</f>
        <v>6.4881340038822693E-18</v>
      </c>
      <c r="Z27" s="3872">
        <f>IF(W27="NA","NA",W27/$G$34*100)</f>
        <v>4.4669353981037699E-18</v>
      </c>
      <c r="AA27" s="3847" t="s">
        <v>2146</v>
      </c>
      <c r="AB27" s="3847" t="s">
        <v>2146</v>
      </c>
      <c r="AC27" s="3847" t="s">
        <v>2147</v>
      </c>
      <c r="AD27" s="4027" t="s">
        <v>2147</v>
      </c>
      <c r="AE27" s="4028" t="s">
        <v>2147</v>
      </c>
      <c r="AF27" s="3872" t="s">
        <v>2147</v>
      </c>
    </row>
    <row r="28" spans="2:32" ht="18" customHeight="1" x14ac:dyDescent="0.25">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13.662787857605904</v>
      </c>
      <c r="V28" s="3847">
        <f>IFERROR('Table2(I)'!I54*23500,'Table2(I)'!I54)</f>
        <v>13.662787857605888</v>
      </c>
      <c r="W28" s="3847">
        <f>IF(V28="NO",IF(U28="NO","NA",-U28),IF(U28="NO",V28,V28-U28))</f>
        <v>-1.5987211554602254E-14</v>
      </c>
      <c r="X28" s="4016">
        <f>IF(W28="NA","NA",W28/U28*100)</f>
        <v>-1.1701280676551215E-13</v>
      </c>
      <c r="Y28" s="3871">
        <f>IF(W28="NA","NA",W28/$G$35*100)</f>
        <v>-3.6495753771837762E-18</v>
      </c>
      <c r="Z28" s="3872">
        <f>IF(W28="NA","NA",W28/$G$34*100)</f>
        <v>-2.5126511614333706E-18</v>
      </c>
      <c r="AA28" s="3902"/>
      <c r="AB28" s="3902"/>
      <c r="AC28" s="3902"/>
      <c r="AD28" s="4036"/>
      <c r="AE28" s="4034"/>
      <c r="AF28" s="4037"/>
    </row>
    <row r="29" spans="2:32" ht="18" customHeight="1" x14ac:dyDescent="0.25">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3">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3">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5">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3">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5">
      <c r="B34" s="2570" t="s">
        <v>2140</v>
      </c>
      <c r="C34" s="734"/>
      <c r="D34" s="973"/>
      <c r="E34" s="4491">
        <f>SUM(Table8s1!C10,Table8s1!I10,Table8s1!O10,C10,I10,O10,U10,AA10)</f>
        <v>640635.7328379415</v>
      </c>
      <c r="F34" s="4492"/>
      <c r="G34" s="4491">
        <f>SUM(Table8s1!D10,Table8s1!J10,Table8s1!P10,D10,J10,P10,V10,AB10)</f>
        <v>636268.64723562205</v>
      </c>
      <c r="H34" s="4492"/>
      <c r="I34" s="3839">
        <f>G34-E34</f>
        <v>-4367.0856023194501</v>
      </c>
      <c r="J34" s="4045">
        <f>IF(I34="NA","NA",I34/E34*100)</f>
        <v>-0.68167999043290495</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3">
      <c r="B35" s="2571" t="s">
        <v>2141</v>
      </c>
      <c r="C35" s="735"/>
      <c r="D35" s="736"/>
      <c r="E35" s="4493">
        <f>E34-SUM(Table8s1!C41,Table8s1!I41,Table8s1!O41)</f>
        <v>438171.37183559639</v>
      </c>
      <c r="F35" s="4494"/>
      <c r="G35" s="4495">
        <f>G34-SUM(Table8s1!D41,Table8s1!J41,Table8s1!P41)</f>
        <v>438056.75735731516</v>
      </c>
      <c r="H35" s="4496"/>
      <c r="I35" s="3855">
        <f>G35-E35</f>
        <v>-114.61447828123346</v>
      </c>
      <c r="J35" s="4046">
        <f>IF(I35="NA","NA",I35/E35*100)</f>
        <v>-2.6157454742213797E-2</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5">
      <c r="B36" s="737"/>
      <c r="C36" s="737"/>
      <c r="D36" s="737"/>
      <c r="E36" s="737"/>
      <c r="F36" s="737"/>
      <c r="G36" s="737"/>
      <c r="H36" s="737"/>
      <c r="I36" s="737"/>
      <c r="J36" s="737"/>
      <c r="K36" s="737"/>
      <c r="L36" s="737"/>
      <c r="M36" s="737"/>
      <c r="N36" s="719"/>
      <c r="O36" s="719"/>
      <c r="P36" s="719"/>
      <c r="Q36" s="719"/>
      <c r="R36" s="719"/>
      <c r="S36" s="719"/>
      <c r="T36" s="719"/>
    </row>
    <row r="37" spans="2:32" ht="15.6" x14ac:dyDescent="0.25">
      <c r="B37" s="738"/>
      <c r="C37" s="738"/>
      <c r="D37" s="738"/>
      <c r="E37" s="738"/>
      <c r="F37" s="738"/>
      <c r="G37" s="738"/>
      <c r="H37" s="738"/>
      <c r="I37" s="738"/>
      <c r="J37" s="738"/>
      <c r="K37" s="738"/>
      <c r="L37" s="738"/>
      <c r="M37" s="738"/>
      <c r="N37" s="738"/>
      <c r="O37" s="738"/>
      <c r="P37" s="738"/>
      <c r="Q37" s="738"/>
      <c r="R37" s="738"/>
      <c r="S37" s="738"/>
      <c r="T37" s="738"/>
    </row>
    <row r="38" spans="2:32" ht="15.6" x14ac:dyDescent="0.25">
      <c r="B38" s="981"/>
      <c r="C38" s="738"/>
      <c r="D38" s="738"/>
      <c r="E38" s="738"/>
      <c r="F38" s="738"/>
      <c r="G38" s="738"/>
      <c r="H38" s="738"/>
      <c r="I38" s="738"/>
      <c r="J38" s="738"/>
      <c r="K38" s="738"/>
      <c r="L38" s="738"/>
      <c r="M38" s="738"/>
      <c r="N38" s="738"/>
      <c r="O38" s="738"/>
      <c r="P38" s="738"/>
      <c r="Q38" s="738"/>
      <c r="R38" s="738"/>
      <c r="S38" s="738"/>
      <c r="T38" s="738"/>
    </row>
    <row r="39" spans="2:32" ht="15.6" x14ac:dyDescent="0.25">
      <c r="B39" s="738"/>
      <c r="C39" s="738"/>
      <c r="D39" s="738"/>
      <c r="E39" s="738"/>
      <c r="F39" s="738"/>
      <c r="G39" s="738"/>
      <c r="H39" s="738"/>
      <c r="I39" s="738"/>
      <c r="J39" s="738"/>
      <c r="K39" s="738"/>
      <c r="L39" s="738"/>
      <c r="M39" s="738"/>
      <c r="N39" s="738" t="s">
        <v>389</v>
      </c>
      <c r="O39" s="738"/>
      <c r="P39" s="738"/>
      <c r="Q39" s="738"/>
      <c r="R39" s="738"/>
      <c r="S39" s="738"/>
      <c r="T39" s="738"/>
    </row>
    <row r="40" spans="2:32" ht="15.6" x14ac:dyDescent="0.25">
      <c r="B40" s="738"/>
      <c r="C40" s="738"/>
      <c r="D40" s="738"/>
      <c r="E40" s="738"/>
      <c r="F40" s="738"/>
      <c r="G40" s="738"/>
      <c r="H40" s="738"/>
      <c r="I40" s="738"/>
      <c r="J40" s="738"/>
      <c r="K40" s="738"/>
      <c r="L40" s="738"/>
      <c r="M40" s="738"/>
      <c r="N40" s="738"/>
      <c r="O40" s="738"/>
      <c r="P40" s="738"/>
      <c r="Q40" s="738"/>
      <c r="R40" s="738"/>
      <c r="S40" s="738"/>
      <c r="T40" s="738"/>
    </row>
    <row r="41" spans="2:32" ht="15.6" x14ac:dyDescent="0.25">
      <c r="B41" s="981"/>
      <c r="C41" s="738"/>
      <c r="D41" s="738"/>
      <c r="E41" s="738"/>
      <c r="F41" s="738"/>
      <c r="G41" s="738"/>
      <c r="H41" s="738"/>
      <c r="I41" s="738"/>
      <c r="J41" s="738"/>
      <c r="K41" s="738"/>
      <c r="L41" s="738"/>
      <c r="M41" s="738"/>
      <c r="N41" s="738"/>
      <c r="O41" s="738"/>
      <c r="P41" s="738"/>
      <c r="Q41" s="738"/>
      <c r="R41" s="738"/>
      <c r="S41" s="738"/>
      <c r="T41" s="738"/>
    </row>
    <row r="42" spans="2:32" ht="15.6" x14ac:dyDescent="0.25">
      <c r="B42" s="981"/>
      <c r="C42" s="738"/>
      <c r="D42" s="738"/>
      <c r="E42" s="738"/>
      <c r="F42" s="738"/>
      <c r="G42" s="738"/>
      <c r="H42" s="738"/>
      <c r="I42" s="738"/>
      <c r="J42" s="738"/>
      <c r="K42" s="738"/>
      <c r="L42" s="738"/>
      <c r="M42" s="738"/>
      <c r="N42" s="738"/>
      <c r="O42" s="738"/>
      <c r="P42" s="738"/>
      <c r="Q42" s="738"/>
      <c r="R42" s="738"/>
      <c r="S42" s="738"/>
      <c r="T42" s="738"/>
    </row>
    <row r="43" spans="2:32" ht="15.6" x14ac:dyDescent="0.25">
      <c r="B43" s="981"/>
      <c r="C43" s="738"/>
      <c r="D43" s="738"/>
      <c r="E43" s="738"/>
      <c r="F43" s="738"/>
      <c r="G43" s="738"/>
      <c r="H43" s="738"/>
      <c r="I43" s="738"/>
      <c r="J43" s="738"/>
      <c r="K43" s="738"/>
      <c r="L43" s="738"/>
      <c r="M43" s="738"/>
      <c r="N43" s="738"/>
      <c r="O43" s="738"/>
      <c r="P43" s="738"/>
      <c r="Q43" s="738"/>
      <c r="R43" s="738"/>
      <c r="S43" s="738"/>
      <c r="T43" s="738"/>
    </row>
    <row r="44" spans="2:32" ht="15.6" x14ac:dyDescent="0.25">
      <c r="B44" s="981"/>
      <c r="C44" s="738"/>
      <c r="D44" s="738"/>
      <c r="E44" s="738"/>
      <c r="F44" s="738"/>
      <c r="G44" s="738"/>
      <c r="H44" s="738"/>
      <c r="I44" s="738"/>
      <c r="J44" s="738"/>
      <c r="K44" s="738"/>
      <c r="L44" s="738"/>
      <c r="M44" s="738"/>
      <c r="N44" s="738"/>
      <c r="O44" s="738"/>
      <c r="P44" s="738"/>
      <c r="Q44" s="738"/>
      <c r="R44" s="738"/>
      <c r="S44" s="738"/>
      <c r="T44" s="738"/>
    </row>
    <row r="45" spans="2:32" ht="15.6" x14ac:dyDescent="0.25">
      <c r="B45" s="981"/>
      <c r="C45" s="738"/>
      <c r="D45" s="738"/>
      <c r="E45" s="738"/>
      <c r="F45" s="738"/>
      <c r="G45" s="738"/>
      <c r="H45" s="738"/>
      <c r="I45" s="738"/>
      <c r="J45" s="738"/>
      <c r="K45" s="738"/>
      <c r="L45" s="738"/>
      <c r="M45" s="738"/>
      <c r="N45" s="738"/>
      <c r="O45" s="738"/>
      <c r="P45" s="738"/>
      <c r="Q45" s="738"/>
      <c r="R45" s="738"/>
      <c r="S45" s="738"/>
      <c r="T45" s="738"/>
    </row>
    <row r="46" spans="2:32" ht="16.2" thickBot="1" x14ac:dyDescent="0.3">
      <c r="B46" s="981"/>
      <c r="C46" s="738"/>
      <c r="D46" s="738"/>
      <c r="E46" s="738"/>
      <c r="F46" s="738"/>
      <c r="G46" s="738"/>
      <c r="H46" s="738"/>
      <c r="I46" s="738"/>
      <c r="J46" s="738"/>
      <c r="K46" s="738"/>
      <c r="L46" s="738"/>
      <c r="M46" s="738"/>
      <c r="N46" s="738"/>
      <c r="O46" s="738"/>
      <c r="P46" s="738"/>
      <c r="Q46" s="738"/>
      <c r="R46" s="738"/>
      <c r="S46" s="738"/>
      <c r="T46" s="738"/>
    </row>
    <row r="47" spans="2:32" ht="13.2" x14ac:dyDescent="0.25">
      <c r="B47" s="739" t="s">
        <v>1384</v>
      </c>
      <c r="C47" s="974"/>
      <c r="D47" s="974"/>
      <c r="E47" s="974"/>
      <c r="F47" s="974"/>
      <c r="G47" s="974"/>
      <c r="H47" s="974"/>
      <c r="I47" s="974"/>
      <c r="J47" s="974"/>
      <c r="K47" s="974"/>
      <c r="L47" s="974"/>
      <c r="M47" s="974"/>
      <c r="N47" s="974"/>
      <c r="O47" s="974"/>
      <c r="P47" s="974"/>
      <c r="Q47" s="974"/>
      <c r="R47" s="974"/>
      <c r="S47" s="975"/>
    </row>
    <row r="48" spans="2:32" ht="13.2" x14ac:dyDescent="0.25">
      <c r="B48" s="978"/>
      <c r="C48" s="979"/>
      <c r="D48" s="979"/>
      <c r="E48" s="979"/>
      <c r="F48" s="979"/>
      <c r="G48" s="979"/>
      <c r="H48" s="979"/>
      <c r="I48" s="979"/>
      <c r="J48" s="979"/>
      <c r="K48" s="979"/>
      <c r="L48" s="979"/>
      <c r="M48" s="979"/>
      <c r="N48" s="979"/>
      <c r="O48" s="979"/>
      <c r="P48" s="979"/>
      <c r="Q48" s="979"/>
      <c r="R48" s="979"/>
      <c r="S48" s="980"/>
    </row>
    <row r="49" spans="2:20" ht="13.2" x14ac:dyDescent="0.25">
      <c r="B49" s="978"/>
      <c r="C49" s="979"/>
      <c r="D49" s="979"/>
      <c r="E49" s="979"/>
      <c r="F49" s="979"/>
      <c r="G49" s="979"/>
      <c r="H49" s="979"/>
      <c r="I49" s="979"/>
      <c r="J49" s="979"/>
      <c r="K49" s="979"/>
      <c r="L49" s="979"/>
      <c r="M49" s="979"/>
      <c r="N49" s="979"/>
      <c r="O49" s="979"/>
      <c r="P49" s="979"/>
      <c r="Q49" s="979"/>
      <c r="R49" s="979"/>
      <c r="S49" s="980"/>
    </row>
    <row r="50" spans="2:20" ht="13.2" x14ac:dyDescent="0.25">
      <c r="B50" s="978"/>
      <c r="C50" s="979"/>
      <c r="D50" s="979"/>
      <c r="E50" s="979"/>
      <c r="F50" s="979"/>
      <c r="G50" s="979"/>
      <c r="H50" s="979"/>
      <c r="I50" s="979"/>
      <c r="J50" s="979"/>
      <c r="K50" s="979"/>
      <c r="L50" s="979"/>
      <c r="M50" s="979"/>
      <c r="N50" s="979"/>
      <c r="O50" s="979"/>
      <c r="P50" s="979"/>
      <c r="Q50" s="979"/>
      <c r="R50" s="979"/>
      <c r="S50" s="980"/>
    </row>
    <row r="51" spans="2:20" ht="13.8" thickBot="1" x14ac:dyDescent="0.3">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3">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5">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3.2" x14ac:dyDescent="0.25"/>
  <cols>
    <col min="1" max="1" width="1.88671875" customWidth="1"/>
    <col min="2" max="2" width="14.88671875" customWidth="1"/>
    <col min="3" max="3" width="16.88671875" bestFit="1" customWidth="1"/>
    <col min="4" max="4" width="67.88671875" customWidth="1"/>
    <col min="5" max="5" width="37.109375" bestFit="1" customWidth="1"/>
    <col min="6" max="6" width="86.109375" customWidth="1"/>
    <col min="7" max="7" width="10.88671875" customWidth="1"/>
  </cols>
  <sheetData>
    <row r="1" spans="2:7" ht="15.6" x14ac:dyDescent="0.25">
      <c r="B1" s="213" t="s">
        <v>1696</v>
      </c>
      <c r="C1" s="213"/>
      <c r="D1" s="213"/>
      <c r="F1" s="14" t="s">
        <v>2521</v>
      </c>
    </row>
    <row r="2" spans="2:7" ht="15.6" x14ac:dyDescent="0.25">
      <c r="B2" s="3" t="s">
        <v>62</v>
      </c>
      <c r="F2" s="14" t="s">
        <v>2522</v>
      </c>
    </row>
    <row r="3" spans="2:7" x14ac:dyDescent="0.25">
      <c r="F3" s="14" t="s">
        <v>2144</v>
      </c>
    </row>
    <row r="4" spans="2:7" hidden="1" x14ac:dyDescent="0.25">
      <c r="F4" s="2"/>
    </row>
    <row r="5" spans="2:7" hidden="1" x14ac:dyDescent="0.25">
      <c r="F5" s="2"/>
    </row>
    <row r="6" spans="2:7" hidden="1" x14ac:dyDescent="0.25">
      <c r="F6" s="2"/>
    </row>
    <row r="7" spans="2:7" ht="13.8" thickBot="1" x14ac:dyDescent="0.3">
      <c r="B7" s="2446" t="s">
        <v>64</v>
      </c>
    </row>
    <row r="8" spans="2:7" ht="18" customHeight="1" x14ac:dyDescent="0.25">
      <c r="B8" s="2426" t="s">
        <v>2004</v>
      </c>
      <c r="C8" s="668"/>
      <c r="D8" s="2425"/>
      <c r="E8" s="668"/>
      <c r="F8" s="747"/>
      <c r="G8" s="19"/>
    </row>
    <row r="9" spans="2:7" ht="18" customHeight="1" thickBot="1" x14ac:dyDescent="0.3">
      <c r="B9" s="748" t="s">
        <v>1697</v>
      </c>
      <c r="C9" s="649" t="s">
        <v>2002</v>
      </c>
      <c r="D9" s="649" t="s">
        <v>2003</v>
      </c>
      <c r="E9" s="4501" t="s">
        <v>1698</v>
      </c>
      <c r="F9" s="4502"/>
      <c r="G9" s="19"/>
    </row>
    <row r="10" spans="2:7" ht="13.8" thickTop="1" x14ac:dyDescent="0.25">
      <c r="B10" s="982" t="s">
        <v>1699</v>
      </c>
      <c r="C10" s="4132" t="s">
        <v>2317</v>
      </c>
      <c r="D10" s="4132" t="s">
        <v>2321</v>
      </c>
      <c r="E10" s="4503" t="s">
        <v>2438</v>
      </c>
      <c r="F10" s="4504"/>
    </row>
    <row r="11" spans="2:7" x14ac:dyDescent="0.25">
      <c r="B11" s="4131"/>
      <c r="C11" s="4133" t="s">
        <v>2317</v>
      </c>
      <c r="D11" s="4133" t="s">
        <v>2319</v>
      </c>
      <c r="E11" s="4505" t="s">
        <v>2318</v>
      </c>
      <c r="F11" s="4506"/>
    </row>
    <row r="12" spans="2:7" x14ac:dyDescent="0.25">
      <c r="B12" s="4131"/>
      <c r="C12" s="4133" t="s">
        <v>2317</v>
      </c>
      <c r="D12" s="4133" t="s">
        <v>2320</v>
      </c>
      <c r="E12" s="4497" t="s">
        <v>2318</v>
      </c>
      <c r="F12" s="4498"/>
    </row>
    <row r="13" spans="2:7" ht="58.5" customHeight="1" x14ac:dyDescent="0.25">
      <c r="B13" s="4131"/>
      <c r="C13" s="4133" t="s">
        <v>1827</v>
      </c>
      <c r="D13" s="4133" t="s">
        <v>2450</v>
      </c>
      <c r="E13" s="4499" t="s">
        <v>2451</v>
      </c>
      <c r="F13" s="4509"/>
    </row>
    <row r="14" spans="2:7" x14ac:dyDescent="0.25">
      <c r="B14" s="4131"/>
      <c r="C14" s="4133" t="s">
        <v>1827</v>
      </c>
      <c r="D14" s="4133" t="s">
        <v>540</v>
      </c>
      <c r="E14" s="4507" t="s">
        <v>2439</v>
      </c>
      <c r="F14" s="4508"/>
    </row>
    <row r="15" spans="2:7" ht="39.75" customHeight="1" x14ac:dyDescent="0.25">
      <c r="B15" s="4131"/>
      <c r="C15" s="4133" t="s">
        <v>2372</v>
      </c>
      <c r="D15" s="4133" t="s">
        <v>2434</v>
      </c>
      <c r="E15" s="4499" t="s">
        <v>2435</v>
      </c>
      <c r="F15" s="4500"/>
    </row>
    <row r="16" spans="2:7" x14ac:dyDescent="0.25">
      <c r="B16" s="4131"/>
      <c r="C16" s="4133" t="s">
        <v>2372</v>
      </c>
      <c r="D16" s="4133" t="s">
        <v>2373</v>
      </c>
      <c r="E16" s="4497" t="s">
        <v>2380</v>
      </c>
      <c r="F16" s="4498"/>
    </row>
    <row r="17" spans="2:7" ht="40.5" customHeight="1" x14ac:dyDescent="0.25">
      <c r="B17" s="4131"/>
      <c r="C17" s="4133" t="s">
        <v>1831</v>
      </c>
      <c r="D17" s="4133" t="s">
        <v>2436</v>
      </c>
      <c r="E17" s="4499" t="s">
        <v>2435</v>
      </c>
      <c r="F17" s="4500"/>
    </row>
    <row r="18" spans="2:7" x14ac:dyDescent="0.25">
      <c r="B18" s="4131"/>
      <c r="C18" s="4133" t="s">
        <v>1831</v>
      </c>
      <c r="D18" s="4132" t="s">
        <v>2391</v>
      </c>
      <c r="E18" s="4499" t="s">
        <v>2393</v>
      </c>
      <c r="F18" s="4500"/>
    </row>
    <row r="19" spans="2:7" x14ac:dyDescent="0.25">
      <c r="B19" s="868"/>
      <c r="C19" s="4132" t="s">
        <v>2381</v>
      </c>
      <c r="D19" s="4132" t="s">
        <v>2382</v>
      </c>
      <c r="E19" s="4497" t="s">
        <v>2440</v>
      </c>
      <c r="F19" s="4498"/>
    </row>
    <row r="20" spans="2:7" x14ac:dyDescent="0.25">
      <c r="B20" s="867" t="s">
        <v>1700</v>
      </c>
      <c r="C20" s="4133" t="s">
        <v>2317</v>
      </c>
      <c r="D20" s="4132" t="s">
        <v>2429</v>
      </c>
      <c r="E20" s="4497" t="s">
        <v>2318</v>
      </c>
      <c r="F20" s="4498"/>
    </row>
    <row r="21" spans="2:7" x14ac:dyDescent="0.25">
      <c r="B21" s="4131"/>
      <c r="C21" s="4132" t="s">
        <v>2317</v>
      </c>
      <c r="D21" s="4132" t="s">
        <v>2321</v>
      </c>
      <c r="E21" s="4497" t="s">
        <v>2441</v>
      </c>
      <c r="F21" s="4498"/>
    </row>
    <row r="22" spans="2:7" x14ac:dyDescent="0.25">
      <c r="B22" s="4131"/>
      <c r="C22" s="4132" t="s">
        <v>2317</v>
      </c>
      <c r="D22" s="4132" t="s">
        <v>2428</v>
      </c>
      <c r="E22" s="4497" t="s">
        <v>2318</v>
      </c>
      <c r="F22" s="4498"/>
      <c r="G22" s="4207"/>
    </row>
    <row r="23" spans="2:7" x14ac:dyDescent="0.25">
      <c r="B23" s="4131"/>
      <c r="C23" s="4132" t="s">
        <v>2317</v>
      </c>
      <c r="D23" s="4132" t="s">
        <v>2322</v>
      </c>
      <c r="E23" s="4497" t="s">
        <v>2318</v>
      </c>
      <c r="F23" s="4498"/>
    </row>
    <row r="24" spans="2:7" x14ac:dyDescent="0.25">
      <c r="B24" s="4131"/>
      <c r="C24" s="4132" t="s">
        <v>2317</v>
      </c>
      <c r="D24" s="4132" t="s">
        <v>2341</v>
      </c>
      <c r="E24" s="4499" t="s">
        <v>2345</v>
      </c>
      <c r="F24" s="4500"/>
    </row>
    <row r="25" spans="2:7" ht="39.75" customHeight="1" x14ac:dyDescent="0.25">
      <c r="B25" s="4131"/>
      <c r="C25" s="4133" t="s">
        <v>2372</v>
      </c>
      <c r="D25" s="4133" t="s">
        <v>2434</v>
      </c>
      <c r="E25" s="4499" t="s">
        <v>2435</v>
      </c>
      <c r="F25" s="4500"/>
    </row>
    <row r="26" spans="2:7" x14ac:dyDescent="0.25">
      <c r="B26" s="4131"/>
      <c r="C26" s="4133" t="s">
        <v>2372</v>
      </c>
      <c r="D26" s="4132" t="s">
        <v>2375</v>
      </c>
      <c r="E26" s="4497" t="s">
        <v>2377</v>
      </c>
      <c r="F26" s="4498"/>
    </row>
    <row r="27" spans="2:7" x14ac:dyDescent="0.25">
      <c r="B27" s="4131"/>
      <c r="C27" s="4133" t="s">
        <v>2372</v>
      </c>
      <c r="D27" s="4132" t="s">
        <v>1640</v>
      </c>
      <c r="E27" s="4497" t="s">
        <v>2376</v>
      </c>
      <c r="F27" s="4498"/>
    </row>
    <row r="28" spans="2:7" x14ac:dyDescent="0.25">
      <c r="B28" s="4131"/>
      <c r="C28" s="4133" t="s">
        <v>2372</v>
      </c>
      <c r="D28" s="4132" t="s">
        <v>2437</v>
      </c>
      <c r="E28" s="4497" t="s">
        <v>2442</v>
      </c>
      <c r="F28" s="4498"/>
    </row>
    <row r="29" spans="2:7" ht="40.5" customHeight="1" x14ac:dyDescent="0.25">
      <c r="B29" s="4131"/>
      <c r="C29" s="4133" t="s">
        <v>1831</v>
      </c>
      <c r="D29" s="4133" t="s">
        <v>2436</v>
      </c>
      <c r="E29" s="4499" t="s">
        <v>2435</v>
      </c>
      <c r="F29" s="4500"/>
    </row>
    <row r="30" spans="2:7" ht="27" customHeight="1" x14ac:dyDescent="0.25">
      <c r="B30" s="4131"/>
      <c r="C30" s="4133" t="s">
        <v>1831</v>
      </c>
      <c r="D30" s="4132" t="s">
        <v>2391</v>
      </c>
      <c r="E30" s="4499" t="s">
        <v>2392</v>
      </c>
      <c r="F30" s="4500"/>
    </row>
    <row r="31" spans="2:7" x14ac:dyDescent="0.25">
      <c r="B31" s="4131"/>
      <c r="C31" s="4132" t="s">
        <v>2381</v>
      </c>
      <c r="D31" s="4132" t="s">
        <v>2444</v>
      </c>
      <c r="E31" s="4497" t="s">
        <v>2445</v>
      </c>
      <c r="F31" s="4498"/>
    </row>
    <row r="32" spans="2:7" x14ac:dyDescent="0.25">
      <c r="B32" s="4131"/>
      <c r="C32" s="4132" t="s">
        <v>2381</v>
      </c>
      <c r="D32" s="4132" t="s">
        <v>2446</v>
      </c>
      <c r="E32" s="4497" t="s">
        <v>2447</v>
      </c>
      <c r="F32" s="4498"/>
    </row>
    <row r="33" spans="2:7" x14ac:dyDescent="0.25">
      <c r="B33" s="4131"/>
      <c r="C33" s="4132" t="s">
        <v>2381</v>
      </c>
      <c r="D33" s="4132" t="s">
        <v>2383</v>
      </c>
      <c r="E33" s="4497" t="s">
        <v>2439</v>
      </c>
      <c r="F33" s="4498"/>
    </row>
    <row r="34" spans="2:7" x14ac:dyDescent="0.25">
      <c r="B34" s="868"/>
      <c r="C34" s="4132" t="s">
        <v>2381</v>
      </c>
      <c r="D34" s="4132" t="s">
        <v>2382</v>
      </c>
      <c r="E34" s="4497" t="s">
        <v>2443</v>
      </c>
      <c r="F34" s="4498"/>
    </row>
    <row r="35" spans="2:7" x14ac:dyDescent="0.25">
      <c r="B35" s="867" t="s">
        <v>1701</v>
      </c>
      <c r="C35" s="4133" t="s">
        <v>2317</v>
      </c>
      <c r="D35" s="4132" t="s">
        <v>2429</v>
      </c>
      <c r="E35" s="4497" t="s">
        <v>2318</v>
      </c>
      <c r="F35" s="4498"/>
    </row>
    <row r="36" spans="2:7" x14ac:dyDescent="0.25">
      <c r="B36" s="4131"/>
      <c r="C36" s="4132" t="s">
        <v>2317</v>
      </c>
      <c r="D36" s="4132" t="s">
        <v>2321</v>
      </c>
      <c r="E36" s="4497" t="s">
        <v>2441</v>
      </c>
      <c r="F36" s="4498"/>
    </row>
    <row r="37" spans="2:7" x14ac:dyDescent="0.25">
      <c r="B37" s="4131"/>
      <c r="C37" s="4132" t="s">
        <v>2317</v>
      </c>
      <c r="D37" s="4132" t="s">
        <v>2428</v>
      </c>
      <c r="E37" s="4497" t="s">
        <v>2318</v>
      </c>
      <c r="F37" s="4498"/>
      <c r="G37" s="4207"/>
    </row>
    <row r="38" spans="2:7" x14ac:dyDescent="0.25">
      <c r="B38" s="4131"/>
      <c r="C38" s="4132" t="s">
        <v>2317</v>
      </c>
      <c r="D38" s="4132" t="s">
        <v>2322</v>
      </c>
      <c r="E38" s="4497" t="s">
        <v>2318</v>
      </c>
      <c r="F38" s="4498"/>
    </row>
    <row r="39" spans="2:7" ht="41.25" customHeight="1" x14ac:dyDescent="0.25">
      <c r="B39" s="4131"/>
      <c r="C39" s="4133" t="s">
        <v>2372</v>
      </c>
      <c r="D39" s="4133" t="s">
        <v>2434</v>
      </c>
      <c r="E39" s="4499" t="s">
        <v>2435</v>
      </c>
      <c r="F39" s="4500"/>
    </row>
    <row r="40" spans="2:7" x14ac:dyDescent="0.25">
      <c r="B40" s="4131"/>
      <c r="C40" s="4132" t="s">
        <v>2372</v>
      </c>
      <c r="D40" s="4132" t="s">
        <v>2378</v>
      </c>
      <c r="E40" s="4497" t="s">
        <v>2379</v>
      </c>
      <c r="F40" s="4498"/>
    </row>
    <row r="41" spans="2:7" x14ac:dyDescent="0.25">
      <c r="B41" s="4131"/>
      <c r="C41" s="4133" t="s">
        <v>2372</v>
      </c>
      <c r="D41" s="4132" t="s">
        <v>2437</v>
      </c>
      <c r="E41" s="4497" t="s">
        <v>2442</v>
      </c>
      <c r="F41" s="4498"/>
    </row>
    <row r="42" spans="2:7" ht="40.5" customHeight="1" x14ac:dyDescent="0.25">
      <c r="B42" s="4131"/>
      <c r="C42" s="4133" t="s">
        <v>1831</v>
      </c>
      <c r="D42" s="4133" t="s">
        <v>2436</v>
      </c>
      <c r="E42" s="4499" t="s">
        <v>2435</v>
      </c>
      <c r="F42" s="4500"/>
    </row>
    <row r="43" spans="2:7" x14ac:dyDescent="0.25">
      <c r="B43" s="4131"/>
      <c r="C43" s="4133" t="s">
        <v>1831</v>
      </c>
      <c r="D43" s="4132" t="s">
        <v>2391</v>
      </c>
      <c r="E43" s="4499" t="s">
        <v>2394</v>
      </c>
      <c r="F43" s="4500"/>
    </row>
    <row r="44" spans="2:7" x14ac:dyDescent="0.25">
      <c r="B44" s="4131"/>
      <c r="C44" s="4132" t="s">
        <v>2381</v>
      </c>
      <c r="D44" s="4132" t="s">
        <v>2444</v>
      </c>
      <c r="E44" s="4497" t="s">
        <v>2445</v>
      </c>
      <c r="F44" s="4498"/>
    </row>
    <row r="45" spans="2:7" x14ac:dyDescent="0.25">
      <c r="B45" s="4131"/>
      <c r="C45" s="4132" t="s">
        <v>2381</v>
      </c>
      <c r="D45" s="4132" t="s">
        <v>2446</v>
      </c>
      <c r="E45" s="4497" t="s">
        <v>2447</v>
      </c>
      <c r="F45" s="4498"/>
    </row>
    <row r="46" spans="2:7" x14ac:dyDescent="0.25">
      <c r="B46" s="4131"/>
      <c r="C46" s="4132" t="s">
        <v>2381</v>
      </c>
      <c r="D46" s="4132" t="s">
        <v>2383</v>
      </c>
      <c r="E46" s="4497" t="s">
        <v>2439</v>
      </c>
      <c r="F46" s="4498"/>
    </row>
    <row r="47" spans="2:7" x14ac:dyDescent="0.25">
      <c r="B47" s="868"/>
      <c r="C47" s="4132" t="s">
        <v>2381</v>
      </c>
      <c r="D47" s="4132" t="s">
        <v>2382</v>
      </c>
      <c r="E47" s="4497" t="s">
        <v>2443</v>
      </c>
      <c r="F47" s="4498"/>
    </row>
    <row r="48" spans="2:7" ht="18" customHeight="1" x14ac:dyDescent="0.25">
      <c r="B48" s="867" t="s">
        <v>1539</v>
      </c>
      <c r="C48" s="4132"/>
      <c r="D48" s="4132"/>
      <c r="E48" s="4497"/>
      <c r="F48" s="4498"/>
    </row>
    <row r="49" spans="2:6" ht="18" customHeight="1" x14ac:dyDescent="0.25">
      <c r="B49" s="868"/>
      <c r="C49" s="4132"/>
      <c r="D49" s="4132"/>
      <c r="E49" s="4497"/>
      <c r="F49" s="4498"/>
    </row>
    <row r="50" spans="2:6" ht="18" customHeight="1" x14ac:dyDescent="0.25">
      <c r="B50" s="867" t="s">
        <v>1511</v>
      </c>
      <c r="C50" s="4132"/>
      <c r="D50" s="4132"/>
      <c r="E50" s="4497"/>
      <c r="F50" s="4498"/>
    </row>
    <row r="51" spans="2:6" ht="18" customHeight="1" x14ac:dyDescent="0.25">
      <c r="B51" s="868"/>
      <c r="C51" s="4132"/>
      <c r="D51" s="4132"/>
      <c r="E51" s="4497"/>
      <c r="F51" s="4498"/>
    </row>
    <row r="52" spans="2:6" ht="18" customHeight="1" x14ac:dyDescent="0.25">
      <c r="B52" s="2558" t="s">
        <v>2119</v>
      </c>
      <c r="C52" s="4132"/>
      <c r="D52" s="4132"/>
      <c r="E52" s="4497"/>
      <c r="F52" s="4498"/>
    </row>
    <row r="53" spans="2:6" ht="18" customHeight="1" x14ac:dyDescent="0.25">
      <c r="B53" s="2559" t="s">
        <v>2120</v>
      </c>
      <c r="C53" s="4132"/>
      <c r="D53" s="4132"/>
      <c r="E53" s="4497"/>
      <c r="F53" s="4498"/>
    </row>
    <row r="54" spans="2:6" ht="18" customHeight="1" x14ac:dyDescent="0.25">
      <c r="B54" s="2558" t="s">
        <v>1621</v>
      </c>
      <c r="C54" s="4132"/>
      <c r="D54" s="4132"/>
      <c r="E54" s="4497"/>
      <c r="F54" s="4498"/>
    </row>
    <row r="55" spans="2:6" ht="18" customHeight="1" x14ac:dyDescent="0.25">
      <c r="B55" s="2559"/>
      <c r="C55" s="4132"/>
      <c r="D55" s="4132"/>
      <c r="E55" s="4497"/>
      <c r="F55" s="4498"/>
    </row>
    <row r="56" spans="2:6" ht="18" customHeight="1" x14ac:dyDescent="0.25">
      <c r="B56" s="2560" t="s">
        <v>1754</v>
      </c>
      <c r="C56" s="4132"/>
      <c r="D56" s="4132"/>
      <c r="E56" s="4497"/>
      <c r="F56" s="4498"/>
    </row>
    <row r="57" spans="2:6" ht="18" customHeight="1" thickBot="1" x14ac:dyDescent="0.3">
      <c r="B57" s="2561"/>
      <c r="C57" s="4134"/>
      <c r="D57" s="4134"/>
      <c r="E57" s="4510"/>
      <c r="F57" s="4511"/>
    </row>
    <row r="58" spans="2:6" ht="18" customHeight="1" thickBot="1" x14ac:dyDescent="0.3">
      <c r="B58" s="2562"/>
      <c r="C58" s="2528"/>
      <c r="D58" s="2528"/>
      <c r="E58" s="2528"/>
      <c r="F58" s="2529"/>
    </row>
    <row r="59" spans="2:6" ht="18" customHeight="1" x14ac:dyDescent="0.25">
      <c r="B59" s="2563" t="s">
        <v>2126</v>
      </c>
      <c r="C59" s="2526"/>
      <c r="D59" s="2526"/>
      <c r="E59" s="2526"/>
      <c r="F59" s="2527"/>
    </row>
    <row r="60" spans="2:6" ht="18" customHeight="1" thickBot="1" x14ac:dyDescent="0.3">
      <c r="B60" s="2564" t="s">
        <v>1697</v>
      </c>
      <c r="C60" s="649" t="s">
        <v>1703</v>
      </c>
      <c r="D60" s="649" t="s">
        <v>1704</v>
      </c>
      <c r="E60" s="649" t="s">
        <v>1705</v>
      </c>
      <c r="F60" s="749" t="s">
        <v>1698</v>
      </c>
    </row>
    <row r="61" spans="2:6" ht="27" thickTop="1" x14ac:dyDescent="0.25">
      <c r="B61" s="2565" t="s">
        <v>1560</v>
      </c>
      <c r="C61" s="4132" t="s">
        <v>2317</v>
      </c>
      <c r="D61" s="4133" t="s">
        <v>2329</v>
      </c>
      <c r="E61" s="4133" t="s">
        <v>2332</v>
      </c>
      <c r="F61" s="4144" t="s">
        <v>2333</v>
      </c>
    </row>
    <row r="62" spans="2:6" ht="26.4" x14ac:dyDescent="0.25">
      <c r="B62" s="4142"/>
      <c r="C62" s="4132" t="s">
        <v>2317</v>
      </c>
      <c r="D62" s="4133" t="s">
        <v>2334</v>
      </c>
      <c r="E62" s="4133" t="s">
        <v>2332</v>
      </c>
      <c r="F62" s="4144" t="s">
        <v>2335</v>
      </c>
    </row>
    <row r="63" spans="2:6" ht="26.4" x14ac:dyDescent="0.25">
      <c r="B63" s="4142"/>
      <c r="C63" s="4132" t="s">
        <v>2317</v>
      </c>
      <c r="D63" s="4133" t="s">
        <v>2337</v>
      </c>
      <c r="E63" s="4133" t="s">
        <v>2338</v>
      </c>
      <c r="F63" s="4144" t="s">
        <v>2336</v>
      </c>
    </row>
    <row r="64" spans="2:6" ht="26.4" x14ac:dyDescent="0.25">
      <c r="B64" s="4142"/>
      <c r="C64" s="4132" t="s">
        <v>2317</v>
      </c>
      <c r="D64" s="4132" t="s">
        <v>2330</v>
      </c>
      <c r="E64" s="4132" t="s">
        <v>2331</v>
      </c>
      <c r="F64" s="4144" t="s">
        <v>2328</v>
      </c>
    </row>
    <row r="65" spans="2:6" ht="26.4" x14ac:dyDescent="0.25">
      <c r="B65" s="4142"/>
      <c r="C65" s="4132" t="s">
        <v>2317</v>
      </c>
      <c r="D65" s="4132" t="s">
        <v>2323</v>
      </c>
      <c r="E65" s="4132" t="s">
        <v>2324</v>
      </c>
      <c r="F65" s="4144" t="s">
        <v>2325</v>
      </c>
    </row>
    <row r="66" spans="2:6" x14ac:dyDescent="0.25">
      <c r="B66" s="4142"/>
      <c r="C66" s="4132" t="s">
        <v>2317</v>
      </c>
      <c r="D66" s="4132" t="s">
        <v>2326</v>
      </c>
      <c r="E66" s="4132" t="s">
        <v>2324</v>
      </c>
      <c r="F66" s="4144" t="s">
        <v>2327</v>
      </c>
    </row>
    <row r="67" spans="2:6" ht="26.4" x14ac:dyDescent="0.25">
      <c r="B67" s="4142"/>
      <c r="C67" s="4132" t="s">
        <v>2317</v>
      </c>
      <c r="D67" s="4132" t="s">
        <v>2340</v>
      </c>
      <c r="E67" s="4132" t="s">
        <v>2342</v>
      </c>
      <c r="F67" s="4144" t="s">
        <v>2344</v>
      </c>
    </row>
    <row r="68" spans="2:6" ht="26.4" x14ac:dyDescent="0.25">
      <c r="B68" s="4142"/>
      <c r="C68" s="4132" t="s">
        <v>1827</v>
      </c>
      <c r="D68" s="4132" t="s">
        <v>2352</v>
      </c>
      <c r="E68" s="4133" t="s">
        <v>2353</v>
      </c>
      <c r="F68" s="4144" t="s">
        <v>2354</v>
      </c>
    </row>
    <row r="69" spans="2:6" ht="26.4" x14ac:dyDescent="0.25">
      <c r="B69" s="4142"/>
      <c r="C69" s="4132" t="s">
        <v>1827</v>
      </c>
      <c r="D69" s="4132" t="s">
        <v>2357</v>
      </c>
      <c r="E69" s="4133" t="s">
        <v>2355</v>
      </c>
      <c r="F69" s="4144" t="s">
        <v>2356</v>
      </c>
    </row>
    <row r="70" spans="2:6" ht="26.4" x14ac:dyDescent="0.25">
      <c r="B70" s="4142"/>
      <c r="C70" s="4132" t="s">
        <v>1827</v>
      </c>
      <c r="D70" s="4132" t="s">
        <v>1613</v>
      </c>
      <c r="E70" s="4133" t="s">
        <v>2355</v>
      </c>
      <c r="F70" s="4144" t="s">
        <v>2358</v>
      </c>
    </row>
    <row r="71" spans="2:6" ht="26.4" x14ac:dyDescent="0.25">
      <c r="B71" s="4142"/>
      <c r="C71" s="4132" t="s">
        <v>1827</v>
      </c>
      <c r="D71" s="4132" t="s">
        <v>2363</v>
      </c>
      <c r="E71" s="4133" t="s">
        <v>2364</v>
      </c>
      <c r="F71" s="4144" t="s">
        <v>2365</v>
      </c>
    </row>
    <row r="72" spans="2:6" ht="12.75" customHeight="1" x14ac:dyDescent="0.25">
      <c r="B72" s="4142"/>
      <c r="C72" s="4132" t="s">
        <v>1827</v>
      </c>
      <c r="D72" s="4132" t="s">
        <v>2453</v>
      </c>
      <c r="E72" s="4132" t="s">
        <v>2448</v>
      </c>
      <c r="F72" s="4144" t="s">
        <v>2449</v>
      </c>
    </row>
    <row r="73" spans="2:6" ht="67.5" customHeight="1" x14ac:dyDescent="0.25">
      <c r="B73" s="4142"/>
      <c r="C73" s="4132" t="s">
        <v>1827</v>
      </c>
      <c r="D73" s="4132" t="s">
        <v>2452</v>
      </c>
      <c r="E73" s="4132" t="s">
        <v>2448</v>
      </c>
      <c r="F73" s="4144" t="s">
        <v>2454</v>
      </c>
    </row>
    <row r="74" spans="2:6" ht="67.5" customHeight="1" x14ac:dyDescent="0.25">
      <c r="B74" s="4142"/>
      <c r="C74" s="4132" t="s">
        <v>1827</v>
      </c>
      <c r="D74" s="4132" t="s">
        <v>2455</v>
      </c>
      <c r="E74" s="4132" t="s">
        <v>2448</v>
      </c>
      <c r="F74" s="4144" t="s">
        <v>2454</v>
      </c>
    </row>
    <row r="75" spans="2:6" ht="67.5" customHeight="1" x14ac:dyDescent="0.25">
      <c r="B75" s="4142"/>
      <c r="C75" s="4132" t="s">
        <v>1827</v>
      </c>
      <c r="D75" s="4132" t="s">
        <v>2456</v>
      </c>
      <c r="E75" s="4132" t="s">
        <v>2448</v>
      </c>
      <c r="F75" s="4144" t="s">
        <v>2454</v>
      </c>
    </row>
    <row r="76" spans="2:6" ht="67.5" customHeight="1" x14ac:dyDescent="0.25">
      <c r="B76" s="4142"/>
      <c r="C76" s="4132" t="s">
        <v>1827</v>
      </c>
      <c r="D76" s="4132" t="s">
        <v>2457</v>
      </c>
      <c r="E76" s="4132" t="s">
        <v>2448</v>
      </c>
      <c r="F76" s="4144" t="s">
        <v>2454</v>
      </c>
    </row>
    <row r="77" spans="2:6" ht="67.5" customHeight="1" x14ac:dyDescent="0.25">
      <c r="B77" s="4142"/>
      <c r="C77" s="4132" t="s">
        <v>1827</v>
      </c>
      <c r="D77" s="4132" t="s">
        <v>2458</v>
      </c>
      <c r="E77" s="4132" t="s">
        <v>2448</v>
      </c>
      <c r="F77" s="4144" t="s">
        <v>2454</v>
      </c>
    </row>
    <row r="78" spans="2:6" ht="26.4" x14ac:dyDescent="0.25">
      <c r="B78" s="4142"/>
      <c r="C78" s="4132" t="s">
        <v>1827</v>
      </c>
      <c r="D78" s="4132" t="s">
        <v>2349</v>
      </c>
      <c r="E78" s="4132" t="s">
        <v>2342</v>
      </c>
      <c r="F78" s="4144" t="s">
        <v>2366</v>
      </c>
    </row>
    <row r="79" spans="2:6" x14ac:dyDescent="0.25">
      <c r="B79" s="4142"/>
      <c r="C79" s="4132" t="s">
        <v>1827</v>
      </c>
      <c r="D79" s="4132" t="s">
        <v>2350</v>
      </c>
      <c r="E79" s="4132" t="s">
        <v>2342</v>
      </c>
      <c r="F79" s="4144" t="s">
        <v>2367</v>
      </c>
    </row>
    <row r="80" spans="2:6" ht="26.4" x14ac:dyDescent="0.25">
      <c r="B80" s="4142"/>
      <c r="C80" s="4132" t="s">
        <v>1831</v>
      </c>
      <c r="D80" s="4132" t="s">
        <v>2404</v>
      </c>
      <c r="E80" s="4133" t="s">
        <v>2405</v>
      </c>
      <c r="F80" s="4144" t="s">
        <v>2396</v>
      </c>
    </row>
    <row r="81" spans="2:6" ht="39.6" x14ac:dyDescent="0.25">
      <c r="B81" s="4142"/>
      <c r="C81" s="4132" t="s">
        <v>1831</v>
      </c>
      <c r="D81" s="4132" t="s">
        <v>2397</v>
      </c>
      <c r="E81" s="4132" t="s">
        <v>2398</v>
      </c>
      <c r="F81" s="4144" t="s">
        <v>2399</v>
      </c>
    </row>
    <row r="82" spans="2:6" ht="39.6" x14ac:dyDescent="0.25">
      <c r="B82" s="4142"/>
      <c r="C82" s="4132" t="s">
        <v>1831</v>
      </c>
      <c r="D82" s="4132" t="s">
        <v>1056</v>
      </c>
      <c r="E82" s="4132" t="s">
        <v>985</v>
      </c>
      <c r="F82" s="4144" t="s">
        <v>2421</v>
      </c>
    </row>
    <row r="83" spans="2:6" ht="39.6" x14ac:dyDescent="0.25">
      <c r="B83" s="4142"/>
      <c r="C83" s="4132" t="s">
        <v>1831</v>
      </c>
      <c r="D83" s="4132" t="s">
        <v>1068</v>
      </c>
      <c r="E83" s="4132" t="s">
        <v>985</v>
      </c>
      <c r="F83" s="4144" t="s">
        <v>2421</v>
      </c>
    </row>
    <row r="84" spans="2:6" ht="26.4" x14ac:dyDescent="0.25">
      <c r="B84" s="4142"/>
      <c r="C84" s="4132" t="s">
        <v>1831</v>
      </c>
      <c r="D84" s="4132" t="s">
        <v>1102</v>
      </c>
      <c r="E84" s="4132" t="s">
        <v>993</v>
      </c>
      <c r="F84" s="4144" t="s">
        <v>2422</v>
      </c>
    </row>
    <row r="85" spans="2:6" ht="26.4" x14ac:dyDescent="0.25">
      <c r="B85" s="4142"/>
      <c r="C85" s="4132" t="s">
        <v>1831</v>
      </c>
      <c r="D85" s="4132" t="s">
        <v>1103</v>
      </c>
      <c r="E85" s="4132" t="s">
        <v>993</v>
      </c>
      <c r="F85" s="4144" t="s">
        <v>2422</v>
      </c>
    </row>
    <row r="86" spans="2:6" ht="26.4" x14ac:dyDescent="0.25">
      <c r="B86" s="4142"/>
      <c r="C86" s="4132" t="s">
        <v>1831</v>
      </c>
      <c r="D86" s="4132" t="s">
        <v>1104</v>
      </c>
      <c r="E86" s="4132" t="s">
        <v>993</v>
      </c>
      <c r="F86" s="4144" t="s">
        <v>2422</v>
      </c>
    </row>
    <row r="87" spans="2:6" x14ac:dyDescent="0.25">
      <c r="B87" s="4142"/>
      <c r="C87" s="4132" t="s">
        <v>1831</v>
      </c>
      <c r="D87" s="4132" t="s">
        <v>2395</v>
      </c>
      <c r="E87" s="4132" t="s">
        <v>1087</v>
      </c>
      <c r="F87" s="4144" t="s">
        <v>2406</v>
      </c>
    </row>
    <row r="88" spans="2:6" ht="26.4" x14ac:dyDescent="0.25">
      <c r="B88" s="4142"/>
      <c r="C88" s="4132" t="s">
        <v>1831</v>
      </c>
      <c r="D88" s="4132" t="s">
        <v>1666</v>
      </c>
      <c r="E88" s="4132" t="s">
        <v>2403</v>
      </c>
      <c r="F88" s="4144" t="s">
        <v>2414</v>
      </c>
    </row>
    <row r="89" spans="2:6" ht="26.4" x14ac:dyDescent="0.25">
      <c r="B89" s="4142"/>
      <c r="C89" s="4132" t="s">
        <v>1831</v>
      </c>
      <c r="D89" s="4132" t="s">
        <v>2409</v>
      </c>
      <c r="E89" s="4133" t="s">
        <v>2410</v>
      </c>
      <c r="F89" s="4144" t="s">
        <v>2412</v>
      </c>
    </row>
    <row r="90" spans="2:6" ht="26.4" x14ac:dyDescent="0.25">
      <c r="B90" s="4142"/>
      <c r="C90" s="4132" t="s">
        <v>1831</v>
      </c>
      <c r="D90" s="4132" t="s">
        <v>2411</v>
      </c>
      <c r="E90" s="4133" t="s">
        <v>2410</v>
      </c>
      <c r="F90" s="4144" t="s">
        <v>2413</v>
      </c>
    </row>
    <row r="91" spans="2:6" ht="26.4" x14ac:dyDescent="0.25">
      <c r="B91" s="4142"/>
      <c r="C91" s="4132" t="s">
        <v>1831</v>
      </c>
      <c r="D91" s="4132" t="s">
        <v>2415</v>
      </c>
      <c r="E91" s="4133" t="s">
        <v>2416</v>
      </c>
      <c r="F91" s="4144" t="s">
        <v>2417</v>
      </c>
    </row>
    <row r="92" spans="2:6" ht="39.6" x14ac:dyDescent="0.25">
      <c r="B92" s="4142"/>
      <c r="C92" s="4132" t="s">
        <v>1831</v>
      </c>
      <c r="D92" s="4132" t="s">
        <v>2418</v>
      </c>
      <c r="E92" s="4133" t="s">
        <v>2423</v>
      </c>
      <c r="F92" s="4144" t="s">
        <v>2425</v>
      </c>
    </row>
    <row r="93" spans="2:6" ht="39.6" x14ac:dyDescent="0.25">
      <c r="B93" s="4142"/>
      <c r="C93" s="4132" t="s">
        <v>1831</v>
      </c>
      <c r="D93" s="4133" t="s">
        <v>2408</v>
      </c>
      <c r="E93" s="4133" t="s">
        <v>2424</v>
      </c>
      <c r="F93" s="4144" t="s">
        <v>2426</v>
      </c>
    </row>
    <row r="94" spans="2:6" ht="26.4" x14ac:dyDescent="0.25">
      <c r="B94" s="2558" t="s">
        <v>1561</v>
      </c>
      <c r="C94" s="4132" t="s">
        <v>2317</v>
      </c>
      <c r="D94" s="4133" t="s">
        <v>2329</v>
      </c>
      <c r="E94" s="4133" t="s">
        <v>2332</v>
      </c>
      <c r="F94" s="4144" t="s">
        <v>2333</v>
      </c>
    </row>
    <row r="95" spans="2:6" ht="26.4" x14ac:dyDescent="0.25">
      <c r="B95" s="4142"/>
      <c r="C95" s="4132" t="s">
        <v>2317</v>
      </c>
      <c r="D95" s="4133" t="s">
        <v>2334</v>
      </c>
      <c r="E95" s="4133" t="s">
        <v>2332</v>
      </c>
      <c r="F95" s="4144" t="s">
        <v>2335</v>
      </c>
    </row>
    <row r="96" spans="2:6" ht="26.4" x14ac:dyDescent="0.25">
      <c r="B96" s="4142"/>
      <c r="C96" s="4132" t="s">
        <v>2317</v>
      </c>
      <c r="D96" s="4133" t="s">
        <v>2337</v>
      </c>
      <c r="E96" s="4133" t="s">
        <v>2338</v>
      </c>
      <c r="F96" s="4144" t="s">
        <v>2336</v>
      </c>
    </row>
    <row r="97" spans="2:6" ht="26.4" x14ac:dyDescent="0.25">
      <c r="B97" s="4142"/>
      <c r="C97" s="4132" t="s">
        <v>2317</v>
      </c>
      <c r="D97" s="4133" t="s">
        <v>2330</v>
      </c>
      <c r="E97" s="4133" t="s">
        <v>2331</v>
      </c>
      <c r="F97" s="4144" t="s">
        <v>2328</v>
      </c>
    </row>
    <row r="98" spans="2:6" ht="26.4" x14ac:dyDescent="0.25">
      <c r="B98" s="4142"/>
      <c r="C98" s="4132" t="s">
        <v>2317</v>
      </c>
      <c r="D98" s="4133" t="s">
        <v>2323</v>
      </c>
      <c r="E98" s="4133" t="s">
        <v>2324</v>
      </c>
      <c r="F98" s="4144" t="s">
        <v>2325</v>
      </c>
    </row>
    <row r="99" spans="2:6" x14ac:dyDescent="0.25">
      <c r="B99" s="4142"/>
      <c r="C99" s="4132" t="s">
        <v>2317</v>
      </c>
      <c r="D99" s="4133" t="s">
        <v>2326</v>
      </c>
      <c r="E99" s="4133" t="s">
        <v>2324</v>
      </c>
      <c r="F99" s="4144" t="s">
        <v>2327</v>
      </c>
    </row>
    <row r="100" spans="2:6" x14ac:dyDescent="0.25">
      <c r="B100" s="4142"/>
      <c r="C100" s="4132" t="s">
        <v>2317</v>
      </c>
      <c r="D100" s="4133" t="s">
        <v>342</v>
      </c>
      <c r="E100" s="4133" t="s">
        <v>341</v>
      </c>
      <c r="F100" s="4144" t="s">
        <v>2339</v>
      </c>
    </row>
    <row r="101" spans="2:6" ht="26.4" x14ac:dyDescent="0.25">
      <c r="B101" s="4142"/>
      <c r="C101" s="4132" t="s">
        <v>2317</v>
      </c>
      <c r="D101" s="4133" t="s">
        <v>2340</v>
      </c>
      <c r="E101" s="4133" t="s">
        <v>2342</v>
      </c>
      <c r="F101" s="4144" t="s">
        <v>2343</v>
      </c>
    </row>
    <row r="102" spans="2:6" ht="26.4" x14ac:dyDescent="0.25">
      <c r="B102" s="4142"/>
      <c r="C102" s="4132" t="s">
        <v>1827</v>
      </c>
      <c r="D102" s="4133" t="s">
        <v>2346</v>
      </c>
      <c r="E102" s="4133" t="s">
        <v>2359</v>
      </c>
      <c r="F102" s="4144" t="s">
        <v>2360</v>
      </c>
    </row>
    <row r="103" spans="2:6" ht="26.4" x14ac:dyDescent="0.25">
      <c r="B103" s="4142"/>
      <c r="C103" s="4132" t="s">
        <v>1827</v>
      </c>
      <c r="D103" s="4133" t="s">
        <v>2347</v>
      </c>
      <c r="E103" s="4133" t="s">
        <v>2359</v>
      </c>
      <c r="F103" s="4144" t="s">
        <v>2361</v>
      </c>
    </row>
    <row r="104" spans="2:6" ht="26.4" x14ac:dyDescent="0.25">
      <c r="B104" s="4142"/>
      <c r="C104" s="4132" t="s">
        <v>1827</v>
      </c>
      <c r="D104" s="4133" t="s">
        <v>2348</v>
      </c>
      <c r="E104" s="4133" t="s">
        <v>2359</v>
      </c>
      <c r="F104" s="4144" t="s">
        <v>2362</v>
      </c>
    </row>
    <row r="105" spans="2:6" ht="19.5" customHeight="1" x14ac:dyDescent="0.25">
      <c r="B105" s="4142"/>
      <c r="C105" s="4132" t="s">
        <v>1827</v>
      </c>
      <c r="D105" s="4132" t="s">
        <v>2453</v>
      </c>
      <c r="E105" s="4132" t="s">
        <v>2448</v>
      </c>
      <c r="F105" s="4144" t="s">
        <v>2449</v>
      </c>
    </row>
    <row r="106" spans="2:6" ht="26.4" x14ac:dyDescent="0.25">
      <c r="B106" s="4142"/>
      <c r="C106" s="4132" t="s">
        <v>1827</v>
      </c>
      <c r="D106" s="4132" t="s">
        <v>2452</v>
      </c>
      <c r="E106" s="4132" t="s">
        <v>2448</v>
      </c>
      <c r="F106" s="4144" t="s">
        <v>2449</v>
      </c>
    </row>
    <row r="107" spans="2:6" ht="26.4" x14ac:dyDescent="0.25">
      <c r="B107" s="4142"/>
      <c r="C107" s="4132" t="s">
        <v>1827</v>
      </c>
      <c r="D107" s="4132" t="s">
        <v>2455</v>
      </c>
      <c r="E107" s="4132" t="s">
        <v>2448</v>
      </c>
      <c r="F107" s="4144" t="s">
        <v>2449</v>
      </c>
    </row>
    <row r="108" spans="2:6" ht="26.4" x14ac:dyDescent="0.25">
      <c r="B108" s="4142"/>
      <c r="C108" s="4132" t="s">
        <v>1827</v>
      </c>
      <c r="D108" s="4132" t="s">
        <v>2456</v>
      </c>
      <c r="E108" s="4132" t="s">
        <v>2448</v>
      </c>
      <c r="F108" s="4144" t="s">
        <v>2449</v>
      </c>
    </row>
    <row r="109" spans="2:6" ht="26.4" x14ac:dyDescent="0.25">
      <c r="B109" s="4142"/>
      <c r="C109" s="4132" t="s">
        <v>1827</v>
      </c>
      <c r="D109" s="4132" t="s">
        <v>2457</v>
      </c>
      <c r="E109" s="4132" t="s">
        <v>2448</v>
      </c>
      <c r="F109" s="4144" t="s">
        <v>2449</v>
      </c>
    </row>
    <row r="110" spans="2:6" ht="26.4" x14ac:dyDescent="0.25">
      <c r="B110" s="4142"/>
      <c r="C110" s="4132" t="s">
        <v>1827</v>
      </c>
      <c r="D110" s="4132" t="s">
        <v>2458</v>
      </c>
      <c r="E110" s="4132" t="s">
        <v>2448</v>
      </c>
      <c r="F110" s="4144" t="s">
        <v>2449</v>
      </c>
    </row>
    <row r="111" spans="2:6" ht="26.4" x14ac:dyDescent="0.25">
      <c r="B111" s="4142"/>
      <c r="C111" s="4132" t="s">
        <v>1827</v>
      </c>
      <c r="D111" s="4132" t="s">
        <v>2349</v>
      </c>
      <c r="E111" s="4132" t="s">
        <v>2342</v>
      </c>
      <c r="F111" s="4144" t="s">
        <v>2366</v>
      </c>
    </row>
    <row r="112" spans="2:6" ht="26.4" x14ac:dyDescent="0.25">
      <c r="B112" s="4142"/>
      <c r="C112" s="4132" t="s">
        <v>1831</v>
      </c>
      <c r="D112" s="4132" t="s">
        <v>2409</v>
      </c>
      <c r="E112" s="4133" t="s">
        <v>2410</v>
      </c>
      <c r="F112" s="4144" t="s">
        <v>2412</v>
      </c>
    </row>
    <row r="113" spans="2:6" ht="26.4" x14ac:dyDescent="0.25">
      <c r="B113" s="4142"/>
      <c r="C113" s="4132" t="s">
        <v>1831</v>
      </c>
      <c r="D113" s="4132" t="s">
        <v>2411</v>
      </c>
      <c r="E113" s="4133" t="s">
        <v>2410</v>
      </c>
      <c r="F113" s="4144" t="s">
        <v>2413</v>
      </c>
    </row>
    <row r="114" spans="2:6" ht="26.4" x14ac:dyDescent="0.25">
      <c r="B114" s="4142"/>
      <c r="C114" s="4132" t="s">
        <v>1831</v>
      </c>
      <c r="D114" s="4132" t="s">
        <v>2415</v>
      </c>
      <c r="E114" s="4133" t="s">
        <v>2416</v>
      </c>
      <c r="F114" s="4144" t="s">
        <v>2417</v>
      </c>
    </row>
    <row r="115" spans="2:6" ht="39.6" x14ac:dyDescent="0.25">
      <c r="B115" s="4142"/>
      <c r="C115" s="4132" t="s">
        <v>1831</v>
      </c>
      <c r="D115" s="4132" t="s">
        <v>2418</v>
      </c>
      <c r="E115" s="4133" t="s">
        <v>2423</v>
      </c>
      <c r="F115" s="4144" t="s">
        <v>2425</v>
      </c>
    </row>
    <row r="116" spans="2:6" ht="39.6" x14ac:dyDescent="0.25">
      <c r="B116" s="4142"/>
      <c r="C116" s="4132" t="s">
        <v>1831</v>
      </c>
      <c r="D116" s="4133" t="s">
        <v>2408</v>
      </c>
      <c r="E116" s="4133" t="s">
        <v>2424</v>
      </c>
      <c r="F116" s="4144" t="s">
        <v>2426</v>
      </c>
    </row>
    <row r="117" spans="2:6" ht="39.6" x14ac:dyDescent="0.25">
      <c r="B117" s="4142"/>
      <c r="C117" s="4132" t="s">
        <v>2381</v>
      </c>
      <c r="D117" s="4132" t="s">
        <v>2459</v>
      </c>
      <c r="E117" s="4132" t="s">
        <v>2460</v>
      </c>
      <c r="F117" s="4144" t="s">
        <v>2461</v>
      </c>
    </row>
    <row r="118" spans="2:6" ht="26.4" x14ac:dyDescent="0.25">
      <c r="B118" s="4142"/>
      <c r="C118" s="4132" t="s">
        <v>2381</v>
      </c>
      <c r="D118" s="4132" t="s">
        <v>2431</v>
      </c>
      <c r="E118" s="4132" t="s">
        <v>2430</v>
      </c>
      <c r="F118" s="4144" t="s">
        <v>2462</v>
      </c>
    </row>
    <row r="119" spans="2:6" ht="26.4" x14ac:dyDescent="0.25">
      <c r="B119" s="4142"/>
      <c r="C119" s="4132" t="s">
        <v>2381</v>
      </c>
      <c r="D119" s="4132" t="s">
        <v>2432</v>
      </c>
      <c r="E119" s="4132" t="s">
        <v>2430</v>
      </c>
      <c r="F119" s="4144" t="s">
        <v>2462</v>
      </c>
    </row>
    <row r="120" spans="2:6" ht="26.4" x14ac:dyDescent="0.25">
      <c r="B120" s="4142"/>
      <c r="C120" s="4132" t="s">
        <v>2381</v>
      </c>
      <c r="D120" s="4132" t="s">
        <v>2433</v>
      </c>
      <c r="E120" s="4132" t="s">
        <v>2430</v>
      </c>
      <c r="F120" s="4144" t="s">
        <v>2462</v>
      </c>
    </row>
    <row r="121" spans="2:6" ht="39.6" x14ac:dyDescent="0.25">
      <c r="B121" s="4142"/>
      <c r="C121" s="4132" t="s">
        <v>2381</v>
      </c>
      <c r="D121" s="4132" t="s">
        <v>2463</v>
      </c>
      <c r="E121" s="4132" t="s">
        <v>2384</v>
      </c>
      <c r="F121" s="4144" t="s">
        <v>2461</v>
      </c>
    </row>
    <row r="122" spans="2:6" ht="39.6" x14ac:dyDescent="0.25">
      <c r="B122" s="4142"/>
      <c r="C122" s="4132" t="s">
        <v>2381</v>
      </c>
      <c r="D122" s="4132" t="s">
        <v>2384</v>
      </c>
      <c r="E122" s="4132" t="s">
        <v>2385</v>
      </c>
      <c r="F122" s="4144" t="s">
        <v>2461</v>
      </c>
    </row>
    <row r="123" spans="2:6" ht="26.4" x14ac:dyDescent="0.25">
      <c r="B123" s="2558" t="s">
        <v>1562</v>
      </c>
      <c r="C123" s="4132" t="s">
        <v>2317</v>
      </c>
      <c r="D123" s="4133" t="s">
        <v>2329</v>
      </c>
      <c r="E123" s="4133" t="s">
        <v>2332</v>
      </c>
      <c r="F123" s="4144" t="s">
        <v>2333</v>
      </c>
    </row>
    <row r="124" spans="2:6" ht="26.4" x14ac:dyDescent="0.25">
      <c r="B124" s="4142"/>
      <c r="C124" s="4132" t="s">
        <v>2317</v>
      </c>
      <c r="D124" s="4133" t="s">
        <v>2334</v>
      </c>
      <c r="E124" s="4133" t="s">
        <v>2332</v>
      </c>
      <c r="F124" s="4144" t="s">
        <v>2335</v>
      </c>
    </row>
    <row r="125" spans="2:6" ht="26.4" x14ac:dyDescent="0.25">
      <c r="B125" s="4142"/>
      <c r="C125" s="4132" t="s">
        <v>2317</v>
      </c>
      <c r="D125" s="4133" t="s">
        <v>2337</v>
      </c>
      <c r="E125" s="4133" t="s">
        <v>2338</v>
      </c>
      <c r="F125" s="4144" t="s">
        <v>2336</v>
      </c>
    </row>
    <row r="126" spans="2:6" ht="26.4" x14ac:dyDescent="0.25">
      <c r="B126" s="4142"/>
      <c r="C126" s="4132" t="s">
        <v>2317</v>
      </c>
      <c r="D126" s="4132" t="s">
        <v>2330</v>
      </c>
      <c r="E126" s="4132" t="s">
        <v>2331</v>
      </c>
      <c r="F126" s="4144" t="s">
        <v>2328</v>
      </c>
    </row>
    <row r="127" spans="2:6" ht="26.4" x14ac:dyDescent="0.25">
      <c r="B127" s="4142"/>
      <c r="C127" s="4132" t="s">
        <v>2317</v>
      </c>
      <c r="D127" s="4132" t="s">
        <v>2323</v>
      </c>
      <c r="E127" s="4132" t="s">
        <v>2324</v>
      </c>
      <c r="F127" s="4144" t="s">
        <v>2325</v>
      </c>
    </row>
    <row r="128" spans="2:6" x14ac:dyDescent="0.25">
      <c r="B128" s="4142"/>
      <c r="C128" s="4132" t="s">
        <v>2317</v>
      </c>
      <c r="D128" s="4132" t="s">
        <v>2326</v>
      </c>
      <c r="E128" s="4132" t="s">
        <v>2324</v>
      </c>
      <c r="F128" s="4144" t="s">
        <v>2327</v>
      </c>
    </row>
    <row r="129" spans="2:6" x14ac:dyDescent="0.25">
      <c r="B129" s="4142"/>
      <c r="C129" s="4132" t="s">
        <v>1827</v>
      </c>
      <c r="D129" s="4132" t="s">
        <v>2368</v>
      </c>
      <c r="E129" s="4132" t="s">
        <v>2351</v>
      </c>
      <c r="F129" s="4144" t="s">
        <v>2369</v>
      </c>
    </row>
    <row r="130" spans="2:6" ht="26.4" x14ac:dyDescent="0.25">
      <c r="B130" s="4142"/>
      <c r="C130" s="4132" t="s">
        <v>1831</v>
      </c>
      <c r="D130" s="4133" t="s">
        <v>2400</v>
      </c>
      <c r="E130" s="4133" t="s">
        <v>2419</v>
      </c>
      <c r="F130" s="4144" t="s">
        <v>2402</v>
      </c>
    </row>
    <row r="131" spans="2:6" ht="26.4" x14ac:dyDescent="0.25">
      <c r="B131" s="4142"/>
      <c r="C131" s="4132" t="s">
        <v>1831</v>
      </c>
      <c r="D131" s="4132" t="s">
        <v>1235</v>
      </c>
      <c r="E131" s="4133" t="s">
        <v>2419</v>
      </c>
      <c r="F131" s="4144" t="s">
        <v>2420</v>
      </c>
    </row>
    <row r="132" spans="2:6" ht="26.4" x14ac:dyDescent="0.25">
      <c r="B132" s="4142"/>
      <c r="C132" s="4132" t="s">
        <v>1831</v>
      </c>
      <c r="D132" s="4132" t="s">
        <v>1241</v>
      </c>
      <c r="E132" s="4133" t="s">
        <v>2419</v>
      </c>
      <c r="F132" s="4144" t="s">
        <v>2420</v>
      </c>
    </row>
    <row r="133" spans="2:6" ht="26.4" x14ac:dyDescent="0.25">
      <c r="B133" s="4142"/>
      <c r="C133" s="4132" t="s">
        <v>1831</v>
      </c>
      <c r="D133" s="4132" t="s">
        <v>1253</v>
      </c>
      <c r="E133" s="4133" t="s">
        <v>2419</v>
      </c>
      <c r="F133" s="4144" t="s">
        <v>2420</v>
      </c>
    </row>
    <row r="134" spans="2:6" ht="26.4" x14ac:dyDescent="0.25">
      <c r="B134" s="4142"/>
      <c r="C134" s="4132" t="s">
        <v>1831</v>
      </c>
      <c r="D134" s="4132" t="s">
        <v>1254</v>
      </c>
      <c r="E134" s="4133" t="s">
        <v>2419</v>
      </c>
      <c r="F134" s="4144" t="s">
        <v>2420</v>
      </c>
    </row>
    <row r="135" spans="2:6" ht="26.4" x14ac:dyDescent="0.25">
      <c r="B135" s="4142"/>
      <c r="C135" s="4132" t="s">
        <v>1831</v>
      </c>
      <c r="D135" s="4132" t="s">
        <v>2409</v>
      </c>
      <c r="E135" s="4133" t="s">
        <v>2410</v>
      </c>
      <c r="F135" s="4144" t="s">
        <v>2412</v>
      </c>
    </row>
    <row r="136" spans="2:6" ht="26.4" x14ac:dyDescent="0.25">
      <c r="B136" s="4142"/>
      <c r="C136" s="4132" t="s">
        <v>1831</v>
      </c>
      <c r="D136" s="4132" t="s">
        <v>2411</v>
      </c>
      <c r="E136" s="4133" t="s">
        <v>2410</v>
      </c>
      <c r="F136" s="4144" t="s">
        <v>2413</v>
      </c>
    </row>
    <row r="137" spans="2:6" ht="26.4" x14ac:dyDescent="0.25">
      <c r="B137" s="4142"/>
      <c r="C137" s="4132" t="s">
        <v>1831</v>
      </c>
      <c r="D137" s="4132" t="s">
        <v>2415</v>
      </c>
      <c r="E137" s="4133" t="s">
        <v>2416</v>
      </c>
      <c r="F137" s="4144" t="s">
        <v>2417</v>
      </c>
    </row>
    <row r="138" spans="2:6" ht="39.6" x14ac:dyDescent="0.25">
      <c r="B138" s="4142"/>
      <c r="C138" s="4132" t="s">
        <v>1831</v>
      </c>
      <c r="D138" s="4132" t="s">
        <v>2418</v>
      </c>
      <c r="E138" s="4133" t="s">
        <v>2423</v>
      </c>
      <c r="F138" s="4144" t="s">
        <v>2425</v>
      </c>
    </row>
    <row r="139" spans="2:6" ht="39.6" x14ac:dyDescent="0.25">
      <c r="B139" s="4142"/>
      <c r="C139" s="4132" t="s">
        <v>1831</v>
      </c>
      <c r="D139" s="4133" t="s">
        <v>2408</v>
      </c>
      <c r="E139" s="4133" t="s">
        <v>2424</v>
      </c>
      <c r="F139" s="4144" t="s">
        <v>2426</v>
      </c>
    </row>
    <row r="140" spans="2:6" ht="26.4" x14ac:dyDescent="0.25">
      <c r="B140" s="4142"/>
      <c r="C140" s="4132" t="s">
        <v>2381</v>
      </c>
      <c r="D140" s="4132" t="s">
        <v>2389</v>
      </c>
      <c r="E140" s="4132" t="s">
        <v>2388</v>
      </c>
      <c r="F140" s="4144" t="s">
        <v>2387</v>
      </c>
    </row>
    <row r="141" spans="2:6" ht="26.4" x14ac:dyDescent="0.25">
      <c r="B141" s="2559"/>
      <c r="C141" s="4132" t="s">
        <v>2381</v>
      </c>
      <c r="D141" s="4132" t="s">
        <v>2386</v>
      </c>
      <c r="E141" s="4132" t="s">
        <v>2388</v>
      </c>
      <c r="F141" s="4144" t="s">
        <v>2387</v>
      </c>
    </row>
    <row r="142" spans="2:6" ht="18" customHeight="1" x14ac:dyDescent="0.25">
      <c r="B142" s="2558" t="s">
        <v>1539</v>
      </c>
      <c r="C142" s="4132" t="s">
        <v>1827</v>
      </c>
      <c r="D142" s="4132" t="s">
        <v>670</v>
      </c>
      <c r="E142" s="4132" t="s">
        <v>668</v>
      </c>
      <c r="F142" s="4144" t="s">
        <v>2370</v>
      </c>
    </row>
    <row r="143" spans="2:6" ht="18" customHeight="1" x14ac:dyDescent="0.25">
      <c r="B143" s="2559"/>
      <c r="C143" s="4132" t="s">
        <v>1827</v>
      </c>
      <c r="D143" s="4132" t="s">
        <v>675</v>
      </c>
      <c r="E143" s="4132" t="s">
        <v>674</v>
      </c>
      <c r="F143" s="4144" t="s">
        <v>2371</v>
      </c>
    </row>
    <row r="144" spans="2:6" ht="18" customHeight="1" x14ac:dyDescent="0.25">
      <c r="B144" s="2558" t="s">
        <v>1511</v>
      </c>
      <c r="C144" s="4132"/>
      <c r="D144" s="4132"/>
      <c r="E144" s="4132"/>
      <c r="F144" s="4144"/>
    </row>
    <row r="145" spans="2:6" ht="18" customHeight="1" x14ac:dyDescent="0.25">
      <c r="B145" s="2559"/>
      <c r="C145" s="4132"/>
      <c r="D145" s="4132"/>
      <c r="E145" s="4132"/>
      <c r="F145" s="4144"/>
    </row>
    <row r="146" spans="2:6" ht="18" customHeight="1" x14ac:dyDescent="0.25">
      <c r="B146" s="2558" t="s">
        <v>2119</v>
      </c>
      <c r="C146" s="4132"/>
      <c r="D146" s="4132"/>
      <c r="E146" s="4132"/>
      <c r="F146" s="4144"/>
    </row>
    <row r="147" spans="2:6" ht="18" customHeight="1" x14ac:dyDescent="0.25">
      <c r="B147" s="2559" t="s">
        <v>2120</v>
      </c>
      <c r="C147" s="4132"/>
      <c r="D147" s="4132"/>
      <c r="E147" s="4132"/>
      <c r="F147" s="4144"/>
    </row>
    <row r="148" spans="2:6" ht="18" customHeight="1" x14ac:dyDescent="0.25">
      <c r="B148" s="2558" t="s">
        <v>1621</v>
      </c>
      <c r="C148" s="4132"/>
      <c r="D148" s="4132"/>
      <c r="E148" s="4132" t="s">
        <v>414</v>
      </c>
      <c r="F148" s="4144"/>
    </row>
    <row r="149" spans="2:6" ht="18" customHeight="1" x14ac:dyDescent="0.25">
      <c r="B149" s="2559"/>
      <c r="C149" s="4132"/>
      <c r="D149" s="4132"/>
      <c r="E149" s="4132"/>
      <c r="F149" s="4144"/>
    </row>
    <row r="150" spans="2:6" ht="18" customHeight="1" x14ac:dyDescent="0.25">
      <c r="B150" s="869" t="s">
        <v>1702</v>
      </c>
      <c r="C150" s="4132"/>
      <c r="D150" s="4132"/>
      <c r="E150" s="4132"/>
      <c r="F150" s="4144"/>
    </row>
    <row r="151" spans="2:6" ht="18" customHeight="1" thickBot="1" x14ac:dyDescent="0.3">
      <c r="B151" s="870"/>
      <c r="C151" s="4143"/>
      <c r="D151" s="4143"/>
      <c r="E151" s="4143"/>
      <c r="F151" s="4145"/>
    </row>
    <row r="152" spans="2:6" x14ac:dyDescent="0.25">
      <c r="B152" s="8"/>
      <c r="C152" s="8"/>
      <c r="D152" s="8"/>
      <c r="E152" s="8"/>
      <c r="F152" s="8"/>
    </row>
    <row r="153" spans="2:6" ht="14.4" x14ac:dyDescent="0.25">
      <c r="B153" s="750"/>
      <c r="C153" s="750"/>
      <c r="D153" s="750"/>
      <c r="E153" s="750"/>
      <c r="F153" s="750"/>
    </row>
    <row r="154" spans="2:6" ht="14.4" x14ac:dyDescent="0.25">
      <c r="B154" s="983"/>
      <c r="C154" s="750"/>
      <c r="D154" s="750"/>
      <c r="E154" s="750"/>
      <c r="F154" s="750"/>
    </row>
    <row r="155" spans="2:6" ht="14.4" x14ac:dyDescent="0.25">
      <c r="B155" s="751"/>
      <c r="C155" s="526"/>
      <c r="D155" s="526"/>
      <c r="E155" s="750"/>
      <c r="F155" s="750"/>
    </row>
    <row r="156" spans="2:6" ht="14.4" x14ac:dyDescent="0.25">
      <c r="B156" s="750"/>
      <c r="C156" s="750"/>
      <c r="D156" s="750"/>
      <c r="E156" s="750"/>
      <c r="F156" s="750"/>
    </row>
    <row r="157" spans="2:6" ht="14.4" x14ac:dyDescent="0.25">
      <c r="B157" s="983"/>
      <c r="C157" s="752"/>
      <c r="D157" s="752"/>
      <c r="E157" s="752"/>
      <c r="F157" s="752"/>
    </row>
    <row r="162" spans="2:6" ht="13.8" thickBot="1" x14ac:dyDescent="0.3"/>
    <row r="163" spans="2:6" x14ac:dyDescent="0.25">
      <c r="B163" s="739" t="s">
        <v>1384</v>
      </c>
      <c r="C163" s="974"/>
      <c r="D163" s="974"/>
      <c r="E163" s="974"/>
      <c r="F163" s="975"/>
    </row>
    <row r="164" spans="2:6" x14ac:dyDescent="0.25">
      <c r="B164" s="978"/>
      <c r="C164" s="979"/>
      <c r="D164" s="979"/>
      <c r="E164" s="979"/>
      <c r="F164" s="980"/>
    </row>
    <row r="165" spans="2:6" x14ac:dyDescent="0.25">
      <c r="B165" s="978"/>
      <c r="C165" s="979"/>
      <c r="D165" s="979"/>
      <c r="E165" s="979"/>
      <c r="F165" s="980"/>
    </row>
    <row r="166" spans="2:6" ht="13.8" thickBot="1" x14ac:dyDescent="0.3">
      <c r="B166" s="741"/>
      <c r="C166" s="976"/>
      <c r="D166" s="976"/>
      <c r="E166" s="976"/>
      <c r="F166" s="977"/>
    </row>
    <row r="167" spans="2:6" ht="13.8" thickBot="1" x14ac:dyDescent="0.3">
      <c r="B167" s="742"/>
      <c r="C167" s="743"/>
      <c r="D167" s="743"/>
      <c r="E167" s="743"/>
      <c r="F167" s="744"/>
    </row>
    <row r="180" spans="4:6" ht="13.8" x14ac:dyDescent="0.25">
      <c r="D180" s="1802"/>
      <c r="F180" s="2463"/>
    </row>
  </sheetData>
  <mergeCells count="49">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9:F9"/>
    <mergeCell ref="E10:F10"/>
    <mergeCell ref="E11:F11"/>
    <mergeCell ref="E12:F12"/>
    <mergeCell ref="E14:F14"/>
    <mergeCell ref="E13:F13"/>
    <mergeCell ref="E33:F33"/>
    <mergeCell ref="E44:F44"/>
    <mergeCell ref="E39:F39"/>
    <mergeCell ref="E15:F15"/>
    <mergeCell ref="E25:F25"/>
    <mergeCell ref="E17:F17"/>
    <mergeCell ref="E29:F29"/>
    <mergeCell ref="E16:F16"/>
    <mergeCell ref="E18:F18"/>
    <mergeCell ref="E19:F19"/>
    <mergeCell ref="E20:F20"/>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09375" defaultRowHeight="13.2" x14ac:dyDescent="0.25"/>
  <cols>
    <col min="1" max="1" width="1.88671875" customWidth="1"/>
    <col min="2" max="2" width="57.109375" customWidth="1"/>
    <col min="3" max="3" width="16.88671875" customWidth="1"/>
    <col min="4" max="36" width="10.6640625" customWidth="1"/>
    <col min="37" max="37" width="11.44140625" customWidth="1"/>
    <col min="38" max="38" width="10.88671875" customWidth="1"/>
  </cols>
  <sheetData>
    <row r="1" spans="1:37" ht="15.6" x14ac:dyDescent="0.25">
      <c r="B1" s="753" t="s">
        <v>1706</v>
      </c>
      <c r="AK1" s="14" t="s">
        <v>2521</v>
      </c>
    </row>
    <row r="2" spans="1:37" ht="18" x14ac:dyDescent="0.25">
      <c r="B2" s="753" t="s">
        <v>1707</v>
      </c>
      <c r="AK2" s="14" t="s">
        <v>2522</v>
      </c>
    </row>
    <row r="3" spans="1:37" ht="15.6" x14ac:dyDescent="0.25">
      <c r="B3" s="753" t="s">
        <v>1708</v>
      </c>
      <c r="AK3" s="14" t="s">
        <v>2144</v>
      </c>
    </row>
    <row r="4" spans="1:37" ht="15.6" hidden="1" x14ac:dyDescent="0.25">
      <c r="B4" s="753"/>
      <c r="AK4" s="226"/>
    </row>
    <row r="5" spans="1:37" ht="15.6" hidden="1" x14ac:dyDescent="0.25">
      <c r="B5" s="753"/>
      <c r="AK5" s="226"/>
    </row>
    <row r="6" spans="1:37" ht="15.6" hidden="1" x14ac:dyDescent="0.25">
      <c r="B6" s="753"/>
      <c r="AK6" s="226"/>
    </row>
    <row r="7" spans="1:37" ht="13.8" thickBot="1" x14ac:dyDescent="0.3">
      <c r="B7" s="2446" t="s">
        <v>64</v>
      </c>
    </row>
    <row r="8" spans="1:37" ht="60" customHeight="1" x14ac:dyDescent="0.25">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3">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3">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5">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5">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5">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5">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5">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5">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5">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5">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5">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5">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3">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5">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5">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5">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5">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5">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5">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5">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5">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3">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5">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5">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5">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5">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5">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5">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5">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5">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5">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5">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3">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5">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5">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5">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5">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5">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5">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5">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5">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3">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5">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5">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5">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5">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5">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3">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3">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3">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5">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5">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5">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5">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5">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5">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5">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5">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3">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3"/>
    <row r="69" spans="2:37" ht="18" customHeight="1" thickBot="1" x14ac:dyDescent="0.3">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3">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5">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5">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5">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3">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5">
      <c r="E75" t="s">
        <v>389</v>
      </c>
    </row>
    <row r="76" spans="2:37" x14ac:dyDescent="0.25">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5"/>
  <cols>
    <col min="1" max="1" width="1.88671875" customWidth="1"/>
    <col min="2" max="2" width="57.109375" customWidth="1"/>
    <col min="3" max="3" width="16.88671875" customWidth="1"/>
    <col min="4" max="4" width="10.109375" bestFit="1" customWidth="1"/>
    <col min="5" max="36" width="10.109375" customWidth="1"/>
    <col min="37" max="37" width="13.5546875" customWidth="1"/>
    <col min="38" max="38" width="10.88671875" customWidth="1"/>
    <col min="39" max="39" width="9.109375" customWidth="1"/>
    <col min="40" max="40" width="8.44140625" customWidth="1"/>
    <col min="41" max="43" width="8.88671875" customWidth="1"/>
    <col min="44" max="44" width="8.5546875" customWidth="1"/>
    <col min="45" max="46" width="8.88671875" customWidth="1"/>
    <col min="47" max="48" width="9.109375" customWidth="1"/>
    <col min="49" max="49" width="8.88671875" customWidth="1"/>
    <col min="50" max="50" width="9.109375" customWidth="1"/>
    <col min="51" max="51" width="9.88671875" customWidth="1"/>
    <col min="52" max="53" width="8.5546875" customWidth="1"/>
    <col min="54" max="56" width="9" customWidth="1"/>
    <col min="57" max="58" width="9.109375" customWidth="1"/>
    <col min="59" max="59" width="9" customWidth="1"/>
    <col min="60" max="60" width="9.109375" customWidth="1"/>
    <col min="61" max="61" width="8.5546875" customWidth="1"/>
  </cols>
  <sheetData>
    <row r="1" spans="2:38" ht="17.25" customHeight="1" x14ac:dyDescent="0.25">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5">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5">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5">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5">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5">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3">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5">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3">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5">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5">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5">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5">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5">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5">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5">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5">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5">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5">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3">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5">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5">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5">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5">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5">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5">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5">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5">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3">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5">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5">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5">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5">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5">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5">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5">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5">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5">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5">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3">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5">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5">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5">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5">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5">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5">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5">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5">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3">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5">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5">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5">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5">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5">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3">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3">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3">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5">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5">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5">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5">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5">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5">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5">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5">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3">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3">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3">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3">
      <c r="AK69" s="2012"/>
    </row>
    <row r="70" spans="2:38" ht="18" customHeight="1" x14ac:dyDescent="0.25">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5">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5">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3">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5">
      <c r="B74" s="634"/>
    </row>
    <row r="75" spans="2:38" ht="12" customHeight="1" x14ac:dyDescent="0.25">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5"/>
  <cols>
    <col min="1" max="1" width="1.88671875" customWidth="1"/>
    <col min="2" max="2" width="63.88671875" customWidth="1"/>
    <col min="3" max="3" width="16.88671875" customWidth="1"/>
    <col min="4" max="4" width="10.109375" bestFit="1" customWidth="1"/>
    <col min="5" max="36" width="9.109375" customWidth="1"/>
    <col min="37" max="37" width="11.44140625" customWidth="1"/>
    <col min="38" max="38" width="10.88671875" customWidth="1"/>
    <col min="39" max="40" width="9.109375" customWidth="1"/>
    <col min="41" max="41" width="9" customWidth="1"/>
    <col min="42" max="42" width="8.5546875" customWidth="1"/>
    <col min="43" max="44" width="9" customWidth="1"/>
    <col min="45" max="45" width="9.109375" customWidth="1"/>
    <col min="46" max="46" width="9.5546875" customWidth="1"/>
    <col min="47" max="47" width="9.109375" customWidth="1"/>
    <col min="48" max="48" width="9" customWidth="1"/>
    <col min="49" max="49" width="8.88671875" customWidth="1"/>
    <col min="50" max="50" width="8.5546875" customWidth="1"/>
    <col min="51" max="51" width="9.5546875" customWidth="1"/>
    <col min="52" max="52" width="8" customWidth="1"/>
    <col min="53" max="53" width="9" customWidth="1"/>
    <col min="54" max="54" width="9.5546875" customWidth="1"/>
    <col min="55" max="55" width="10.88671875" customWidth="1"/>
    <col min="56" max="56" width="9.109375" customWidth="1"/>
    <col min="57" max="57" width="8.5546875" customWidth="1"/>
    <col min="58" max="58" width="8.88671875" customWidth="1"/>
  </cols>
  <sheetData>
    <row r="1" spans="2:38" ht="17.25" customHeight="1" x14ac:dyDescent="0.25">
      <c r="B1" s="753" t="s">
        <v>1706</v>
      </c>
      <c r="AK1" s="14" t="s">
        <v>2521</v>
      </c>
    </row>
    <row r="2" spans="2:38" ht="15.75" customHeight="1" x14ac:dyDescent="0.25">
      <c r="B2" s="753" t="s">
        <v>1728</v>
      </c>
      <c r="AK2" s="14" t="s">
        <v>2522</v>
      </c>
    </row>
    <row r="3" spans="2:38" ht="15.75" customHeight="1" x14ac:dyDescent="0.25">
      <c r="B3" s="753" t="s">
        <v>1729</v>
      </c>
      <c r="AK3" s="14" t="s">
        <v>2144</v>
      </c>
    </row>
    <row r="4" spans="2:38" ht="15.75" hidden="1" customHeight="1" x14ac:dyDescent="0.25">
      <c r="B4" s="753"/>
      <c r="AK4" s="226"/>
    </row>
    <row r="5" spans="2:38" ht="15.75" hidden="1" customHeight="1" x14ac:dyDescent="0.25">
      <c r="B5" s="753"/>
      <c r="AK5" s="226"/>
    </row>
    <row r="6" spans="2:38" ht="15.75" hidden="1" customHeight="1" x14ac:dyDescent="0.25">
      <c r="B6" s="753"/>
      <c r="AK6" s="226"/>
    </row>
    <row r="7" spans="2:38" ht="12.75" customHeight="1" thickBot="1" x14ac:dyDescent="0.3">
      <c r="B7" s="2446" t="s">
        <v>64</v>
      </c>
    </row>
    <row r="8" spans="2:38" ht="60" customHeight="1" x14ac:dyDescent="0.25">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3">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5">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5">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5">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5">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5">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5">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5">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5">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5">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5">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3">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5">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5">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5">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5">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5">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5">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5">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5">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3">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5">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5">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5">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5">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5">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5">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5">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5">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5">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5">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3">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5">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5">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5">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5">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5">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5">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5">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5">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3">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5">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5">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5">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5">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5">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3">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3">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3">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3">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3">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3">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5">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5">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5">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5">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5">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5">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5">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5">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3">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3">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3">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5">
      <c r="B72" s="775"/>
      <c r="AL72" s="19"/>
    </row>
    <row r="73" spans="2:38" ht="12" customHeight="1" x14ac:dyDescent="0.25">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5">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5"/>
  <cols>
    <col min="1" max="1" width="1.88671875" customWidth="1"/>
    <col min="2" max="2" width="63.88671875" customWidth="1"/>
    <col min="3" max="3" width="16.88671875" customWidth="1"/>
    <col min="4" max="4" width="10.109375" bestFit="1" customWidth="1"/>
    <col min="5" max="36" width="8.44140625" customWidth="1"/>
    <col min="37" max="37" width="15" customWidth="1"/>
    <col min="38" max="38" width="10.88671875" customWidth="1"/>
    <col min="39" max="40" width="9.109375" customWidth="1"/>
    <col min="41" max="41" width="8.44140625" customWidth="1"/>
    <col min="42" max="44" width="9.109375" customWidth="1"/>
    <col min="45" max="45" width="8.88671875" customWidth="1"/>
    <col min="46" max="46" width="9.5546875" customWidth="1"/>
    <col min="47" max="47" width="9.109375" customWidth="1"/>
    <col min="48" max="48" width="8.88671875" customWidth="1"/>
    <col min="49" max="49" width="9.5546875" customWidth="1"/>
    <col min="50" max="54" width="9.109375" customWidth="1"/>
    <col min="55" max="55" width="8.88671875" customWidth="1"/>
    <col min="56" max="56" width="8.44140625" customWidth="1"/>
    <col min="57" max="57" width="9.109375" customWidth="1"/>
    <col min="58" max="58" width="8.88671875" customWidth="1"/>
    <col min="59" max="59" width="8.5546875" customWidth="1"/>
  </cols>
  <sheetData>
    <row r="1" spans="2:38" ht="17.25" customHeight="1" x14ac:dyDescent="0.25">
      <c r="B1" s="753" t="s">
        <v>1706</v>
      </c>
      <c r="AK1" s="14" t="s">
        <v>2521</v>
      </c>
    </row>
    <row r="2" spans="2:38" ht="15.75" customHeight="1" x14ac:dyDescent="0.25">
      <c r="B2" s="753" t="s">
        <v>1734</v>
      </c>
      <c r="AK2" s="14" t="s">
        <v>2522</v>
      </c>
    </row>
    <row r="3" spans="2:38" ht="15.75" customHeight="1" x14ac:dyDescent="0.25">
      <c r="B3" s="753" t="s">
        <v>1735</v>
      </c>
      <c r="AK3" s="14" t="s">
        <v>2144</v>
      </c>
    </row>
    <row r="4" spans="2:38" ht="15.75" hidden="1" customHeight="1" x14ac:dyDescent="0.25">
      <c r="B4" s="753"/>
      <c r="AK4" s="226"/>
    </row>
    <row r="5" spans="2:38" ht="15.75" hidden="1" customHeight="1" x14ac:dyDescent="0.25">
      <c r="B5" s="753"/>
      <c r="AK5" s="226"/>
    </row>
    <row r="6" spans="2:38" ht="15.75" hidden="1" customHeight="1" x14ac:dyDescent="0.25">
      <c r="B6" s="753"/>
      <c r="AK6" s="226"/>
    </row>
    <row r="7" spans="2:38" ht="12.75" customHeight="1" thickBot="1" x14ac:dyDescent="0.3">
      <c r="B7" s="2446" t="s">
        <v>64</v>
      </c>
    </row>
    <row r="8" spans="2:38" ht="60" customHeight="1" x14ac:dyDescent="0.25">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3">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5">
      <c r="B10" s="763" t="s">
        <v>1476</v>
      </c>
      <c r="C10" s="1994"/>
      <c r="D10" s="1994"/>
      <c r="E10" s="4402">
        <f>SUM(E11,E17,E20)</f>
        <v>6.5822252886058932</v>
      </c>
      <c r="F10" s="4402">
        <f t="shared" ref="F10:AJ10" si="0">SUM(F11,F17,F20)</f>
        <v>6.6985612369461691</v>
      </c>
      <c r="G10" s="4402">
        <f t="shared" si="0"/>
        <v>6.9040599045912607</v>
      </c>
      <c r="H10" s="4402">
        <f t="shared" si="0"/>
        <v>7.3628964431994337</v>
      </c>
      <c r="I10" s="4402">
        <f t="shared" si="0"/>
        <v>7.6520272596509837</v>
      </c>
      <c r="J10" s="4402">
        <f t="shared" si="0"/>
        <v>8.0847487878292572</v>
      </c>
      <c r="K10" s="4402">
        <f t="shared" si="0"/>
        <v>8.4100346317820414</v>
      </c>
      <c r="L10" s="4402">
        <f t="shared" si="0"/>
        <v>8.8342105942418421</v>
      </c>
      <c r="M10" s="4402">
        <f t="shared" si="0"/>
        <v>9.4065583030332043</v>
      </c>
      <c r="N10" s="4402">
        <f t="shared" si="0"/>
        <v>9.7992122569808</v>
      </c>
      <c r="O10" s="4402">
        <f t="shared" si="0"/>
        <v>10.184487629931933</v>
      </c>
      <c r="P10" s="4402">
        <f t="shared" si="0"/>
        <v>10.636438155396144</v>
      </c>
      <c r="Q10" s="4402">
        <f t="shared" si="0"/>
        <v>11.384888177803589</v>
      </c>
      <c r="R10" s="4402">
        <f t="shared" si="0"/>
        <v>12.267895878212148</v>
      </c>
      <c r="S10" s="4402">
        <f t="shared" si="0"/>
        <v>12.639290424972446</v>
      </c>
      <c r="T10" s="4402">
        <f t="shared" si="0"/>
        <v>12.7322470273491</v>
      </c>
      <c r="U10" s="4402">
        <f t="shared" si="0"/>
        <v>12.604821318482555</v>
      </c>
      <c r="V10" s="4402">
        <f t="shared" si="0"/>
        <v>12.701051157755421</v>
      </c>
      <c r="W10" s="4402">
        <f t="shared" si="0"/>
        <v>12.728503907780635</v>
      </c>
      <c r="X10" s="4402">
        <f t="shared" si="0"/>
        <v>12.390218503255735</v>
      </c>
      <c r="Y10" s="4402">
        <f t="shared" si="0"/>
        <v>12.134482974497121</v>
      </c>
      <c r="Z10" s="4402">
        <f t="shared" si="0"/>
        <v>12.412161307619693</v>
      </c>
      <c r="AA10" s="4402">
        <f t="shared" si="0"/>
        <v>12.311927068228883</v>
      </c>
      <c r="AB10" s="4402">
        <f t="shared" si="0"/>
        <v>12.268732641089295</v>
      </c>
      <c r="AC10" s="4402">
        <f t="shared" si="0"/>
        <v>11.758065937333413</v>
      </c>
      <c r="AD10" s="4402">
        <f t="shared" si="0"/>
        <v>11.013556962295443</v>
      </c>
      <c r="AE10" s="4402">
        <f t="shared" si="0"/>
        <v>10.892962913959689</v>
      </c>
      <c r="AF10" s="4402">
        <f t="shared" si="0"/>
        <v>10.882823338897811</v>
      </c>
      <c r="AG10" s="4402">
        <f t="shared" si="0"/>
        <v>10.253157524371714</v>
      </c>
      <c r="AH10" s="4402">
        <f t="shared" si="0"/>
        <v>10.026903133434217</v>
      </c>
      <c r="AI10" s="4402">
        <f t="shared" si="0"/>
        <v>9.6569005805382755</v>
      </c>
      <c r="AJ10" s="4402">
        <f t="shared" si="0"/>
        <v>9.5273563992289922</v>
      </c>
      <c r="AK10" s="4403">
        <f>IF(AJ10="NO",IF(E10="NO","NA",-100),IF(E10="NO",100,AJ10/E10*100-100))</f>
        <v>44.743699607505761</v>
      </c>
      <c r="AL10" s="713"/>
    </row>
    <row r="11" spans="2:38" ht="18" customHeight="1" x14ac:dyDescent="0.25">
      <c r="B11" s="1370" t="s">
        <v>1477</v>
      </c>
      <c r="C11" s="1995"/>
      <c r="D11" s="1995"/>
      <c r="E11" s="4404">
        <f>SUM(E12:E16)</f>
        <v>6.4471737052587237</v>
      </c>
      <c r="F11" s="4404">
        <f t="shared" ref="F11:AJ11" si="1">SUM(F12:F16)</f>
        <v>6.5736259448986516</v>
      </c>
      <c r="G11" s="4404">
        <f t="shared" si="1"/>
        <v>6.7766706748586705</v>
      </c>
      <c r="H11" s="4404">
        <f t="shared" si="1"/>
        <v>7.2425464955099237</v>
      </c>
      <c r="I11" s="4404">
        <f t="shared" si="1"/>
        <v>7.5411208642013197</v>
      </c>
      <c r="J11" s="4404">
        <f t="shared" si="1"/>
        <v>7.9688482584606941</v>
      </c>
      <c r="K11" s="4404">
        <f t="shared" si="1"/>
        <v>8.3093073676460172</v>
      </c>
      <c r="L11" s="4404">
        <f t="shared" si="1"/>
        <v>8.7468410505869372</v>
      </c>
      <c r="M11" s="4404">
        <f t="shared" si="1"/>
        <v>9.3207345529646588</v>
      </c>
      <c r="N11" s="4404">
        <f t="shared" si="1"/>
        <v>9.7073059004298035</v>
      </c>
      <c r="O11" s="4404">
        <f t="shared" si="1"/>
        <v>10.080116089281933</v>
      </c>
      <c r="P11" s="4404">
        <f t="shared" si="1"/>
        <v>10.527557806485792</v>
      </c>
      <c r="Q11" s="4404">
        <f t="shared" si="1"/>
        <v>11.285943354458034</v>
      </c>
      <c r="R11" s="4404">
        <f t="shared" si="1"/>
        <v>12.184639535248822</v>
      </c>
      <c r="S11" s="4404">
        <f t="shared" si="1"/>
        <v>12.556681376876513</v>
      </c>
      <c r="T11" s="4404">
        <f t="shared" si="1"/>
        <v>12.65324584152402</v>
      </c>
      <c r="U11" s="4404">
        <f t="shared" si="1"/>
        <v>12.523654224849878</v>
      </c>
      <c r="V11" s="4404">
        <f t="shared" si="1"/>
        <v>12.61058795638445</v>
      </c>
      <c r="W11" s="4404">
        <f t="shared" si="1"/>
        <v>12.637035243069619</v>
      </c>
      <c r="X11" s="4404">
        <f t="shared" si="1"/>
        <v>12.292639584731464</v>
      </c>
      <c r="Y11" s="4404">
        <f t="shared" si="1"/>
        <v>12.029501637908735</v>
      </c>
      <c r="Z11" s="4404">
        <f t="shared" si="1"/>
        <v>12.327313562487577</v>
      </c>
      <c r="AA11" s="4404">
        <f t="shared" si="1"/>
        <v>12.197301920440971</v>
      </c>
      <c r="AB11" s="4404">
        <f t="shared" si="1"/>
        <v>12.147944752598997</v>
      </c>
      <c r="AC11" s="4404">
        <f t="shared" si="1"/>
        <v>11.639601847477298</v>
      </c>
      <c r="AD11" s="4404">
        <f t="shared" si="1"/>
        <v>10.853009083001748</v>
      </c>
      <c r="AE11" s="4404">
        <f t="shared" si="1"/>
        <v>10.687458755213239</v>
      </c>
      <c r="AF11" s="4404">
        <f t="shared" si="1"/>
        <v>10.610550176100688</v>
      </c>
      <c r="AG11" s="4404">
        <f t="shared" si="1"/>
        <v>10.000031713248097</v>
      </c>
      <c r="AH11" s="4404">
        <f t="shared" si="1"/>
        <v>9.7221811520111121</v>
      </c>
      <c r="AI11" s="4404">
        <f t="shared" si="1"/>
        <v>9.4286313453582959</v>
      </c>
      <c r="AJ11" s="4404">
        <f t="shared" si="1"/>
        <v>9.3488006201156431</v>
      </c>
      <c r="AK11" s="4403">
        <f t="shared" ref="AK11:AK56" si="2">IF(AJ11="NO",IF(E11="NO","NA",-100),IF(E11="NO",100,AJ11/E11*100-100))</f>
        <v>45.006184841741884</v>
      </c>
      <c r="AL11" s="713"/>
    </row>
    <row r="12" spans="2:38" ht="18" customHeight="1" x14ac:dyDescent="0.25">
      <c r="B12" s="1371" t="s">
        <v>1478</v>
      </c>
      <c r="C12" s="1995"/>
      <c r="D12" s="1995"/>
      <c r="E12" s="4404">
        <v>1.7009294785985118</v>
      </c>
      <c r="F12" s="4404">
        <v>1.6290682412384687</v>
      </c>
      <c r="G12" s="4404">
        <v>1.6581035249510141</v>
      </c>
      <c r="H12" s="4404">
        <v>1.7306924205792555</v>
      </c>
      <c r="I12" s="4404">
        <v>1.7273876632427021</v>
      </c>
      <c r="J12" s="4404">
        <v>1.7976662692551446</v>
      </c>
      <c r="K12" s="4404">
        <v>1.8378522822117114</v>
      </c>
      <c r="L12" s="4404">
        <v>2.0352450444763983</v>
      </c>
      <c r="M12" s="4404">
        <v>2.2515240802437124</v>
      </c>
      <c r="N12" s="4404">
        <v>2.2324247480307475</v>
      </c>
      <c r="O12" s="4404">
        <v>2.3443755514005433</v>
      </c>
      <c r="P12" s="4404">
        <v>2.6400816051644824</v>
      </c>
      <c r="Q12" s="4404">
        <v>2.9973257240636362</v>
      </c>
      <c r="R12" s="4404">
        <v>3.36574686993489</v>
      </c>
      <c r="S12" s="4404">
        <v>3.4547141470598972</v>
      </c>
      <c r="T12" s="4404">
        <v>3.6356739756511334</v>
      </c>
      <c r="U12" s="4404">
        <v>3.645083868973102</v>
      </c>
      <c r="V12" s="4404">
        <v>3.7612196537347939</v>
      </c>
      <c r="W12" s="4404">
        <v>3.7433117435250378</v>
      </c>
      <c r="X12" s="4404">
        <v>3.9406827398383073</v>
      </c>
      <c r="Y12" s="4404">
        <v>3.794300812425687</v>
      </c>
      <c r="Z12" s="4404">
        <v>4.1907240327255195</v>
      </c>
      <c r="AA12" s="4404">
        <v>4.1252416381587018</v>
      </c>
      <c r="AB12" s="4404">
        <v>4.0946551694115421</v>
      </c>
      <c r="AC12" s="4404">
        <v>3.9105557082378528</v>
      </c>
      <c r="AD12" s="4404">
        <v>3.1706338463043902</v>
      </c>
      <c r="AE12" s="4404">
        <v>3.2185072400352954</v>
      </c>
      <c r="AF12" s="4404">
        <v>3.2315361520461878</v>
      </c>
      <c r="AG12" s="4404">
        <v>3.0129441502913008</v>
      </c>
      <c r="AH12" s="4404">
        <v>3.0093588323332585</v>
      </c>
      <c r="AI12" s="4404">
        <v>3.1529275509261439</v>
      </c>
      <c r="AJ12" s="4404">
        <v>2.9414287450729968</v>
      </c>
      <c r="AK12" s="4403">
        <f t="shared" si="2"/>
        <v>72.930670088485954</v>
      </c>
      <c r="AL12" s="713"/>
    </row>
    <row r="13" spans="2:38" ht="18" customHeight="1" x14ac:dyDescent="0.25">
      <c r="B13" s="1371" t="s">
        <v>1714</v>
      </c>
      <c r="C13" s="1995"/>
      <c r="D13" s="1995"/>
      <c r="E13" s="4404">
        <v>1.134710846917538</v>
      </c>
      <c r="F13" s="4404">
        <v>1.1069438707977839</v>
      </c>
      <c r="G13" s="4404">
        <v>1.0243107840034231</v>
      </c>
      <c r="H13" s="4404">
        <v>1.1166433143750729</v>
      </c>
      <c r="I13" s="4404">
        <v>1.1738863251427409</v>
      </c>
      <c r="J13" s="4404">
        <v>1.221623326831905</v>
      </c>
      <c r="K13" s="4404">
        <v>1.2791349757582684</v>
      </c>
      <c r="L13" s="4404">
        <v>1.3163789997832436</v>
      </c>
      <c r="M13" s="4404">
        <v>1.3289940991559224</v>
      </c>
      <c r="N13" s="4404">
        <v>1.3209948143262531</v>
      </c>
      <c r="O13" s="4404">
        <v>1.3022394470025569</v>
      </c>
      <c r="P13" s="4404">
        <v>1.2429528375383514</v>
      </c>
      <c r="Q13" s="4404">
        <v>1.2472585483209393</v>
      </c>
      <c r="R13" s="4404">
        <v>1.2610637219971466</v>
      </c>
      <c r="S13" s="4404">
        <v>1.2935425084862127</v>
      </c>
      <c r="T13" s="4404">
        <v>1.3423266239671301</v>
      </c>
      <c r="U13" s="4404">
        <v>1.3342298221966118</v>
      </c>
      <c r="V13" s="4404">
        <v>1.3715263252857555</v>
      </c>
      <c r="W13" s="4404">
        <v>1.42404088702423</v>
      </c>
      <c r="X13" s="4404">
        <v>1.0925420454198596</v>
      </c>
      <c r="Y13" s="4404">
        <v>1.2717698342144876</v>
      </c>
      <c r="Z13" s="4404">
        <v>1.2938737542015724</v>
      </c>
      <c r="AA13" s="4404">
        <v>1.3750591461183619</v>
      </c>
      <c r="AB13" s="4404">
        <v>1.511638252726148</v>
      </c>
      <c r="AC13" s="4404">
        <v>1.4779110280187984</v>
      </c>
      <c r="AD13" s="4404">
        <v>1.4903860924080672</v>
      </c>
      <c r="AE13" s="4404">
        <v>1.4733786885629305</v>
      </c>
      <c r="AF13" s="4404">
        <v>1.5348628188166988</v>
      </c>
      <c r="AG13" s="4404">
        <v>1.504047081515018</v>
      </c>
      <c r="AH13" s="4404">
        <v>1.4685903922899706</v>
      </c>
      <c r="AI13" s="4404">
        <v>1.4718197078709196</v>
      </c>
      <c r="AJ13" s="4404">
        <v>1.5766839659058423</v>
      </c>
      <c r="AK13" s="4403">
        <f t="shared" si="2"/>
        <v>38.950285897850733</v>
      </c>
      <c r="AL13" s="713"/>
    </row>
    <row r="14" spans="2:38" ht="18" customHeight="1" x14ac:dyDescent="0.25">
      <c r="B14" s="1371" t="s">
        <v>1480</v>
      </c>
      <c r="C14" s="1995"/>
      <c r="D14" s="1995"/>
      <c r="E14" s="4404">
        <v>3.0681889642603748</v>
      </c>
      <c r="F14" s="4404">
        <v>3.2846479580695087</v>
      </c>
      <c r="G14" s="4404">
        <v>3.5247618929079318</v>
      </c>
      <c r="H14" s="4404">
        <v>3.8122408714501748</v>
      </c>
      <c r="I14" s="4404">
        <v>4.0534315250603346</v>
      </c>
      <c r="J14" s="4404">
        <v>4.3475660104684701</v>
      </c>
      <c r="K14" s="4404">
        <v>4.5820869441448693</v>
      </c>
      <c r="L14" s="4404">
        <v>4.7758348071430978</v>
      </c>
      <c r="M14" s="4404">
        <v>5.1228691269862399</v>
      </c>
      <c r="N14" s="4404">
        <v>5.5384186929027024</v>
      </c>
      <c r="O14" s="4404">
        <v>5.8142239937416154</v>
      </c>
      <c r="P14" s="4404">
        <v>5.9826816597628731</v>
      </c>
      <c r="Q14" s="4404">
        <v>6.4041698370851226</v>
      </c>
      <c r="R14" s="4404">
        <v>6.8789964315150698</v>
      </c>
      <c r="S14" s="4404">
        <v>7.1292786174709937</v>
      </c>
      <c r="T14" s="4404">
        <v>6.9829600090416601</v>
      </c>
      <c r="U14" s="4404">
        <v>6.8637756581244895</v>
      </c>
      <c r="V14" s="4404">
        <v>6.8052834178180879</v>
      </c>
      <c r="W14" s="4404">
        <v>6.7910723849360659</v>
      </c>
      <c r="X14" s="4404">
        <v>6.5901892421657928</v>
      </c>
      <c r="Y14" s="4404">
        <v>6.2856682531525374</v>
      </c>
      <c r="Z14" s="4404">
        <v>6.1637530186666085</v>
      </c>
      <c r="AA14" s="4404">
        <v>6.0065920475633572</v>
      </c>
      <c r="AB14" s="4404">
        <v>5.8400152572765105</v>
      </c>
      <c r="AC14" s="4404">
        <v>5.5646353224705196</v>
      </c>
      <c r="AD14" s="4404">
        <v>5.4738715668083664</v>
      </c>
      <c r="AE14" s="4404">
        <v>5.2576312136662873</v>
      </c>
      <c r="AF14" s="4404">
        <v>5.0806583326894934</v>
      </c>
      <c r="AG14" s="4404">
        <v>4.7239156075148996</v>
      </c>
      <c r="AH14" s="4404">
        <v>4.5630965797818499</v>
      </c>
      <c r="AI14" s="4404">
        <v>4.1532091410307688</v>
      </c>
      <c r="AJ14" s="4404">
        <v>4.067701382798365</v>
      </c>
      <c r="AK14" s="4403">
        <f t="shared" si="2"/>
        <v>32.57662517467972</v>
      </c>
      <c r="AL14" s="713"/>
    </row>
    <row r="15" spans="2:38" ht="18" customHeight="1" x14ac:dyDescent="0.25">
      <c r="B15" s="1371" t="s">
        <v>1481</v>
      </c>
      <c r="C15" s="1995"/>
      <c r="D15" s="1995"/>
      <c r="E15" s="4404">
        <v>0.5321479738167656</v>
      </c>
      <c r="F15" s="4404">
        <v>0.54180638504574474</v>
      </c>
      <c r="G15" s="4404">
        <v>0.55695757984167837</v>
      </c>
      <c r="H15" s="4404">
        <v>0.57024125070918219</v>
      </c>
      <c r="I15" s="4404">
        <v>0.57121943648528406</v>
      </c>
      <c r="J15" s="4404">
        <v>0.58303768417451851</v>
      </c>
      <c r="K15" s="4404">
        <v>0.58896986539236917</v>
      </c>
      <c r="L15" s="4404">
        <v>0.59697391044693204</v>
      </c>
      <c r="M15" s="4404">
        <v>0.59864468082477551</v>
      </c>
      <c r="N15" s="4404">
        <v>0.5983519156095326</v>
      </c>
      <c r="O15" s="4404">
        <v>0.60222133286227619</v>
      </c>
      <c r="P15" s="4404">
        <v>0.64445846970012666</v>
      </c>
      <c r="Q15" s="4404">
        <v>0.62101485581758964</v>
      </c>
      <c r="R15" s="4404">
        <v>0.66362785139415914</v>
      </c>
      <c r="S15" s="4404">
        <v>0.66328647233038751</v>
      </c>
      <c r="T15" s="4404">
        <v>0.6752328371783568</v>
      </c>
      <c r="U15" s="4404">
        <v>0.66256796242867133</v>
      </c>
      <c r="V15" s="4404">
        <v>0.64962709765742377</v>
      </c>
      <c r="W15" s="4404">
        <v>0.65508919048432157</v>
      </c>
      <c r="X15" s="4404">
        <v>0.6460284296662745</v>
      </c>
      <c r="Y15" s="4404">
        <v>0.65301319071314501</v>
      </c>
      <c r="Z15" s="4404">
        <v>0.65368566787579641</v>
      </c>
      <c r="AA15" s="4404">
        <v>0.66598351676016165</v>
      </c>
      <c r="AB15" s="4404">
        <v>0.67607594560883466</v>
      </c>
      <c r="AC15" s="4404">
        <v>0.65793939875223129</v>
      </c>
      <c r="AD15" s="4404">
        <v>0.69205372598082715</v>
      </c>
      <c r="AE15" s="4404">
        <v>0.70676215558306732</v>
      </c>
      <c r="AF15" s="4404">
        <v>0.73754164904195596</v>
      </c>
      <c r="AG15" s="4404">
        <v>0.73332096634122068</v>
      </c>
      <c r="AH15" s="4404">
        <v>0.65923445738914177</v>
      </c>
      <c r="AI15" s="4404">
        <v>0.62436663118663072</v>
      </c>
      <c r="AJ15" s="4404">
        <v>0.74015994229954174</v>
      </c>
      <c r="AK15" s="4403">
        <f t="shared" si="2"/>
        <v>39.089121582261413</v>
      </c>
      <c r="AL15" s="713"/>
    </row>
    <row r="16" spans="2:38" ht="18" customHeight="1" x14ac:dyDescent="0.25">
      <c r="B16" s="1371" t="s">
        <v>1482</v>
      </c>
      <c r="C16" s="1995"/>
      <c r="D16" s="1995"/>
      <c r="E16" s="4404">
        <v>1.1196441665532852E-2</v>
      </c>
      <c r="F16" s="4404">
        <v>1.1159489747144877E-2</v>
      </c>
      <c r="G16" s="4404">
        <v>1.2536893154623004E-2</v>
      </c>
      <c r="H16" s="4404">
        <v>1.272863839623793E-2</v>
      </c>
      <c r="I16" s="4404">
        <v>1.5195914270257847E-2</v>
      </c>
      <c r="J16" s="4404">
        <v>1.8954967730655532E-2</v>
      </c>
      <c r="K16" s="4404">
        <v>2.1263300138799256E-2</v>
      </c>
      <c r="L16" s="4404">
        <v>2.2408288737265684E-2</v>
      </c>
      <c r="M16" s="4404">
        <v>1.8702565754007937E-2</v>
      </c>
      <c r="N16" s="4404">
        <v>1.7115729560568681E-2</v>
      </c>
      <c r="O16" s="4404">
        <v>1.7055764274940568E-2</v>
      </c>
      <c r="P16" s="4404">
        <v>1.7383234319957891E-2</v>
      </c>
      <c r="Q16" s="4404">
        <v>1.6174389170746161E-2</v>
      </c>
      <c r="R16" s="4404">
        <v>1.5204660407556064E-2</v>
      </c>
      <c r="S16" s="4404">
        <v>1.5859631529023716E-2</v>
      </c>
      <c r="T16" s="4404">
        <v>1.7052395685740039E-2</v>
      </c>
      <c r="U16" s="4404">
        <v>1.7996913127003019E-2</v>
      </c>
      <c r="V16" s="4404">
        <v>2.2931461888388016E-2</v>
      </c>
      <c r="W16" s="4404">
        <v>2.3521037099963411E-2</v>
      </c>
      <c r="X16" s="4404">
        <v>2.3197127641231184E-2</v>
      </c>
      <c r="Y16" s="4404">
        <v>2.4749547402879473E-2</v>
      </c>
      <c r="Z16" s="4404">
        <v>2.5277089018079773E-2</v>
      </c>
      <c r="AA16" s="4404">
        <v>2.4425571840387569E-2</v>
      </c>
      <c r="AB16" s="4404">
        <v>2.5560127575961652E-2</v>
      </c>
      <c r="AC16" s="4404">
        <v>2.8560389997894974E-2</v>
      </c>
      <c r="AD16" s="4404">
        <v>2.6063851500097154E-2</v>
      </c>
      <c r="AE16" s="4404">
        <v>3.1179457365658667E-2</v>
      </c>
      <c r="AF16" s="4404">
        <v>2.5951223506352986E-2</v>
      </c>
      <c r="AG16" s="4404">
        <v>2.5803907585655421E-2</v>
      </c>
      <c r="AH16" s="4404">
        <v>2.1900890216890161E-2</v>
      </c>
      <c r="AI16" s="4404">
        <v>2.630831434383317E-2</v>
      </c>
      <c r="AJ16" s="4404">
        <v>2.2826584038897677E-2</v>
      </c>
      <c r="AK16" s="4403">
        <f t="shared" si="2"/>
        <v>103.87355841067861</v>
      </c>
      <c r="AL16" s="713"/>
    </row>
    <row r="17" spans="2:38" ht="18" customHeight="1" x14ac:dyDescent="0.25">
      <c r="B17" s="1370" t="s">
        <v>99</v>
      </c>
      <c r="C17" s="1995"/>
      <c r="D17" s="1995"/>
      <c r="E17" s="4404">
        <f>SUM(E18:E19)</f>
        <v>0.13505158334716985</v>
      </c>
      <c r="F17" s="4404">
        <f t="shared" ref="F17:AJ17" si="3">SUM(F18:F19)</f>
        <v>0.12493529204751767</v>
      </c>
      <c r="G17" s="4404">
        <f t="shared" si="3"/>
        <v>0.1273892297325899</v>
      </c>
      <c r="H17" s="4404">
        <f t="shared" si="3"/>
        <v>0.12034994768950996</v>
      </c>
      <c r="I17" s="4404">
        <f t="shared" si="3"/>
        <v>0.11090639544966409</v>
      </c>
      <c r="J17" s="4404">
        <f t="shared" si="3"/>
        <v>0.11590052936856374</v>
      </c>
      <c r="K17" s="4404">
        <f t="shared" si="3"/>
        <v>0.10072726413602331</v>
      </c>
      <c r="L17" s="4404">
        <f t="shared" si="3"/>
        <v>8.7369543654904444E-2</v>
      </c>
      <c r="M17" s="4404">
        <f t="shared" si="3"/>
        <v>8.5823750068545937E-2</v>
      </c>
      <c r="N17" s="4404">
        <f t="shared" si="3"/>
        <v>9.1906356550996562E-2</v>
      </c>
      <c r="O17" s="4404">
        <f t="shared" si="3"/>
        <v>0.10437154064999947</v>
      </c>
      <c r="P17" s="4404">
        <f t="shared" si="3"/>
        <v>0.10888034891035292</v>
      </c>
      <c r="Q17" s="4404">
        <f t="shared" si="3"/>
        <v>9.8944823345555377E-2</v>
      </c>
      <c r="R17" s="4404">
        <f t="shared" si="3"/>
        <v>8.3256342963326568E-2</v>
      </c>
      <c r="S17" s="4404">
        <f t="shared" si="3"/>
        <v>8.260904809593192E-2</v>
      </c>
      <c r="T17" s="4404">
        <f t="shared" si="3"/>
        <v>7.9001185825078882E-2</v>
      </c>
      <c r="U17" s="4404">
        <f t="shared" si="3"/>
        <v>8.1167093632677129E-2</v>
      </c>
      <c r="V17" s="4404">
        <f t="shared" si="3"/>
        <v>9.046320137097158E-2</v>
      </c>
      <c r="W17" s="4404">
        <f t="shared" si="3"/>
        <v>9.1468664711016029E-2</v>
      </c>
      <c r="X17" s="4404">
        <f t="shared" si="3"/>
        <v>9.757891852426967E-2</v>
      </c>
      <c r="Y17" s="4404">
        <f t="shared" si="3"/>
        <v>0.10498133658838611</v>
      </c>
      <c r="Z17" s="4404">
        <f t="shared" si="3"/>
        <v>8.4847745132115335E-2</v>
      </c>
      <c r="AA17" s="4404">
        <f t="shared" si="3"/>
        <v>0.11462514778791104</v>
      </c>
      <c r="AB17" s="4404">
        <f t="shared" si="3"/>
        <v>0.12078788849029788</v>
      </c>
      <c r="AC17" s="4404">
        <f t="shared" si="3"/>
        <v>0.11846408985611549</v>
      </c>
      <c r="AD17" s="4404">
        <f t="shared" si="3"/>
        <v>0.16054787929369541</v>
      </c>
      <c r="AE17" s="4404">
        <f t="shared" si="3"/>
        <v>0.2055041587464507</v>
      </c>
      <c r="AF17" s="4404">
        <f t="shared" si="3"/>
        <v>0.27227316279712371</v>
      </c>
      <c r="AG17" s="4404">
        <f t="shared" si="3"/>
        <v>0.2531258111236166</v>
      </c>
      <c r="AH17" s="4404">
        <f t="shared" si="3"/>
        <v>0.30472198142310525</v>
      </c>
      <c r="AI17" s="4404">
        <f t="shared" si="3"/>
        <v>0.22826923517997966</v>
      </c>
      <c r="AJ17" s="4404">
        <f t="shared" si="3"/>
        <v>0.17855577911334869</v>
      </c>
      <c r="AK17" s="4403">
        <f t="shared" si="2"/>
        <v>32.213021638069165</v>
      </c>
      <c r="AL17" s="713"/>
    </row>
    <row r="18" spans="2:38" ht="18" customHeight="1" x14ac:dyDescent="0.25">
      <c r="B18" s="1371" t="s">
        <v>1483</v>
      </c>
      <c r="C18" s="1995"/>
      <c r="D18" s="1995"/>
      <c r="E18" s="4404">
        <v>5.329956551366039E-7</v>
      </c>
      <c r="F18" s="4404">
        <v>7.2957855859744104E-7</v>
      </c>
      <c r="G18" s="4404">
        <v>1.4128143447441426E-6</v>
      </c>
      <c r="H18" s="4404">
        <v>3.5019572999164302E-6</v>
      </c>
      <c r="I18" s="4404">
        <v>3.9371016007193637E-6</v>
      </c>
      <c r="J18" s="4404">
        <v>4.869435864353228E-6</v>
      </c>
      <c r="K18" s="4404">
        <v>8.5239745790063225E-6</v>
      </c>
      <c r="L18" s="4404">
        <v>1.4331691445815465E-5</v>
      </c>
      <c r="M18" s="4404">
        <v>1.8881593331029871E-5</v>
      </c>
      <c r="N18" s="4404">
        <v>1.9356941613281385E-5</v>
      </c>
      <c r="O18" s="4404">
        <v>1.9708395205607618E-5</v>
      </c>
      <c r="P18" s="4404">
        <v>1.6997205392465636E-5</v>
      </c>
      <c r="Q18" s="4404">
        <v>1.4653075432969966E-5</v>
      </c>
      <c r="R18" s="4404">
        <v>3.1792026882863641E-5</v>
      </c>
      <c r="S18" s="4404">
        <v>1.0085912030617021E-4</v>
      </c>
      <c r="T18" s="4404">
        <v>1.1288330491516995E-4</v>
      </c>
      <c r="U18" s="4404">
        <v>1.2579774697436016E-4</v>
      </c>
      <c r="V18" s="4404">
        <v>1.2741952051547868E-4</v>
      </c>
      <c r="W18" s="4404">
        <v>1.5507322621949082E-4</v>
      </c>
      <c r="X18" s="4404">
        <v>3.4002767032537785E-4</v>
      </c>
      <c r="Y18" s="4404">
        <v>4.5988490439254325E-4</v>
      </c>
      <c r="Z18" s="4404">
        <v>3.1277662797985807E-4</v>
      </c>
      <c r="AA18" s="4404">
        <v>3.5333623858198928E-4</v>
      </c>
      <c r="AB18" s="4404">
        <v>1.085977925640887E-3</v>
      </c>
      <c r="AC18" s="4404">
        <v>1.4676359872572309E-3</v>
      </c>
      <c r="AD18" s="4404">
        <v>1.2925263983728057E-3</v>
      </c>
      <c r="AE18" s="4404">
        <v>1.3498895622026015E-3</v>
      </c>
      <c r="AF18" s="4404">
        <v>1.5804250317938316E-3</v>
      </c>
      <c r="AG18" s="4404">
        <v>1.5778380369077659E-3</v>
      </c>
      <c r="AH18" s="4404">
        <v>1.327348684102706E-3</v>
      </c>
      <c r="AI18" s="4404">
        <v>2.0495385605331928E-3</v>
      </c>
      <c r="AJ18" s="4404">
        <v>1.9761010269859756E-3</v>
      </c>
      <c r="AK18" s="4403">
        <f>IF(AJ18="NO",IF(E18="NO","NA",-100),IF(E18="NO",100,AJ18/E18*100-100))</f>
        <v>370653.6840013286</v>
      </c>
      <c r="AL18" s="713"/>
    </row>
    <row r="19" spans="2:38" ht="18" customHeight="1" x14ac:dyDescent="0.25">
      <c r="B19" s="1415" t="s">
        <v>1484</v>
      </c>
      <c r="C19" s="1995"/>
      <c r="D19" s="1995"/>
      <c r="E19" s="4404">
        <v>0.13505105035151471</v>
      </c>
      <c r="F19" s="4404">
        <v>0.12493456246895908</v>
      </c>
      <c r="G19" s="4404">
        <v>0.12738781691824516</v>
      </c>
      <c r="H19" s="4404">
        <v>0.12034644573221004</v>
      </c>
      <c r="I19" s="4404">
        <v>0.11090245834806337</v>
      </c>
      <c r="J19" s="4404">
        <v>0.11589565993269939</v>
      </c>
      <c r="K19" s="4404">
        <v>0.1007187401614443</v>
      </c>
      <c r="L19" s="4404">
        <v>8.7355211963458634E-2</v>
      </c>
      <c r="M19" s="4404">
        <v>8.5804868475214902E-2</v>
      </c>
      <c r="N19" s="4404">
        <v>9.1886999609383277E-2</v>
      </c>
      <c r="O19" s="4404">
        <v>0.10435183225479386</v>
      </c>
      <c r="P19" s="4404">
        <v>0.10886335170496045</v>
      </c>
      <c r="Q19" s="4404">
        <v>9.8930170270122408E-2</v>
      </c>
      <c r="R19" s="4404">
        <v>8.3224550936443709E-2</v>
      </c>
      <c r="S19" s="4404">
        <v>8.2508188975625743E-2</v>
      </c>
      <c r="T19" s="4404">
        <v>7.8888302520163711E-2</v>
      </c>
      <c r="U19" s="4404">
        <v>8.1041295885702774E-2</v>
      </c>
      <c r="V19" s="4404">
        <v>9.0335781850456098E-2</v>
      </c>
      <c r="W19" s="4404">
        <v>9.1313591484796536E-2</v>
      </c>
      <c r="X19" s="4404">
        <v>9.7238890853944299E-2</v>
      </c>
      <c r="Y19" s="4404">
        <v>0.10452145168399357</v>
      </c>
      <c r="Z19" s="4404">
        <v>8.4534968504135471E-2</v>
      </c>
      <c r="AA19" s="4404">
        <v>0.11427181154932906</v>
      </c>
      <c r="AB19" s="4404">
        <v>0.119701910564657</v>
      </c>
      <c r="AC19" s="4404">
        <v>0.11699645386885826</v>
      </c>
      <c r="AD19" s="4404">
        <v>0.15925535289532261</v>
      </c>
      <c r="AE19" s="4404">
        <v>0.20415426918424809</v>
      </c>
      <c r="AF19" s="4404">
        <v>0.27069273776532987</v>
      </c>
      <c r="AG19" s="4404">
        <v>0.25154797308670884</v>
      </c>
      <c r="AH19" s="4404">
        <v>0.30339463273900252</v>
      </c>
      <c r="AI19" s="4404">
        <v>0.22621969661944646</v>
      </c>
      <c r="AJ19" s="4404">
        <v>0.17657967808636271</v>
      </c>
      <c r="AK19" s="4403">
        <f t="shared" si="2"/>
        <v>30.750318214302013</v>
      </c>
      <c r="AL19" s="713"/>
    </row>
    <row r="20" spans="2:38" ht="18" customHeight="1" thickBot="1" x14ac:dyDescent="0.3">
      <c r="B20" s="1416" t="s">
        <v>1485</v>
      </c>
      <c r="C20" s="354"/>
      <c r="D20" s="354"/>
      <c r="E20" s="4405"/>
      <c r="F20" s="4405"/>
      <c r="G20" s="4406"/>
      <c r="H20" s="4406"/>
      <c r="I20" s="4406"/>
      <c r="J20" s="4406"/>
      <c r="K20" s="4406"/>
      <c r="L20" s="4406"/>
      <c r="M20" s="4406"/>
      <c r="N20" s="4406"/>
      <c r="O20" s="4406"/>
      <c r="P20" s="4406"/>
      <c r="Q20" s="4406"/>
      <c r="R20" s="4406"/>
      <c r="S20" s="4406"/>
      <c r="T20" s="4406"/>
      <c r="U20" s="4406"/>
      <c r="V20" s="4406"/>
      <c r="W20" s="4406"/>
      <c r="X20" s="4406"/>
      <c r="Y20" s="4406"/>
      <c r="Z20" s="4406"/>
      <c r="AA20" s="4406"/>
      <c r="AB20" s="4406"/>
      <c r="AC20" s="4406"/>
      <c r="AD20" s="4406"/>
      <c r="AE20" s="4406"/>
      <c r="AF20" s="4406"/>
      <c r="AG20" s="4406"/>
      <c r="AH20" s="4406"/>
      <c r="AI20" s="4406"/>
      <c r="AJ20" s="4406"/>
      <c r="AK20" s="4407"/>
      <c r="AL20" s="713"/>
    </row>
    <row r="21" spans="2:38" ht="18" customHeight="1" x14ac:dyDescent="0.25">
      <c r="B21" s="770" t="s">
        <v>1486</v>
      </c>
      <c r="C21" s="1998"/>
      <c r="D21" s="1998"/>
      <c r="E21" s="4408">
        <f>SUM(E22:E29)</f>
        <v>3.4138016387751899</v>
      </c>
      <c r="F21" s="4408">
        <f t="shared" ref="F21:AJ21" si="4">SUM(F22:F29)</f>
        <v>2.8344205744859208</v>
      </c>
      <c r="G21" s="4408">
        <f t="shared" si="4"/>
        <v>3.7295673250438965</v>
      </c>
      <c r="H21" s="4408">
        <f t="shared" si="4"/>
        <v>4.7166222829485518</v>
      </c>
      <c r="I21" s="4408">
        <f t="shared" si="4"/>
        <v>4.6633770707240041</v>
      </c>
      <c r="J21" s="4408">
        <f t="shared" si="4"/>
        <v>4.6579253291241027</v>
      </c>
      <c r="K21" s="4408">
        <f t="shared" si="4"/>
        <v>5.2147619485321925</v>
      </c>
      <c r="L21" s="4408">
        <f t="shared" si="4"/>
        <v>5.3797144649726709</v>
      </c>
      <c r="M21" s="4408">
        <f t="shared" si="4"/>
        <v>5.7119542878577212</v>
      </c>
      <c r="N21" s="4408">
        <f t="shared" si="4"/>
        <v>5.5516658037421696</v>
      </c>
      <c r="O21" s="4408">
        <f t="shared" si="4"/>
        <v>5.8907951458894932</v>
      </c>
      <c r="P21" s="4408">
        <f t="shared" si="4"/>
        <v>7.0675909159558241</v>
      </c>
      <c r="Q21" s="4408">
        <f t="shared" si="4"/>
        <v>7.5041150510448231</v>
      </c>
      <c r="R21" s="4408">
        <f t="shared" si="4"/>
        <v>8.4441154890878991</v>
      </c>
      <c r="S21" s="4408">
        <f t="shared" si="4"/>
        <v>8.3566343406258721</v>
      </c>
      <c r="T21" s="4408">
        <f t="shared" si="4"/>
        <v>8.9995835280197927</v>
      </c>
      <c r="U21" s="4408">
        <f t="shared" si="4"/>
        <v>8.8797618051027403</v>
      </c>
      <c r="V21" s="4408">
        <f t="shared" si="4"/>
        <v>9.2731974041721443</v>
      </c>
      <c r="W21" s="4408">
        <f t="shared" si="4"/>
        <v>10.453995265722503</v>
      </c>
      <c r="X21" s="4408">
        <f t="shared" si="4"/>
        <v>10.119455349594618</v>
      </c>
      <c r="Y21" s="4408">
        <f t="shared" si="4"/>
        <v>10.586346782515909</v>
      </c>
      <c r="Z21" s="4408">
        <f t="shared" si="4"/>
        <v>8.6400040049653821</v>
      </c>
      <c r="AA21" s="4408">
        <f t="shared" si="4"/>
        <v>8.1442053829338708</v>
      </c>
      <c r="AB21" s="4408">
        <f t="shared" si="4"/>
        <v>4.9850658574730646</v>
      </c>
      <c r="AC21" s="4408">
        <f t="shared" si="4"/>
        <v>4.7415792911946166</v>
      </c>
      <c r="AD21" s="4408">
        <f t="shared" si="4"/>
        <v>5.2365326693917149</v>
      </c>
      <c r="AE21" s="4408">
        <f t="shared" si="4"/>
        <v>4.7944999637249897</v>
      </c>
      <c r="AF21" s="4408">
        <f t="shared" si="4"/>
        <v>5.1456793172513828</v>
      </c>
      <c r="AG21" s="4408">
        <f t="shared" si="4"/>
        <v>6.1606316530955461</v>
      </c>
      <c r="AH21" s="4408">
        <f t="shared" si="4"/>
        <v>7.5315206750354031</v>
      </c>
      <c r="AI21" s="4408">
        <f t="shared" si="4"/>
        <v>6.5867418416997365</v>
      </c>
      <c r="AJ21" s="4408">
        <f t="shared" si="4"/>
        <v>5.5593193492675903</v>
      </c>
      <c r="AK21" s="4409">
        <f t="shared" si="2"/>
        <v>62.848341453786787</v>
      </c>
      <c r="AL21" s="19"/>
    </row>
    <row r="22" spans="2:38" ht="18" customHeight="1" x14ac:dyDescent="0.25">
      <c r="B22" s="1133" t="s">
        <v>1487</v>
      </c>
      <c r="C22" s="354"/>
      <c r="D22" s="354"/>
      <c r="E22" s="4405"/>
      <c r="F22" s="4405"/>
      <c r="G22" s="4406"/>
      <c r="H22" s="4406"/>
      <c r="I22" s="4406"/>
      <c r="J22" s="4406"/>
      <c r="K22" s="4406"/>
      <c r="L22" s="4406"/>
      <c r="M22" s="4406"/>
      <c r="N22" s="4406"/>
      <c r="O22" s="4406"/>
      <c r="P22" s="4406"/>
      <c r="Q22" s="4406"/>
      <c r="R22" s="4406"/>
      <c r="S22" s="4406"/>
      <c r="T22" s="4406"/>
      <c r="U22" s="4406"/>
      <c r="V22" s="4406"/>
      <c r="W22" s="4406"/>
      <c r="X22" s="4406"/>
      <c r="Y22" s="4406"/>
      <c r="Z22" s="4406"/>
      <c r="AA22" s="4406"/>
      <c r="AB22" s="4406"/>
      <c r="AC22" s="4406"/>
      <c r="AD22" s="4406"/>
      <c r="AE22" s="4406"/>
      <c r="AF22" s="4406"/>
      <c r="AG22" s="4406"/>
      <c r="AH22" s="4406"/>
      <c r="AI22" s="4406"/>
      <c r="AJ22" s="4406"/>
      <c r="AK22" s="4407"/>
      <c r="AL22" s="19"/>
    </row>
    <row r="23" spans="2:38" ht="18" customHeight="1" x14ac:dyDescent="0.25">
      <c r="B23" s="1133" t="s">
        <v>621</v>
      </c>
      <c r="C23" s="1995"/>
      <c r="D23" s="1995"/>
      <c r="E23" s="4404">
        <v>3.33906306</v>
      </c>
      <c r="F23" s="4404">
        <v>2.7620996099999999</v>
      </c>
      <c r="G23" s="4404">
        <v>3.6530679819354845</v>
      </c>
      <c r="H23" s="4404">
        <v>4.6416531664516141</v>
      </c>
      <c r="I23" s="4404">
        <v>4.5799914764516121</v>
      </c>
      <c r="J23" s="4404">
        <v>4.5844841264516134</v>
      </c>
      <c r="K23" s="4404">
        <v>5.129786246451614</v>
      </c>
      <c r="L23" s="4404">
        <v>5.2946687564516139</v>
      </c>
      <c r="M23" s="4404">
        <v>5.6305063564516136</v>
      </c>
      <c r="N23" s="4404">
        <v>5.4660888764516145</v>
      </c>
      <c r="O23" s="4404">
        <v>5.8202428264516133</v>
      </c>
      <c r="P23" s="4404">
        <v>6.9890831464516125</v>
      </c>
      <c r="Q23" s="4404">
        <v>7.4275444967741944</v>
      </c>
      <c r="R23" s="4404">
        <v>8.3545076999999992</v>
      </c>
      <c r="S23" s="4404">
        <v>8.2630274299999993</v>
      </c>
      <c r="T23" s="4404">
        <v>8.9261825845359812</v>
      </c>
      <c r="U23" s="4404">
        <v>8.8043569476129075</v>
      </c>
      <c r="V23" s="4404">
        <v>9.1940933223425496</v>
      </c>
      <c r="W23" s="4404">
        <v>10.376143045827572</v>
      </c>
      <c r="X23" s="4404">
        <v>10.056942740141993</v>
      </c>
      <c r="Y23" s="4404">
        <v>10.515402041905819</v>
      </c>
      <c r="Z23" s="4404">
        <v>8.5573786003910044</v>
      </c>
      <c r="AA23" s="4404">
        <v>8.0798403411564426</v>
      </c>
      <c r="AB23" s="4404">
        <v>4.9338356261489773</v>
      </c>
      <c r="AC23" s="4404">
        <v>4.6936928492164975</v>
      </c>
      <c r="AD23" s="4404">
        <v>5.1857166552448222</v>
      </c>
      <c r="AE23" s="4404">
        <v>4.7422822444604087</v>
      </c>
      <c r="AF23" s="4404">
        <v>5.0896642594993722</v>
      </c>
      <c r="AG23" s="4404">
        <v>6.1034972207218603</v>
      </c>
      <c r="AH23" s="4404">
        <v>7.4754004933564833</v>
      </c>
      <c r="AI23" s="4404">
        <v>6.5334890447315539</v>
      </c>
      <c r="AJ23" s="4404">
        <v>5.5046915439456114</v>
      </c>
      <c r="AK23" s="4410">
        <f t="shared" si="2"/>
        <v>64.857370017612396</v>
      </c>
      <c r="AL23" s="19"/>
    </row>
    <row r="24" spans="2:38" ht="18" customHeight="1" x14ac:dyDescent="0.25">
      <c r="B24" s="1133" t="s">
        <v>459</v>
      </c>
      <c r="C24" s="1995"/>
      <c r="D24" s="1995"/>
      <c r="E24" s="4404">
        <v>7.4738578775190162E-2</v>
      </c>
      <c r="F24" s="4404">
        <v>7.2320964485920639E-2</v>
      </c>
      <c r="G24" s="4404">
        <v>7.6499343108412041E-2</v>
      </c>
      <c r="H24" s="4404">
        <v>7.4969116496937285E-2</v>
      </c>
      <c r="I24" s="4404">
        <v>8.3385594272391811E-2</v>
      </c>
      <c r="J24" s="4404">
        <v>7.3441202672488951E-2</v>
      </c>
      <c r="K24" s="4404">
        <v>8.4975702080578183E-2</v>
      </c>
      <c r="L24" s="4404">
        <v>8.5045708521057403E-2</v>
      </c>
      <c r="M24" s="4404">
        <v>8.1447931406107357E-2</v>
      </c>
      <c r="N24" s="4404">
        <v>8.5576927290555119E-2</v>
      </c>
      <c r="O24" s="4404">
        <v>7.0552319437879721E-2</v>
      </c>
      <c r="P24" s="4404">
        <v>7.8507769504211899E-2</v>
      </c>
      <c r="Q24" s="4404">
        <v>7.6570554270628893E-2</v>
      </c>
      <c r="R24" s="4404">
        <v>8.9607789087900527E-2</v>
      </c>
      <c r="S24" s="4404">
        <v>9.3606910625872897E-2</v>
      </c>
      <c r="T24" s="4404">
        <v>7.3400943483812195E-2</v>
      </c>
      <c r="U24" s="4404">
        <v>7.5404857489833013E-2</v>
      </c>
      <c r="V24" s="4404">
        <v>7.9104081829594983E-2</v>
      </c>
      <c r="W24" s="4404">
        <v>7.7852219894930172E-2</v>
      </c>
      <c r="X24" s="4404">
        <v>6.2512609452625476E-2</v>
      </c>
      <c r="Y24" s="4404">
        <v>7.0944740610090012E-2</v>
      </c>
      <c r="Z24" s="4404">
        <v>8.262540457437717E-2</v>
      </c>
      <c r="AA24" s="4404">
        <v>6.4365041777428578E-2</v>
      </c>
      <c r="AB24" s="4404">
        <v>5.1230231324087425E-2</v>
      </c>
      <c r="AC24" s="4404">
        <v>4.7886441978119261E-2</v>
      </c>
      <c r="AD24" s="4404">
        <v>5.0816014146892859E-2</v>
      </c>
      <c r="AE24" s="4404">
        <v>5.2217719264580575E-2</v>
      </c>
      <c r="AF24" s="4404">
        <v>5.6015057752010815E-2</v>
      </c>
      <c r="AG24" s="4404">
        <v>5.7134432373685706E-2</v>
      </c>
      <c r="AH24" s="4404">
        <v>5.6120181678920175E-2</v>
      </c>
      <c r="AI24" s="4404">
        <v>5.3252796968182643E-2</v>
      </c>
      <c r="AJ24" s="4404">
        <v>5.4627805321978577E-2</v>
      </c>
      <c r="AK24" s="4403">
        <f t="shared" si="2"/>
        <v>-26.908156112660052</v>
      </c>
      <c r="AL24" s="19"/>
    </row>
    <row r="25" spans="2:38" ht="18" customHeight="1" x14ac:dyDescent="0.25">
      <c r="B25" s="1133" t="s">
        <v>1488</v>
      </c>
      <c r="C25" s="1995"/>
      <c r="D25" s="1995"/>
      <c r="E25" s="4411" t="s">
        <v>2146</v>
      </c>
      <c r="F25" s="4411" t="s">
        <v>2146</v>
      </c>
      <c r="G25" s="4411" t="s">
        <v>2146</v>
      </c>
      <c r="H25" s="4411" t="s">
        <v>2146</v>
      </c>
      <c r="I25" s="4411" t="s">
        <v>2146</v>
      </c>
      <c r="J25" s="4411" t="s">
        <v>2146</v>
      </c>
      <c r="K25" s="4411" t="s">
        <v>2146</v>
      </c>
      <c r="L25" s="4411" t="s">
        <v>2146</v>
      </c>
      <c r="M25" s="4411" t="s">
        <v>2146</v>
      </c>
      <c r="N25" s="4411" t="s">
        <v>2146</v>
      </c>
      <c r="O25" s="4411" t="s">
        <v>2146</v>
      </c>
      <c r="P25" s="4411" t="s">
        <v>2146</v>
      </c>
      <c r="Q25" s="4411" t="s">
        <v>2146</v>
      </c>
      <c r="R25" s="4411" t="s">
        <v>2146</v>
      </c>
      <c r="S25" s="4411" t="s">
        <v>2146</v>
      </c>
      <c r="T25" s="4411" t="s">
        <v>2146</v>
      </c>
      <c r="U25" s="4411" t="s">
        <v>2146</v>
      </c>
      <c r="V25" s="4411" t="s">
        <v>2146</v>
      </c>
      <c r="W25" s="4411" t="s">
        <v>2146</v>
      </c>
      <c r="X25" s="4411" t="s">
        <v>2146</v>
      </c>
      <c r="Y25" s="4411" t="s">
        <v>2146</v>
      </c>
      <c r="Z25" s="4411" t="s">
        <v>2146</v>
      </c>
      <c r="AA25" s="4411" t="s">
        <v>2146</v>
      </c>
      <c r="AB25" s="4411" t="s">
        <v>2146</v>
      </c>
      <c r="AC25" s="4411" t="s">
        <v>2146</v>
      </c>
      <c r="AD25" s="4411" t="s">
        <v>2146</v>
      </c>
      <c r="AE25" s="4411" t="s">
        <v>2146</v>
      </c>
      <c r="AF25" s="4411" t="s">
        <v>2146</v>
      </c>
      <c r="AG25" s="4411" t="s">
        <v>2146</v>
      </c>
      <c r="AH25" s="4411" t="s">
        <v>2146</v>
      </c>
      <c r="AI25" s="4411" t="s">
        <v>2146</v>
      </c>
      <c r="AJ25" s="4411" t="s">
        <v>2146</v>
      </c>
      <c r="AK25" s="4412" t="str">
        <f t="shared" si="2"/>
        <v>NA</v>
      </c>
      <c r="AL25" s="19"/>
    </row>
    <row r="26" spans="2:38" ht="18" customHeight="1" x14ac:dyDescent="0.25">
      <c r="B26" s="1133" t="s">
        <v>1489</v>
      </c>
      <c r="C26" s="1995"/>
      <c r="D26" s="1995"/>
      <c r="E26" s="4411" t="s">
        <v>2146</v>
      </c>
      <c r="F26" s="4411" t="s">
        <v>2146</v>
      </c>
      <c r="G26" s="4413" t="s">
        <v>2146</v>
      </c>
      <c r="H26" s="4413" t="s">
        <v>2146</v>
      </c>
      <c r="I26" s="4413" t="s">
        <v>2146</v>
      </c>
      <c r="J26" s="4413" t="s">
        <v>2146</v>
      </c>
      <c r="K26" s="4413" t="s">
        <v>2146</v>
      </c>
      <c r="L26" s="4413" t="s">
        <v>2146</v>
      </c>
      <c r="M26" s="4413" t="s">
        <v>2146</v>
      </c>
      <c r="N26" s="4413" t="s">
        <v>2146</v>
      </c>
      <c r="O26" s="4413" t="s">
        <v>2146</v>
      </c>
      <c r="P26" s="4413" t="s">
        <v>2146</v>
      </c>
      <c r="Q26" s="4413" t="s">
        <v>2146</v>
      </c>
      <c r="R26" s="4413" t="s">
        <v>2146</v>
      </c>
      <c r="S26" s="4413" t="s">
        <v>2146</v>
      </c>
      <c r="T26" s="4413" t="s">
        <v>2146</v>
      </c>
      <c r="U26" s="4413" t="s">
        <v>2146</v>
      </c>
      <c r="V26" s="4413" t="s">
        <v>2146</v>
      </c>
      <c r="W26" s="4413" t="s">
        <v>2146</v>
      </c>
      <c r="X26" s="4413" t="s">
        <v>2146</v>
      </c>
      <c r="Y26" s="4413" t="s">
        <v>2146</v>
      </c>
      <c r="Z26" s="4413" t="s">
        <v>2146</v>
      </c>
      <c r="AA26" s="4413" t="s">
        <v>2146</v>
      </c>
      <c r="AB26" s="4413" t="s">
        <v>2146</v>
      </c>
      <c r="AC26" s="4413" t="s">
        <v>2146</v>
      </c>
      <c r="AD26" s="4413" t="s">
        <v>2146</v>
      </c>
      <c r="AE26" s="4413" t="s">
        <v>2146</v>
      </c>
      <c r="AF26" s="4413" t="s">
        <v>2146</v>
      </c>
      <c r="AG26" s="4413" t="s">
        <v>2146</v>
      </c>
      <c r="AH26" s="4413" t="s">
        <v>2146</v>
      </c>
      <c r="AI26" s="4413" t="s">
        <v>2146</v>
      </c>
      <c r="AJ26" s="4413" t="s">
        <v>2146</v>
      </c>
      <c r="AK26" s="4412" t="str">
        <f t="shared" si="2"/>
        <v>NA</v>
      </c>
      <c r="AL26" s="19"/>
    </row>
    <row r="27" spans="2:38" ht="18" customHeight="1" x14ac:dyDescent="0.25">
      <c r="B27" s="1133" t="s">
        <v>1490</v>
      </c>
      <c r="C27" s="348"/>
      <c r="D27" s="348"/>
      <c r="E27" s="4414"/>
      <c r="F27" s="4414"/>
      <c r="G27" s="4415"/>
      <c r="H27" s="4415"/>
      <c r="I27" s="4415"/>
      <c r="J27" s="4415"/>
      <c r="K27" s="4415"/>
      <c r="L27" s="4415"/>
      <c r="M27" s="4415"/>
      <c r="N27" s="4415"/>
      <c r="O27" s="4415"/>
      <c r="P27" s="4415"/>
      <c r="Q27" s="4415"/>
      <c r="R27" s="4415"/>
      <c r="S27" s="4415"/>
      <c r="T27" s="4415"/>
      <c r="U27" s="4415"/>
      <c r="V27" s="4415"/>
      <c r="W27" s="4415"/>
      <c r="X27" s="4415"/>
      <c r="Y27" s="4415"/>
      <c r="Z27" s="4415"/>
      <c r="AA27" s="4415"/>
      <c r="AB27" s="4415"/>
      <c r="AC27" s="4415"/>
      <c r="AD27" s="4415"/>
      <c r="AE27" s="4415"/>
      <c r="AF27" s="4415"/>
      <c r="AG27" s="4415"/>
      <c r="AH27" s="4415"/>
      <c r="AI27" s="4415"/>
      <c r="AJ27" s="4415"/>
      <c r="AK27" s="4416"/>
      <c r="AL27" s="19"/>
    </row>
    <row r="28" spans="2:38" ht="18" customHeight="1" x14ac:dyDescent="0.25">
      <c r="B28" s="1133" t="s">
        <v>480</v>
      </c>
      <c r="C28" s="1995"/>
      <c r="D28" s="1995"/>
      <c r="E28" s="4411" t="s">
        <v>2153</v>
      </c>
      <c r="F28" s="4411" t="s">
        <v>2153</v>
      </c>
      <c r="G28" s="4411" t="s">
        <v>2153</v>
      </c>
      <c r="H28" s="4411" t="s">
        <v>2153</v>
      </c>
      <c r="I28" s="4411" t="s">
        <v>2153</v>
      </c>
      <c r="J28" s="4411" t="s">
        <v>2153</v>
      </c>
      <c r="K28" s="4411" t="s">
        <v>2153</v>
      </c>
      <c r="L28" s="4411" t="s">
        <v>2153</v>
      </c>
      <c r="M28" s="4411" t="s">
        <v>2153</v>
      </c>
      <c r="N28" s="4411" t="s">
        <v>2153</v>
      </c>
      <c r="O28" s="4411" t="s">
        <v>2153</v>
      </c>
      <c r="P28" s="4411" t="s">
        <v>2153</v>
      </c>
      <c r="Q28" s="4411" t="s">
        <v>2153</v>
      </c>
      <c r="R28" s="4411" t="s">
        <v>2153</v>
      </c>
      <c r="S28" s="4411" t="s">
        <v>2153</v>
      </c>
      <c r="T28" s="4411" t="s">
        <v>2153</v>
      </c>
      <c r="U28" s="4411" t="s">
        <v>2153</v>
      </c>
      <c r="V28" s="4411" t="s">
        <v>2153</v>
      </c>
      <c r="W28" s="4411" t="s">
        <v>2153</v>
      </c>
      <c r="X28" s="4411" t="s">
        <v>2153</v>
      </c>
      <c r="Y28" s="4411" t="s">
        <v>2153</v>
      </c>
      <c r="Z28" s="4411" t="s">
        <v>2153</v>
      </c>
      <c r="AA28" s="4411" t="s">
        <v>2153</v>
      </c>
      <c r="AB28" s="4411" t="s">
        <v>2153</v>
      </c>
      <c r="AC28" s="4411" t="s">
        <v>2153</v>
      </c>
      <c r="AD28" s="4411" t="s">
        <v>2153</v>
      </c>
      <c r="AE28" s="4411" t="s">
        <v>2153</v>
      </c>
      <c r="AF28" s="4411" t="s">
        <v>2153</v>
      </c>
      <c r="AG28" s="4411" t="s">
        <v>2153</v>
      </c>
      <c r="AH28" s="4411" t="s">
        <v>2153</v>
      </c>
      <c r="AI28" s="4411" t="s">
        <v>2153</v>
      </c>
      <c r="AJ28" s="4411" t="s">
        <v>2153</v>
      </c>
      <c r="AK28" s="4412" t="s">
        <v>2147</v>
      </c>
      <c r="AL28" s="19"/>
    </row>
    <row r="29" spans="2:38" ht="18" customHeight="1" thickBot="1" x14ac:dyDescent="0.3">
      <c r="B29" s="1375" t="s">
        <v>1715</v>
      </c>
      <c r="C29" s="2013"/>
      <c r="D29" s="2013"/>
      <c r="E29" s="4417" t="s">
        <v>2146</v>
      </c>
      <c r="F29" s="4417" t="s">
        <v>2146</v>
      </c>
      <c r="G29" s="4418" t="s">
        <v>2146</v>
      </c>
      <c r="H29" s="4418" t="s">
        <v>2146</v>
      </c>
      <c r="I29" s="4418" t="s">
        <v>2146</v>
      </c>
      <c r="J29" s="4418" t="s">
        <v>2146</v>
      </c>
      <c r="K29" s="4418" t="s">
        <v>2146</v>
      </c>
      <c r="L29" s="4418" t="s">
        <v>2146</v>
      </c>
      <c r="M29" s="4418" t="s">
        <v>2146</v>
      </c>
      <c r="N29" s="4418" t="s">
        <v>2146</v>
      </c>
      <c r="O29" s="4418" t="s">
        <v>2146</v>
      </c>
      <c r="P29" s="4418" t="s">
        <v>2146</v>
      </c>
      <c r="Q29" s="4418" t="s">
        <v>2146</v>
      </c>
      <c r="R29" s="4418" t="s">
        <v>2146</v>
      </c>
      <c r="S29" s="4418" t="s">
        <v>2146</v>
      </c>
      <c r="T29" s="4418" t="s">
        <v>2146</v>
      </c>
      <c r="U29" s="4418" t="s">
        <v>2146</v>
      </c>
      <c r="V29" s="4418" t="s">
        <v>2146</v>
      </c>
      <c r="W29" s="4418" t="s">
        <v>2146</v>
      </c>
      <c r="X29" s="4418" t="s">
        <v>2146</v>
      </c>
      <c r="Y29" s="4418" t="s">
        <v>2146</v>
      </c>
      <c r="Z29" s="4418" t="s">
        <v>2146</v>
      </c>
      <c r="AA29" s="4418" t="s">
        <v>2146</v>
      </c>
      <c r="AB29" s="4418" t="s">
        <v>2146</v>
      </c>
      <c r="AC29" s="4418" t="s">
        <v>2146</v>
      </c>
      <c r="AD29" s="4418" t="s">
        <v>2146</v>
      </c>
      <c r="AE29" s="4418" t="s">
        <v>2146</v>
      </c>
      <c r="AF29" s="4418" t="s">
        <v>2146</v>
      </c>
      <c r="AG29" s="4418" t="s">
        <v>2146</v>
      </c>
      <c r="AH29" s="4418" t="s">
        <v>2146</v>
      </c>
      <c r="AI29" s="4418" t="s">
        <v>2146</v>
      </c>
      <c r="AJ29" s="4418" t="s">
        <v>2146</v>
      </c>
      <c r="AK29" s="4419" t="str">
        <f t="shared" si="2"/>
        <v>NA</v>
      </c>
      <c r="AL29" s="19"/>
    </row>
    <row r="30" spans="2:38" ht="18" customHeight="1" x14ac:dyDescent="0.25">
      <c r="B30" s="765" t="s">
        <v>1491</v>
      </c>
      <c r="C30" s="1998"/>
      <c r="D30" s="1998"/>
      <c r="E30" s="4408">
        <f>SUM(E31:E40)</f>
        <v>42.929199844169077</v>
      </c>
      <c r="F30" s="4408">
        <f t="shared" ref="F30:AJ30" si="5">SUM(F31:F40)</f>
        <v>42.017615631318712</v>
      </c>
      <c r="G30" s="4408">
        <f t="shared" si="5"/>
        <v>40.315632942925866</v>
      </c>
      <c r="H30" s="4408">
        <f t="shared" si="5"/>
        <v>40.382609202706547</v>
      </c>
      <c r="I30" s="4408">
        <f t="shared" si="5"/>
        <v>41.559447105110578</v>
      </c>
      <c r="J30" s="4408">
        <f t="shared" si="5"/>
        <v>38.335436661842564</v>
      </c>
      <c r="K30" s="4408">
        <f t="shared" si="5"/>
        <v>41.663391236812956</v>
      </c>
      <c r="L30" s="4408">
        <f t="shared" si="5"/>
        <v>43.673659626670215</v>
      </c>
      <c r="M30" s="4408">
        <f t="shared" si="5"/>
        <v>42.920260706467431</v>
      </c>
      <c r="N30" s="4408">
        <f t="shared" si="5"/>
        <v>44.258586676092172</v>
      </c>
      <c r="O30" s="4408">
        <f t="shared" si="5"/>
        <v>46.664991387392156</v>
      </c>
      <c r="P30" s="4408">
        <f t="shared" si="5"/>
        <v>46.06599907335255</v>
      </c>
      <c r="Q30" s="4408">
        <f t="shared" si="5"/>
        <v>46.553284740067404</v>
      </c>
      <c r="R30" s="4408">
        <f t="shared" si="5"/>
        <v>40.83004815006403</v>
      </c>
      <c r="S30" s="4408">
        <f t="shared" si="5"/>
        <v>46.16080833168958</v>
      </c>
      <c r="T30" s="4408">
        <f t="shared" si="5"/>
        <v>45.632562258458002</v>
      </c>
      <c r="U30" s="4408">
        <f t="shared" si="5"/>
        <v>45.528596387212012</v>
      </c>
      <c r="V30" s="4408">
        <f t="shared" si="5"/>
        <v>39.646160078923188</v>
      </c>
      <c r="W30" s="4408">
        <f t="shared" si="5"/>
        <v>39.445000995473158</v>
      </c>
      <c r="X30" s="4408">
        <f t="shared" si="5"/>
        <v>41.385076096598176</v>
      </c>
      <c r="Y30" s="4408">
        <f t="shared" si="5"/>
        <v>40.649304481768304</v>
      </c>
      <c r="Z30" s="4408">
        <f t="shared" si="5"/>
        <v>44.780989980916559</v>
      </c>
      <c r="AA30" s="4408">
        <f t="shared" si="5"/>
        <v>46.328036828827699</v>
      </c>
      <c r="AB30" s="4408">
        <f t="shared" si="5"/>
        <v>45.640764870818195</v>
      </c>
      <c r="AC30" s="4408">
        <f t="shared" si="5"/>
        <v>47.618047150109263</v>
      </c>
      <c r="AD30" s="4408">
        <f t="shared" si="5"/>
        <v>45.696315514849573</v>
      </c>
      <c r="AE30" s="4408">
        <f t="shared" si="5"/>
        <v>46.098036793869383</v>
      </c>
      <c r="AF30" s="4408">
        <f t="shared" si="5"/>
        <v>51.455684754938439</v>
      </c>
      <c r="AG30" s="4408">
        <f t="shared" si="5"/>
        <v>47.212350807632909</v>
      </c>
      <c r="AH30" s="4408">
        <f t="shared" si="5"/>
        <v>44.225457917240895</v>
      </c>
      <c r="AI30" s="4408">
        <f t="shared" si="5"/>
        <v>43.800575094302815</v>
      </c>
      <c r="AJ30" s="4408">
        <f t="shared" si="5"/>
        <v>51.784878674305745</v>
      </c>
      <c r="AK30" s="4420">
        <f t="shared" si="2"/>
        <v>20.628567181038449</v>
      </c>
      <c r="AL30" s="713"/>
    </row>
    <row r="31" spans="2:38" ht="18" customHeight="1" x14ac:dyDescent="0.25">
      <c r="B31" s="1135" t="s">
        <v>1492</v>
      </c>
      <c r="C31" s="348"/>
      <c r="D31" s="348"/>
      <c r="E31" s="4421"/>
      <c r="F31" s="4421"/>
      <c r="G31" s="4422"/>
      <c r="H31" s="4422"/>
      <c r="I31" s="4422"/>
      <c r="J31" s="4422"/>
      <c r="K31" s="4422"/>
      <c r="L31" s="4422"/>
      <c r="M31" s="4422"/>
      <c r="N31" s="4422"/>
      <c r="O31" s="4422"/>
      <c r="P31" s="4422"/>
      <c r="Q31" s="4422"/>
      <c r="R31" s="4422"/>
      <c r="S31" s="4422"/>
      <c r="T31" s="4422"/>
      <c r="U31" s="4422"/>
      <c r="V31" s="4422"/>
      <c r="W31" s="4422"/>
      <c r="X31" s="4422"/>
      <c r="Y31" s="4422"/>
      <c r="Z31" s="4422"/>
      <c r="AA31" s="4422"/>
      <c r="AB31" s="4422"/>
      <c r="AC31" s="4422"/>
      <c r="AD31" s="4422"/>
      <c r="AE31" s="4422"/>
      <c r="AF31" s="4422"/>
      <c r="AG31" s="4422"/>
      <c r="AH31" s="4422"/>
      <c r="AI31" s="4422"/>
      <c r="AJ31" s="4422"/>
      <c r="AK31" s="4423"/>
      <c r="AL31" s="713"/>
    </row>
    <row r="32" spans="2:38" ht="18" customHeight="1" x14ac:dyDescent="0.25">
      <c r="B32" s="1135" t="s">
        <v>1493</v>
      </c>
      <c r="C32" s="1995"/>
      <c r="D32" s="1995"/>
      <c r="E32" s="4404">
        <v>0.76816438643373797</v>
      </c>
      <c r="F32" s="4404">
        <v>0.77861845864059653</v>
      </c>
      <c r="G32" s="4404">
        <v>0.81145672043367267</v>
      </c>
      <c r="H32" s="4404">
        <v>0.83367464720933981</v>
      </c>
      <c r="I32" s="4404">
        <v>0.88904978659560019</v>
      </c>
      <c r="J32" s="4404">
        <v>0.9623384755779818</v>
      </c>
      <c r="K32" s="4404">
        <v>0.95622890457958354</v>
      </c>
      <c r="L32" s="4404">
        <v>0.94800546248963469</v>
      </c>
      <c r="M32" s="4404">
        <v>1.0305680559504724</v>
      </c>
      <c r="N32" s="4404">
        <v>1.0916567131806578</v>
      </c>
      <c r="O32" s="4404">
        <v>1.33582540977275</v>
      </c>
      <c r="P32" s="4404">
        <v>1.4544423673366769</v>
      </c>
      <c r="Q32" s="4404">
        <v>1.5273295226789434</v>
      </c>
      <c r="R32" s="4404">
        <v>1.5087567734699698</v>
      </c>
      <c r="S32" s="4404">
        <v>1.4839846739407445</v>
      </c>
      <c r="T32" s="4404">
        <v>1.6959018415521276</v>
      </c>
      <c r="U32" s="4404">
        <v>1.7609107565195992</v>
      </c>
      <c r="V32" s="4404">
        <v>1.7792742428177359</v>
      </c>
      <c r="W32" s="4404">
        <v>1.5211139747914264</v>
      </c>
      <c r="X32" s="4404">
        <v>1.5348619854931387</v>
      </c>
      <c r="Y32" s="4404">
        <v>1.5337195038126648</v>
      </c>
      <c r="Z32" s="4404">
        <v>1.6395019828870174</v>
      </c>
      <c r="AA32" s="4404">
        <v>1.6308244784434525</v>
      </c>
      <c r="AB32" s="4404">
        <v>1.6533637047673528</v>
      </c>
      <c r="AC32" s="4404">
        <v>1.7033373433807624</v>
      </c>
      <c r="AD32" s="4404">
        <v>1.8558823680409184</v>
      </c>
      <c r="AE32" s="4404">
        <v>1.8801364660716184</v>
      </c>
      <c r="AF32" s="4404">
        <v>1.9128108498363421</v>
      </c>
      <c r="AG32" s="4404">
        <v>1.9871377753914135</v>
      </c>
      <c r="AH32" s="4404">
        <v>2.0509321935399125</v>
      </c>
      <c r="AI32" s="4404">
        <v>2.0626601784741583</v>
      </c>
      <c r="AJ32" s="4404">
        <v>2.0742185194530158</v>
      </c>
      <c r="AK32" s="4412">
        <f t="shared" si="2"/>
        <v>170.02273941424625</v>
      </c>
      <c r="AL32" s="713"/>
    </row>
    <row r="33" spans="2:38" ht="18" customHeight="1" x14ac:dyDescent="0.25">
      <c r="B33" s="1135" t="s">
        <v>1494</v>
      </c>
      <c r="C33" s="348"/>
      <c r="D33" s="348"/>
      <c r="E33" s="4421"/>
      <c r="F33" s="4421"/>
      <c r="G33" s="4422"/>
      <c r="H33" s="4422"/>
      <c r="I33" s="4422"/>
      <c r="J33" s="4422"/>
      <c r="K33" s="4422"/>
      <c r="L33" s="4422"/>
      <c r="M33" s="4422"/>
      <c r="N33" s="4422"/>
      <c r="O33" s="4422"/>
      <c r="P33" s="4422"/>
      <c r="Q33" s="4422"/>
      <c r="R33" s="4422"/>
      <c r="S33" s="4422"/>
      <c r="T33" s="4422"/>
      <c r="U33" s="4422"/>
      <c r="V33" s="4422"/>
      <c r="W33" s="4422"/>
      <c r="X33" s="4422"/>
      <c r="Y33" s="4422"/>
      <c r="Z33" s="4422"/>
      <c r="AA33" s="4422"/>
      <c r="AB33" s="4422"/>
      <c r="AC33" s="4422"/>
      <c r="AD33" s="4422"/>
      <c r="AE33" s="4422"/>
      <c r="AF33" s="4422"/>
      <c r="AG33" s="4422"/>
      <c r="AH33" s="4422"/>
      <c r="AI33" s="4422"/>
      <c r="AJ33" s="4422"/>
      <c r="AK33" s="4423"/>
      <c r="AL33" s="713"/>
    </row>
    <row r="34" spans="2:38" ht="18" customHeight="1" x14ac:dyDescent="0.25">
      <c r="B34" s="1135" t="s">
        <v>1495</v>
      </c>
      <c r="C34" s="1995"/>
      <c r="D34" s="1995"/>
      <c r="E34" s="4404">
        <v>41.694921519213935</v>
      </c>
      <c r="F34" s="4404">
        <v>40.778721491556013</v>
      </c>
      <c r="G34" s="4404">
        <v>39.066836968095018</v>
      </c>
      <c r="H34" s="4404">
        <v>39.030090399235284</v>
      </c>
      <c r="I34" s="4404">
        <v>40.073222357586253</v>
      </c>
      <c r="J34" s="4404">
        <v>37.031251459494982</v>
      </c>
      <c r="K34" s="4404">
        <v>40.175448325090194</v>
      </c>
      <c r="L34" s="4404">
        <v>42.081850914369213</v>
      </c>
      <c r="M34" s="4404">
        <v>41.306933347262174</v>
      </c>
      <c r="N34" s="4404">
        <v>42.526309902217427</v>
      </c>
      <c r="O34" s="4404">
        <v>44.760203001595386</v>
      </c>
      <c r="P34" s="4404">
        <v>44.039196199818264</v>
      </c>
      <c r="Q34" s="4404">
        <v>44.434930491408089</v>
      </c>
      <c r="R34" s="4404">
        <v>39.049203534277815</v>
      </c>
      <c r="S34" s="4404">
        <v>44.108820102634994</v>
      </c>
      <c r="T34" s="4404">
        <v>43.565350378084027</v>
      </c>
      <c r="U34" s="4404">
        <v>43.293181003418454</v>
      </c>
      <c r="V34" s="4404">
        <v>37.66727190666419</v>
      </c>
      <c r="W34" s="4404">
        <v>37.660859111517247</v>
      </c>
      <c r="X34" s="4404">
        <v>39.526117877627456</v>
      </c>
      <c r="Y34" s="4404">
        <v>38.834286232943846</v>
      </c>
      <c r="Z34" s="4404">
        <v>42.725442830402386</v>
      </c>
      <c r="AA34" s="4404">
        <v>44.272713191755024</v>
      </c>
      <c r="AB34" s="4404">
        <v>43.581492714535628</v>
      </c>
      <c r="AC34" s="4404">
        <v>45.542590434300735</v>
      </c>
      <c r="AD34" s="4404">
        <v>43.485800138412749</v>
      </c>
      <c r="AE34" s="4404">
        <v>43.898827677116408</v>
      </c>
      <c r="AF34" s="4404">
        <v>49.013161092039972</v>
      </c>
      <c r="AG34" s="4404">
        <v>44.856052845818496</v>
      </c>
      <c r="AH34" s="4404">
        <v>41.947431092932661</v>
      </c>
      <c r="AI34" s="4404">
        <v>41.497126858763508</v>
      </c>
      <c r="AJ34" s="4404">
        <v>49.198060666125514</v>
      </c>
      <c r="AK34" s="4412">
        <f t="shared" si="2"/>
        <v>17.995331022397949</v>
      </c>
      <c r="AL34" s="713"/>
    </row>
    <row r="35" spans="2:38" ht="18" customHeight="1" x14ac:dyDescent="0.25">
      <c r="B35" s="1135" t="s">
        <v>1496</v>
      </c>
      <c r="C35" s="1995"/>
      <c r="D35" s="1995"/>
      <c r="E35" s="4411" t="s">
        <v>2147</v>
      </c>
      <c r="F35" s="4411" t="s">
        <v>2147</v>
      </c>
      <c r="G35" s="4411" t="s">
        <v>2147</v>
      </c>
      <c r="H35" s="4411" t="s">
        <v>2147</v>
      </c>
      <c r="I35" s="4411" t="s">
        <v>2147</v>
      </c>
      <c r="J35" s="4411" t="s">
        <v>2147</v>
      </c>
      <c r="K35" s="4411" t="s">
        <v>2147</v>
      </c>
      <c r="L35" s="4411" t="s">
        <v>2147</v>
      </c>
      <c r="M35" s="4411" t="s">
        <v>2147</v>
      </c>
      <c r="N35" s="4411" t="s">
        <v>2147</v>
      </c>
      <c r="O35" s="4411" t="s">
        <v>2147</v>
      </c>
      <c r="P35" s="4411" t="s">
        <v>2147</v>
      </c>
      <c r="Q35" s="4411" t="s">
        <v>2147</v>
      </c>
      <c r="R35" s="4411" t="s">
        <v>2147</v>
      </c>
      <c r="S35" s="4411" t="s">
        <v>2147</v>
      </c>
      <c r="T35" s="4411" t="s">
        <v>2147</v>
      </c>
      <c r="U35" s="4411" t="s">
        <v>2147</v>
      </c>
      <c r="V35" s="4411" t="s">
        <v>2147</v>
      </c>
      <c r="W35" s="4411" t="s">
        <v>2147</v>
      </c>
      <c r="X35" s="4411" t="s">
        <v>2147</v>
      </c>
      <c r="Y35" s="4411" t="s">
        <v>2147</v>
      </c>
      <c r="Z35" s="4411" t="s">
        <v>2147</v>
      </c>
      <c r="AA35" s="4411" t="s">
        <v>2147</v>
      </c>
      <c r="AB35" s="4411" t="s">
        <v>2147</v>
      </c>
      <c r="AC35" s="4411" t="s">
        <v>2147</v>
      </c>
      <c r="AD35" s="4411" t="s">
        <v>2147</v>
      </c>
      <c r="AE35" s="4411" t="s">
        <v>2147</v>
      </c>
      <c r="AF35" s="4411" t="s">
        <v>2147</v>
      </c>
      <c r="AG35" s="4411" t="s">
        <v>2147</v>
      </c>
      <c r="AH35" s="4411" t="s">
        <v>2147</v>
      </c>
      <c r="AI35" s="4411" t="s">
        <v>2147</v>
      </c>
      <c r="AJ35" s="4411" t="s">
        <v>2147</v>
      </c>
      <c r="AK35" s="4412" t="s">
        <v>2147</v>
      </c>
      <c r="AL35" s="713"/>
    </row>
    <row r="36" spans="2:38" ht="18" customHeight="1" x14ac:dyDescent="0.25">
      <c r="B36" s="1135" t="s">
        <v>1497</v>
      </c>
      <c r="C36" s="1995"/>
      <c r="D36" s="1995"/>
      <c r="E36" s="4404">
        <v>0.4661139385214037</v>
      </c>
      <c r="F36" s="4404">
        <v>0.46027568112210543</v>
      </c>
      <c r="G36" s="4404">
        <v>0.43733925439717408</v>
      </c>
      <c r="H36" s="4404">
        <v>0.51884415626192171</v>
      </c>
      <c r="I36" s="4404">
        <v>0.59717496092872757</v>
      </c>
      <c r="J36" s="4404">
        <v>0.34184672676960454</v>
      </c>
      <c r="K36" s="4404">
        <v>0.53171400714317996</v>
      </c>
      <c r="L36" s="4404">
        <v>0.6438032498113726</v>
      </c>
      <c r="M36" s="4404">
        <v>0.58275930325478098</v>
      </c>
      <c r="N36" s="4404">
        <v>0.6406200606940875</v>
      </c>
      <c r="O36" s="4404">
        <v>0.56896297602401846</v>
      </c>
      <c r="P36" s="4404">
        <v>0.57236050619761281</v>
      </c>
      <c r="Q36" s="4404">
        <v>0.59102472598037292</v>
      </c>
      <c r="R36" s="4404">
        <v>0.27208784231624822</v>
      </c>
      <c r="S36" s="4404">
        <v>0.56800355511383671</v>
      </c>
      <c r="T36" s="4404">
        <v>0.37131003882184332</v>
      </c>
      <c r="U36" s="4404">
        <v>0.47450462727395798</v>
      </c>
      <c r="V36" s="4404">
        <v>0.19961392944126016</v>
      </c>
      <c r="W36" s="4404">
        <v>0.26302790916448576</v>
      </c>
      <c r="X36" s="4404">
        <v>0.32409623347758237</v>
      </c>
      <c r="Y36" s="4404">
        <v>0.28129874501179614</v>
      </c>
      <c r="Z36" s="4404">
        <v>0.41604516762715543</v>
      </c>
      <c r="AA36" s="4404">
        <v>0.42449915862922627</v>
      </c>
      <c r="AB36" s="4404">
        <v>0.40590845151521499</v>
      </c>
      <c r="AC36" s="4404">
        <v>0.37211937242776477</v>
      </c>
      <c r="AD36" s="4404">
        <v>0.35463300839590872</v>
      </c>
      <c r="AE36" s="4404">
        <v>0.31907265068135793</v>
      </c>
      <c r="AF36" s="4404">
        <v>0.52971281306212881</v>
      </c>
      <c r="AG36" s="4404">
        <v>0.36916018642300474</v>
      </c>
      <c r="AH36" s="4404">
        <v>0.22709463076832143</v>
      </c>
      <c r="AI36" s="4404">
        <v>0.24078805706514347</v>
      </c>
      <c r="AJ36" s="4404">
        <v>0.51259948872721606</v>
      </c>
      <c r="AK36" s="4412">
        <f t="shared" si="2"/>
        <v>9.9730015268955015</v>
      </c>
      <c r="AL36" s="713"/>
    </row>
    <row r="37" spans="2:38" ht="18" customHeight="1" x14ac:dyDescent="0.25">
      <c r="B37" s="1136" t="s">
        <v>721</v>
      </c>
      <c r="C37" s="354"/>
      <c r="D37" s="354"/>
      <c r="E37" s="4405"/>
      <c r="F37" s="4405"/>
      <c r="G37" s="4406"/>
      <c r="H37" s="4406"/>
      <c r="I37" s="4406"/>
      <c r="J37" s="4406"/>
      <c r="K37" s="4406"/>
      <c r="L37" s="4406"/>
      <c r="M37" s="4406"/>
      <c r="N37" s="4406"/>
      <c r="O37" s="4406"/>
      <c r="P37" s="4406"/>
      <c r="Q37" s="4406"/>
      <c r="R37" s="4406"/>
      <c r="S37" s="4406"/>
      <c r="T37" s="4406"/>
      <c r="U37" s="4406"/>
      <c r="V37" s="4406"/>
      <c r="W37" s="4406"/>
      <c r="X37" s="4406"/>
      <c r="Y37" s="4406"/>
      <c r="Z37" s="4406"/>
      <c r="AA37" s="4406"/>
      <c r="AB37" s="4406"/>
      <c r="AC37" s="4406"/>
      <c r="AD37" s="4406"/>
      <c r="AE37" s="4406"/>
      <c r="AF37" s="4406"/>
      <c r="AG37" s="4406"/>
      <c r="AH37" s="4406"/>
      <c r="AI37" s="4406"/>
      <c r="AJ37" s="4406"/>
      <c r="AK37" s="4407"/>
      <c r="AL37" s="713"/>
    </row>
    <row r="38" spans="2:38" ht="18" customHeight="1" x14ac:dyDescent="0.25">
      <c r="B38" s="1136" t="s">
        <v>722</v>
      </c>
      <c r="C38" s="354"/>
      <c r="D38" s="354"/>
      <c r="E38" s="4405"/>
      <c r="F38" s="4405"/>
      <c r="G38" s="4406"/>
      <c r="H38" s="4406"/>
      <c r="I38" s="4406"/>
      <c r="J38" s="4406"/>
      <c r="K38" s="4406"/>
      <c r="L38" s="4406"/>
      <c r="M38" s="4406"/>
      <c r="N38" s="4406"/>
      <c r="O38" s="4406"/>
      <c r="P38" s="4406"/>
      <c r="Q38" s="4406"/>
      <c r="R38" s="4406"/>
      <c r="S38" s="4406"/>
      <c r="T38" s="4406"/>
      <c r="U38" s="4406"/>
      <c r="V38" s="4406"/>
      <c r="W38" s="4406"/>
      <c r="X38" s="4406"/>
      <c r="Y38" s="4406"/>
      <c r="Z38" s="4406"/>
      <c r="AA38" s="4406"/>
      <c r="AB38" s="4406"/>
      <c r="AC38" s="4406"/>
      <c r="AD38" s="4406"/>
      <c r="AE38" s="4406"/>
      <c r="AF38" s="4406"/>
      <c r="AG38" s="4406"/>
      <c r="AH38" s="4406"/>
      <c r="AI38" s="4406"/>
      <c r="AJ38" s="4406"/>
      <c r="AK38" s="4407"/>
      <c r="AL38" s="713"/>
    </row>
    <row r="39" spans="2:38" ht="18" customHeight="1" x14ac:dyDescent="0.25">
      <c r="B39" s="1136" t="s">
        <v>1498</v>
      </c>
      <c r="C39" s="354"/>
      <c r="D39" s="354"/>
      <c r="E39" s="4405"/>
      <c r="F39" s="4405"/>
      <c r="G39" s="4406"/>
      <c r="H39" s="4406"/>
      <c r="I39" s="4406"/>
      <c r="J39" s="4406"/>
      <c r="K39" s="4406"/>
      <c r="L39" s="4406"/>
      <c r="M39" s="4406"/>
      <c r="N39" s="4406"/>
      <c r="O39" s="4406"/>
      <c r="P39" s="4406"/>
      <c r="Q39" s="4406"/>
      <c r="R39" s="4406"/>
      <c r="S39" s="4406"/>
      <c r="T39" s="4406"/>
      <c r="U39" s="4406"/>
      <c r="V39" s="4406"/>
      <c r="W39" s="4406"/>
      <c r="X39" s="4406"/>
      <c r="Y39" s="4406"/>
      <c r="Z39" s="4406"/>
      <c r="AA39" s="4406"/>
      <c r="AB39" s="4406"/>
      <c r="AC39" s="4406"/>
      <c r="AD39" s="4406"/>
      <c r="AE39" s="4406"/>
      <c r="AF39" s="4406"/>
      <c r="AG39" s="4406"/>
      <c r="AH39" s="4406"/>
      <c r="AI39" s="4406"/>
      <c r="AJ39" s="4406"/>
      <c r="AK39" s="4423"/>
      <c r="AL39" s="713"/>
    </row>
    <row r="40" spans="2:38" ht="18" customHeight="1" thickBot="1" x14ac:dyDescent="0.3">
      <c r="B40" s="1376" t="s">
        <v>1499</v>
      </c>
      <c r="C40" s="2013"/>
      <c r="D40" s="2013"/>
      <c r="E40" s="4417" t="s">
        <v>2146</v>
      </c>
      <c r="F40" s="4417" t="s">
        <v>2146</v>
      </c>
      <c r="G40" s="4418" t="s">
        <v>2146</v>
      </c>
      <c r="H40" s="4418" t="s">
        <v>2146</v>
      </c>
      <c r="I40" s="4418" t="s">
        <v>2146</v>
      </c>
      <c r="J40" s="4418" t="s">
        <v>2146</v>
      </c>
      <c r="K40" s="4418" t="s">
        <v>2146</v>
      </c>
      <c r="L40" s="4418" t="s">
        <v>2146</v>
      </c>
      <c r="M40" s="4418" t="s">
        <v>2146</v>
      </c>
      <c r="N40" s="4418" t="s">
        <v>2146</v>
      </c>
      <c r="O40" s="4418" t="s">
        <v>2146</v>
      </c>
      <c r="P40" s="4418" t="s">
        <v>2146</v>
      </c>
      <c r="Q40" s="4418" t="s">
        <v>2146</v>
      </c>
      <c r="R40" s="4418" t="s">
        <v>2146</v>
      </c>
      <c r="S40" s="4418" t="s">
        <v>2146</v>
      </c>
      <c r="T40" s="4418" t="s">
        <v>2146</v>
      </c>
      <c r="U40" s="4418" t="s">
        <v>2146</v>
      </c>
      <c r="V40" s="4418" t="s">
        <v>2146</v>
      </c>
      <c r="W40" s="4418" t="s">
        <v>2146</v>
      </c>
      <c r="X40" s="4418" t="s">
        <v>2146</v>
      </c>
      <c r="Y40" s="4418" t="s">
        <v>2146</v>
      </c>
      <c r="Z40" s="4418" t="s">
        <v>2146</v>
      </c>
      <c r="AA40" s="4418" t="s">
        <v>2146</v>
      </c>
      <c r="AB40" s="4418" t="s">
        <v>2146</v>
      </c>
      <c r="AC40" s="4418" t="s">
        <v>2146</v>
      </c>
      <c r="AD40" s="4418" t="s">
        <v>2146</v>
      </c>
      <c r="AE40" s="4418" t="s">
        <v>2146</v>
      </c>
      <c r="AF40" s="4418" t="s">
        <v>2146</v>
      </c>
      <c r="AG40" s="4418" t="s">
        <v>2146</v>
      </c>
      <c r="AH40" s="4418" t="s">
        <v>2146</v>
      </c>
      <c r="AI40" s="4418" t="s">
        <v>2146</v>
      </c>
      <c r="AJ40" s="4418" t="s">
        <v>2146</v>
      </c>
      <c r="AK40" s="4419" t="str">
        <f t="shared" si="2"/>
        <v>NA</v>
      </c>
      <c r="AL40" s="713"/>
    </row>
    <row r="41" spans="2:38" ht="18" customHeight="1" x14ac:dyDescent="0.25">
      <c r="B41" s="765" t="s">
        <v>1716</v>
      </c>
      <c r="C41" s="1998"/>
      <c r="D41" s="1998"/>
      <c r="E41" s="4408">
        <f>SUM(E42:E49)</f>
        <v>16.158841561002379</v>
      </c>
      <c r="F41" s="4408">
        <f t="shared" ref="F41:AJ41" si="6">SUM(F42:F49)</f>
        <v>15.335132593743484</v>
      </c>
      <c r="G41" s="4408">
        <f t="shared" si="6"/>
        <v>14.065730973393464</v>
      </c>
      <c r="H41" s="4408">
        <f t="shared" si="6"/>
        <v>13.5013417039307</v>
      </c>
      <c r="I41" s="4408">
        <f t="shared" si="6"/>
        <v>13.638106323262715</v>
      </c>
      <c r="J41" s="4408">
        <f t="shared" si="6"/>
        <v>13.607801100295523</v>
      </c>
      <c r="K41" s="4408">
        <f t="shared" si="6"/>
        <v>14.717784290078102</v>
      </c>
      <c r="L41" s="4408">
        <f t="shared" si="6"/>
        <v>14.427435612922892</v>
      </c>
      <c r="M41" s="4408">
        <f t="shared" si="6"/>
        <v>14.429027769262129</v>
      </c>
      <c r="N41" s="4408">
        <f t="shared" si="6"/>
        <v>16.099685221292003</v>
      </c>
      <c r="O41" s="4408">
        <f t="shared" si="6"/>
        <v>17.105157905604958</v>
      </c>
      <c r="P41" s="4408">
        <f t="shared" si="6"/>
        <v>16.602642474097376</v>
      </c>
      <c r="Q41" s="4408">
        <f t="shared" si="6"/>
        <v>16.768273043612378</v>
      </c>
      <c r="R41" s="4408">
        <f t="shared" si="6"/>
        <v>17.873206876176024</v>
      </c>
      <c r="S41" s="4408">
        <f t="shared" si="6"/>
        <v>15.721579448202601</v>
      </c>
      <c r="T41" s="4408">
        <f t="shared" si="6"/>
        <v>16.532130619893771</v>
      </c>
      <c r="U41" s="4408">
        <f t="shared" si="6"/>
        <v>17.289384986216152</v>
      </c>
      <c r="V41" s="4408">
        <f t="shared" si="6"/>
        <v>17.82315043188391</v>
      </c>
      <c r="W41" s="4408">
        <f t="shared" si="6"/>
        <v>17.439517599166955</v>
      </c>
      <c r="X41" s="4408">
        <f t="shared" si="6"/>
        <v>18.020612939584147</v>
      </c>
      <c r="Y41" s="4408">
        <f t="shared" si="6"/>
        <v>18.941080441607792</v>
      </c>
      <c r="Z41" s="4408">
        <f t="shared" si="6"/>
        <v>19.456037540209682</v>
      </c>
      <c r="AA41" s="4408">
        <f t="shared" si="6"/>
        <v>18.53843499245647</v>
      </c>
      <c r="AB41" s="4408">
        <f t="shared" si="6"/>
        <v>17.494503567835622</v>
      </c>
      <c r="AC41" s="4408">
        <f t="shared" si="6"/>
        <v>17.388728346654723</v>
      </c>
      <c r="AD41" s="4408">
        <f t="shared" si="6"/>
        <v>15.972342718531682</v>
      </c>
      <c r="AE41" s="4408">
        <f t="shared" si="6"/>
        <v>14.544315766922185</v>
      </c>
      <c r="AF41" s="4408">
        <f t="shared" si="6"/>
        <v>14.515598738390139</v>
      </c>
      <c r="AG41" s="4408">
        <f t="shared" si="6"/>
        <v>12.970667459593111</v>
      </c>
      <c r="AH41" s="4408">
        <f t="shared" si="6"/>
        <v>12.329513783830532</v>
      </c>
      <c r="AI41" s="4408">
        <f t="shared" si="6"/>
        <v>12.278701752689837</v>
      </c>
      <c r="AJ41" s="4408">
        <f t="shared" si="6"/>
        <v>11.675809542745004</v>
      </c>
      <c r="AK41" s="4420">
        <f t="shared" si="2"/>
        <v>-27.743523577065631</v>
      </c>
      <c r="AL41" s="713"/>
    </row>
    <row r="42" spans="2:38" ht="18" customHeight="1" x14ac:dyDescent="0.25">
      <c r="B42" s="1135" t="s">
        <v>981</v>
      </c>
      <c r="C42" s="1995"/>
      <c r="D42" s="1995"/>
      <c r="E42" s="4404">
        <v>4.5564987128722088</v>
      </c>
      <c r="F42" s="4404">
        <v>4.8611115768679802</v>
      </c>
      <c r="G42" s="4404">
        <v>4.9733235005788545</v>
      </c>
      <c r="H42" s="4404">
        <v>4.8253703705396553</v>
      </c>
      <c r="I42" s="4404">
        <v>4.6361842258305899</v>
      </c>
      <c r="J42" s="4404">
        <v>4.531344016077635</v>
      </c>
      <c r="K42" s="4404">
        <v>4.5362976040779452</v>
      </c>
      <c r="L42" s="4404">
        <v>4.1757944701376717</v>
      </c>
      <c r="M42" s="4404">
        <v>4.1288590284281446</v>
      </c>
      <c r="N42" s="4404">
        <v>4.4446220989247172</v>
      </c>
      <c r="O42" s="4404">
        <v>4.7640524513046492</v>
      </c>
      <c r="P42" s="4404">
        <v>4.5479830526331337</v>
      </c>
      <c r="Q42" s="4404">
        <v>4.7650262664799561</v>
      </c>
      <c r="R42" s="4404">
        <v>4.8539087263538798</v>
      </c>
      <c r="S42" s="4404">
        <v>4.563587363109959</v>
      </c>
      <c r="T42" s="4404">
        <v>4.5280226489477027</v>
      </c>
      <c r="U42" s="4404">
        <v>4.7588687531444736</v>
      </c>
      <c r="V42" s="4404">
        <v>4.9450298453544974</v>
      </c>
      <c r="W42" s="4404">
        <v>5.5451387617763155</v>
      </c>
      <c r="X42" s="4404">
        <v>5.8001507472247242</v>
      </c>
      <c r="Y42" s="4404">
        <v>6.4809922444469352</v>
      </c>
      <c r="Z42" s="4404">
        <v>7.0292544585440329</v>
      </c>
      <c r="AA42" s="4404">
        <v>6.4022581602565234</v>
      </c>
      <c r="AB42" s="4404">
        <v>6.1762583551851442</v>
      </c>
      <c r="AC42" s="4404">
        <v>5.9163748894072414</v>
      </c>
      <c r="AD42" s="4404">
        <v>5.6320858774824663</v>
      </c>
      <c r="AE42" s="4404">
        <v>5.1549411564902936</v>
      </c>
      <c r="AF42" s="4404">
        <v>5.08187048011842</v>
      </c>
      <c r="AG42" s="4404">
        <v>4.4896358264906508</v>
      </c>
      <c r="AH42" s="4404">
        <v>4.4779210689633286</v>
      </c>
      <c r="AI42" s="4404">
        <v>4.2453602807586828</v>
      </c>
      <c r="AJ42" s="4404">
        <v>4.0685652367060792</v>
      </c>
      <c r="AK42" s="4412">
        <f t="shared" si="2"/>
        <v>-10.708517809688104</v>
      </c>
      <c r="AL42" s="713"/>
    </row>
    <row r="43" spans="2:38" ht="18" customHeight="1" x14ac:dyDescent="0.25">
      <c r="B43" s="1135" t="s">
        <v>984</v>
      </c>
      <c r="C43" s="1995"/>
      <c r="D43" s="1995"/>
      <c r="E43" s="4404">
        <v>0.56256655724854354</v>
      </c>
      <c r="F43" s="4404">
        <v>0.51126953224202798</v>
      </c>
      <c r="G43" s="4404">
        <v>0.34728920466759539</v>
      </c>
      <c r="H43" s="4404">
        <v>0.27148900020503253</v>
      </c>
      <c r="I43" s="4404">
        <v>0.23155930639150762</v>
      </c>
      <c r="J43" s="4404">
        <v>0.25520864831611695</v>
      </c>
      <c r="K43" s="4404">
        <v>0.21628050868962251</v>
      </c>
      <c r="L43" s="4404">
        <v>0.21998643827670733</v>
      </c>
      <c r="M43" s="4404">
        <v>0.23407454048426529</v>
      </c>
      <c r="N43" s="4404">
        <v>0.23714124362800956</v>
      </c>
      <c r="O43" s="4404">
        <v>0.17494225886210718</v>
      </c>
      <c r="P43" s="4404">
        <v>0.18710331874141861</v>
      </c>
      <c r="Q43" s="4404">
        <v>0.19250837028800041</v>
      </c>
      <c r="R43" s="4404">
        <v>0.20391587266921507</v>
      </c>
      <c r="S43" s="4404">
        <v>0.16303286912344206</v>
      </c>
      <c r="T43" s="4404">
        <v>0.23370915903268344</v>
      </c>
      <c r="U43" s="4404">
        <v>0.13524441726366035</v>
      </c>
      <c r="V43" s="4404">
        <v>0.20992904669944568</v>
      </c>
      <c r="W43" s="4404">
        <v>0.15753790487858593</v>
      </c>
      <c r="X43" s="4404">
        <v>0.14814045161818612</v>
      </c>
      <c r="Y43" s="4404">
        <v>0.17767911098095826</v>
      </c>
      <c r="Z43" s="4404">
        <v>0.16647354520966731</v>
      </c>
      <c r="AA43" s="4404">
        <v>0.1184342643430861</v>
      </c>
      <c r="AB43" s="4404">
        <v>0.15521001285450314</v>
      </c>
      <c r="AC43" s="4404">
        <v>0.14216134906321654</v>
      </c>
      <c r="AD43" s="4404">
        <v>0.10987448312544423</v>
      </c>
      <c r="AE43" s="4404">
        <v>0.1527644847598269</v>
      </c>
      <c r="AF43" s="4404">
        <v>5.7492564946878419E-2</v>
      </c>
      <c r="AG43" s="4404">
        <v>7.7234494380934438E-2</v>
      </c>
      <c r="AH43" s="4404">
        <v>9.2457917625437924E-2</v>
      </c>
      <c r="AI43" s="4404">
        <v>9.610091329523307E-2</v>
      </c>
      <c r="AJ43" s="4404">
        <v>0.11510606232598503</v>
      </c>
      <c r="AK43" s="4412">
        <f t="shared" si="2"/>
        <v>-79.539121043924609</v>
      </c>
      <c r="AL43" s="713"/>
    </row>
    <row r="44" spans="2:38" ht="18" customHeight="1" x14ac:dyDescent="0.25">
      <c r="B44" s="1135" t="s">
        <v>1717</v>
      </c>
      <c r="C44" s="1995"/>
      <c r="D44" s="1995"/>
      <c r="E44" s="4404">
        <v>10.622257691750297</v>
      </c>
      <c r="F44" s="4404">
        <v>9.57240800224392</v>
      </c>
      <c r="G44" s="4404">
        <v>8.3647743180925715</v>
      </c>
      <c r="H44" s="4404">
        <v>8.0441497449864023</v>
      </c>
      <c r="I44" s="4404">
        <v>8.4307847621007745</v>
      </c>
      <c r="J44" s="4404">
        <v>8.5114766360509755</v>
      </c>
      <c r="K44" s="4404">
        <v>9.5779709463662321</v>
      </c>
      <c r="L44" s="4404">
        <v>9.6084416321108517</v>
      </c>
      <c r="M44" s="4404">
        <v>9.6251852531349407</v>
      </c>
      <c r="N44" s="4404">
        <v>10.924468425358237</v>
      </c>
      <c r="O44" s="4404">
        <v>11.622411308111847</v>
      </c>
      <c r="P44" s="4404">
        <v>11.377073870658498</v>
      </c>
      <c r="Q44" s="4404">
        <v>11.29404283536058</v>
      </c>
      <c r="R44" s="4404">
        <v>12.286622495808034</v>
      </c>
      <c r="S44" s="4404">
        <v>10.507537199883716</v>
      </c>
      <c r="T44" s="4404">
        <v>11.260733068521617</v>
      </c>
      <c r="U44" s="4404">
        <v>11.842644006660519</v>
      </c>
      <c r="V44" s="4404">
        <v>12.11728189237113</v>
      </c>
      <c r="W44" s="4404">
        <v>11.155017322234478</v>
      </c>
      <c r="X44" s="4404">
        <v>11.462288683163896</v>
      </c>
      <c r="Y44" s="4404">
        <v>11.676561444354059</v>
      </c>
      <c r="Z44" s="4404">
        <v>11.627427453047156</v>
      </c>
      <c r="AA44" s="4404">
        <v>11.410514164762851</v>
      </c>
      <c r="AB44" s="4404">
        <v>10.573672709782256</v>
      </c>
      <c r="AC44" s="4404">
        <v>10.755586189108108</v>
      </c>
      <c r="AD44" s="4404">
        <v>9.6422613694427657</v>
      </c>
      <c r="AE44" s="4404">
        <v>8.6750238985645254</v>
      </c>
      <c r="AF44" s="4404">
        <v>8.8219186290114475</v>
      </c>
      <c r="AG44" s="4404">
        <v>7.8781397149614172</v>
      </c>
      <c r="AH44" s="4404">
        <v>7.2390851908034985</v>
      </c>
      <c r="AI44" s="4404">
        <v>7.4147472803391521</v>
      </c>
      <c r="AJ44" s="4404">
        <v>6.9689710181786486</v>
      </c>
      <c r="AK44" s="4412">
        <f t="shared" si="2"/>
        <v>-34.392751330152237</v>
      </c>
      <c r="AL44" s="713"/>
    </row>
    <row r="45" spans="2:38" ht="18" customHeight="1" x14ac:dyDescent="0.25">
      <c r="B45" s="1135" t="s">
        <v>1525</v>
      </c>
      <c r="C45" s="1995"/>
      <c r="D45" s="1995"/>
      <c r="E45" s="4404">
        <v>0.25716816698448591</v>
      </c>
      <c r="F45" s="4404">
        <v>0.24933026672966452</v>
      </c>
      <c r="G45" s="4404">
        <v>0.23163920607718327</v>
      </c>
      <c r="H45" s="4404">
        <v>0.22902240286985903</v>
      </c>
      <c r="I45" s="4404">
        <v>0.19293400835230148</v>
      </c>
      <c r="J45" s="4404">
        <v>0.18433889691286789</v>
      </c>
      <c r="K45" s="4404">
        <v>0.25898418625954311</v>
      </c>
      <c r="L45" s="4404">
        <v>0.29465863159628103</v>
      </c>
      <c r="M45" s="4404">
        <v>0.30845295559243241</v>
      </c>
      <c r="N45" s="4404">
        <v>0.33938700527281829</v>
      </c>
      <c r="O45" s="4404">
        <v>0.38237543546207542</v>
      </c>
      <c r="P45" s="4404">
        <v>0.33108748856043096</v>
      </c>
      <c r="Q45" s="4404">
        <v>0.35398587456775088</v>
      </c>
      <c r="R45" s="4404">
        <v>0.35972259591801381</v>
      </c>
      <c r="S45" s="4404">
        <v>0.30323428600378544</v>
      </c>
      <c r="T45" s="4404">
        <v>0.31028479213423604</v>
      </c>
      <c r="U45" s="4404">
        <v>0.34193934540547777</v>
      </c>
      <c r="V45" s="4404">
        <v>0.33803494271444195</v>
      </c>
      <c r="W45" s="4404">
        <v>0.35874025369277646</v>
      </c>
      <c r="X45" s="4404">
        <v>0.39522643228248899</v>
      </c>
      <c r="Y45" s="4404">
        <v>0.37992872291407942</v>
      </c>
      <c r="Z45" s="4404">
        <v>0.38388102919579276</v>
      </c>
      <c r="AA45" s="4404">
        <v>0.36492752773778342</v>
      </c>
      <c r="AB45" s="4404">
        <v>0.3753915894976646</v>
      </c>
      <c r="AC45" s="4404">
        <v>0.36277340217249221</v>
      </c>
      <c r="AD45" s="4404">
        <v>0.35234476278596094</v>
      </c>
      <c r="AE45" s="4404">
        <v>0.31412217494954964</v>
      </c>
      <c r="AF45" s="4404">
        <v>0.31498351433597283</v>
      </c>
      <c r="AG45" s="4404">
        <v>0.2741344942480905</v>
      </c>
      <c r="AH45" s="4404">
        <v>0.28754175304370511</v>
      </c>
      <c r="AI45" s="4404">
        <v>0.25261268023934924</v>
      </c>
      <c r="AJ45" s="4404">
        <v>0.25193637902854277</v>
      </c>
      <c r="AK45" s="4412">
        <f t="shared" si="2"/>
        <v>-2.0343839664489991</v>
      </c>
      <c r="AL45" s="713"/>
    </row>
    <row r="46" spans="2:38" ht="18" customHeight="1" x14ac:dyDescent="0.25">
      <c r="B46" s="1135" t="s">
        <v>992</v>
      </c>
      <c r="C46" s="1995"/>
      <c r="D46" s="1995"/>
      <c r="E46" s="4404">
        <v>0.1475923807182756</v>
      </c>
      <c r="F46" s="4404">
        <v>0.12497535708846486</v>
      </c>
      <c r="G46" s="4404">
        <v>0.12058072969154436</v>
      </c>
      <c r="H46" s="4404">
        <v>9.9553153901180261E-2</v>
      </c>
      <c r="I46" s="4404">
        <v>0.1051989434446851</v>
      </c>
      <c r="J46" s="4404">
        <v>9.1346810080783714E-2</v>
      </c>
      <c r="K46" s="4404">
        <v>9.1387074684759165E-2</v>
      </c>
      <c r="L46" s="4404">
        <v>9.1764830801381383E-2</v>
      </c>
      <c r="M46" s="4404">
        <v>8.8989915908059394E-2</v>
      </c>
      <c r="N46" s="4404">
        <v>0.10035728239393597</v>
      </c>
      <c r="O46" s="4404">
        <v>9.6829594999993135E-2</v>
      </c>
      <c r="P46" s="4404">
        <v>8.6515803492469304E-2</v>
      </c>
      <c r="Q46" s="4404">
        <v>8.2051072951802972E-2</v>
      </c>
      <c r="R46" s="4404">
        <v>9.386952428687928E-2</v>
      </c>
      <c r="S46" s="4404">
        <v>0.10057413797884034</v>
      </c>
      <c r="T46" s="4404">
        <v>0.12089166875324349</v>
      </c>
      <c r="U46" s="4404">
        <v>0.11617100008916365</v>
      </c>
      <c r="V46" s="4404">
        <v>0.10928771560620945</v>
      </c>
      <c r="W46" s="4404">
        <v>0.11231950074338193</v>
      </c>
      <c r="X46" s="4404">
        <v>9.3216906580797843E-2</v>
      </c>
      <c r="Y46" s="4404">
        <v>9.8030806978341128E-2</v>
      </c>
      <c r="Z46" s="4404">
        <v>0.11365646211374719</v>
      </c>
      <c r="AA46" s="4404">
        <v>8.3668072865101362E-2</v>
      </c>
      <c r="AB46" s="4404">
        <v>6.0562156104684579E-2</v>
      </c>
      <c r="AC46" s="4404">
        <v>6.1507895850934045E-2</v>
      </c>
      <c r="AD46" s="4404">
        <v>6.0271916490330264E-2</v>
      </c>
      <c r="AE46" s="4404">
        <v>5.2575269293704825E-2</v>
      </c>
      <c r="AF46" s="4404">
        <v>5.4394915893134638E-2</v>
      </c>
      <c r="AG46" s="4404">
        <v>4.0960516634874954E-2</v>
      </c>
      <c r="AH46" s="4404">
        <v>3.4920054823134886E-2</v>
      </c>
      <c r="AI46" s="4404">
        <v>4.2453193771706421E-2</v>
      </c>
      <c r="AJ46" s="4404">
        <v>4.3803442220034357E-2</v>
      </c>
      <c r="AK46" s="4412">
        <f t="shared" si="2"/>
        <v>-70.321339078033859</v>
      </c>
      <c r="AL46" s="713"/>
    </row>
    <row r="47" spans="2:38" ht="18" customHeight="1" x14ac:dyDescent="0.25">
      <c r="B47" s="1135" t="s">
        <v>1527</v>
      </c>
      <c r="C47" s="1995"/>
      <c r="D47" s="1995"/>
      <c r="E47" s="4411" t="s">
        <v>2146</v>
      </c>
      <c r="F47" s="4411" t="s">
        <v>2146</v>
      </c>
      <c r="G47" s="4411" t="s">
        <v>2146</v>
      </c>
      <c r="H47" s="4411" t="s">
        <v>2146</v>
      </c>
      <c r="I47" s="4411" t="s">
        <v>2146</v>
      </c>
      <c r="J47" s="4411" t="s">
        <v>2146</v>
      </c>
      <c r="K47" s="4411" t="s">
        <v>2146</v>
      </c>
      <c r="L47" s="4411" t="s">
        <v>2146</v>
      </c>
      <c r="M47" s="4411" t="s">
        <v>2146</v>
      </c>
      <c r="N47" s="4411" t="s">
        <v>2146</v>
      </c>
      <c r="O47" s="4411" t="s">
        <v>2146</v>
      </c>
      <c r="P47" s="4411" t="s">
        <v>2146</v>
      </c>
      <c r="Q47" s="4411" t="s">
        <v>2146</v>
      </c>
      <c r="R47" s="4411" t="s">
        <v>2146</v>
      </c>
      <c r="S47" s="4411" t="s">
        <v>2146</v>
      </c>
      <c r="T47" s="4411" t="s">
        <v>2146</v>
      </c>
      <c r="U47" s="4411" t="s">
        <v>2146</v>
      </c>
      <c r="V47" s="4411" t="s">
        <v>2146</v>
      </c>
      <c r="W47" s="4411" t="s">
        <v>2146</v>
      </c>
      <c r="X47" s="4411" t="s">
        <v>2146</v>
      </c>
      <c r="Y47" s="4411" t="s">
        <v>2146</v>
      </c>
      <c r="Z47" s="4411" t="s">
        <v>2146</v>
      </c>
      <c r="AA47" s="4411" t="s">
        <v>2146</v>
      </c>
      <c r="AB47" s="4411" t="s">
        <v>2146</v>
      </c>
      <c r="AC47" s="4411" t="s">
        <v>2146</v>
      </c>
      <c r="AD47" s="4411" t="s">
        <v>2146</v>
      </c>
      <c r="AE47" s="4411" t="s">
        <v>2146</v>
      </c>
      <c r="AF47" s="4411" t="s">
        <v>2146</v>
      </c>
      <c r="AG47" s="4411" t="s">
        <v>2146</v>
      </c>
      <c r="AH47" s="4411" t="s">
        <v>2146</v>
      </c>
      <c r="AI47" s="4411" t="s">
        <v>2146</v>
      </c>
      <c r="AJ47" s="4411" t="s">
        <v>2146</v>
      </c>
      <c r="AK47" s="4412" t="str">
        <f t="shared" si="2"/>
        <v>NA</v>
      </c>
      <c r="AL47" s="713"/>
    </row>
    <row r="48" spans="2:38" ht="18" customHeight="1" x14ac:dyDescent="0.25">
      <c r="B48" s="1135" t="s">
        <v>1528</v>
      </c>
      <c r="C48" s="354"/>
      <c r="D48" s="354"/>
      <c r="E48" s="4405"/>
      <c r="F48" s="4405"/>
      <c r="G48" s="4405"/>
      <c r="H48" s="4405"/>
      <c r="I48" s="4405"/>
      <c r="J48" s="4405"/>
      <c r="K48" s="4405"/>
      <c r="L48" s="4405"/>
      <c r="M48" s="4405"/>
      <c r="N48" s="4405"/>
      <c r="O48" s="4405"/>
      <c r="P48" s="4405"/>
      <c r="Q48" s="4405"/>
      <c r="R48" s="4405"/>
      <c r="S48" s="4405"/>
      <c r="T48" s="4405"/>
      <c r="U48" s="4405"/>
      <c r="V48" s="4405"/>
      <c r="W48" s="4405"/>
      <c r="X48" s="4405"/>
      <c r="Y48" s="4405"/>
      <c r="Z48" s="4405"/>
      <c r="AA48" s="4405"/>
      <c r="AB48" s="4405"/>
      <c r="AC48" s="4405"/>
      <c r="AD48" s="4405"/>
      <c r="AE48" s="4405"/>
      <c r="AF48" s="4405"/>
      <c r="AG48" s="4405"/>
      <c r="AH48" s="4405"/>
      <c r="AI48" s="4405"/>
      <c r="AJ48" s="4405"/>
      <c r="AK48" s="4423"/>
      <c r="AL48" s="713"/>
    </row>
    <row r="49" spans="2:38" ht="18" customHeight="1" thickBot="1" x14ac:dyDescent="0.3">
      <c r="B49" s="1376" t="s">
        <v>1718</v>
      </c>
      <c r="C49" s="2013"/>
      <c r="D49" s="2013"/>
      <c r="E49" s="4424">
        <v>1.2758051428571431E-2</v>
      </c>
      <c r="F49" s="4424">
        <v>1.6037858571428573E-2</v>
      </c>
      <c r="G49" s="4424">
        <v>2.8124014285714288E-2</v>
      </c>
      <c r="H49" s="4424">
        <v>3.1757031428571433E-2</v>
      </c>
      <c r="I49" s="4424">
        <v>4.144507714285714E-2</v>
      </c>
      <c r="J49" s="4424">
        <v>3.4086092857142862E-2</v>
      </c>
      <c r="K49" s="4424">
        <v>3.6863970000000003E-2</v>
      </c>
      <c r="L49" s="4424">
        <v>3.6789610000000007E-2</v>
      </c>
      <c r="M49" s="4424">
        <v>4.3466075714285714E-2</v>
      </c>
      <c r="N49" s="4424">
        <v>5.3709165714285717E-2</v>
      </c>
      <c r="O49" s="4424">
        <v>6.4546856864285712E-2</v>
      </c>
      <c r="P49" s="4424">
        <v>7.287894001142857E-2</v>
      </c>
      <c r="Q49" s="4424">
        <v>8.0658623964285719E-2</v>
      </c>
      <c r="R49" s="4424">
        <v>7.5167661140000008E-2</v>
      </c>
      <c r="S49" s="4424">
        <v>8.3613592102857154E-2</v>
      </c>
      <c r="T49" s="4424">
        <v>7.8489282504285732E-2</v>
      </c>
      <c r="U49" s="4424">
        <v>9.4517463652857153E-2</v>
      </c>
      <c r="V49" s="4424">
        <v>0.1035869891381873</v>
      </c>
      <c r="W49" s="4424">
        <v>0.11076385584141431</v>
      </c>
      <c r="X49" s="4424">
        <v>0.12158971871405545</v>
      </c>
      <c r="Y49" s="4424">
        <v>0.12788811193341856</v>
      </c>
      <c r="Z49" s="4424">
        <v>0.13534459209928801</v>
      </c>
      <c r="AA49" s="4424">
        <v>0.15863280249112216</v>
      </c>
      <c r="AB49" s="4424">
        <v>0.15340874441137142</v>
      </c>
      <c r="AC49" s="4424">
        <v>0.15032462105272859</v>
      </c>
      <c r="AD49" s="4424">
        <v>0.17550430920471427</v>
      </c>
      <c r="AE49" s="4424">
        <v>0.19488878286428571</v>
      </c>
      <c r="AF49" s="4424">
        <v>0.18493863408428571</v>
      </c>
      <c r="AG49" s="4424">
        <v>0.21056241287714289</v>
      </c>
      <c r="AH49" s="4424">
        <v>0.19758779857142855</v>
      </c>
      <c r="AI49" s="4424">
        <v>0.22742740428571434</v>
      </c>
      <c r="AJ49" s="4424">
        <v>0.22742740428571434</v>
      </c>
      <c r="AK49" s="4419">
        <f t="shared" si="2"/>
        <v>1682.6186511240633</v>
      </c>
      <c r="AL49" s="713"/>
    </row>
    <row r="50" spans="2:38" ht="18" customHeight="1" x14ac:dyDescent="0.25">
      <c r="B50" s="766" t="s">
        <v>1500</v>
      </c>
      <c r="C50" s="1994"/>
      <c r="D50" s="1994"/>
      <c r="E50" s="4425">
        <f>SUM(E51:E55)</f>
        <v>0.59380049335514651</v>
      </c>
      <c r="F50" s="4425">
        <f t="shared" ref="F50:AJ50" si="7">SUM(F51:F55)</f>
        <v>0.61813364076428645</v>
      </c>
      <c r="G50" s="4425">
        <f t="shared" si="7"/>
        <v>0.64167034590775029</v>
      </c>
      <c r="H50" s="4425">
        <f t="shared" si="7"/>
        <v>0.66480169878840234</v>
      </c>
      <c r="I50" s="4425">
        <f t="shared" si="7"/>
        <v>0.6748602533814182</v>
      </c>
      <c r="J50" s="4425">
        <f t="shared" si="7"/>
        <v>0.68677642061202049</v>
      </c>
      <c r="K50" s="4425">
        <f t="shared" si="7"/>
        <v>0.704023228559712</v>
      </c>
      <c r="L50" s="4425">
        <f t="shared" si="7"/>
        <v>0.72880389471375728</v>
      </c>
      <c r="M50" s="4425">
        <f t="shared" si="7"/>
        <v>0.75565066334282749</v>
      </c>
      <c r="N50" s="4425">
        <f t="shared" si="7"/>
        <v>0.77667629320589471</v>
      </c>
      <c r="O50" s="4425">
        <f t="shared" si="7"/>
        <v>0.79816342621954495</v>
      </c>
      <c r="P50" s="4425">
        <f t="shared" si="7"/>
        <v>0.81989781190778277</v>
      </c>
      <c r="Q50" s="4425">
        <f t="shared" si="7"/>
        <v>0.84230124598577261</v>
      </c>
      <c r="R50" s="4425">
        <f t="shared" si="7"/>
        <v>0.86890688260120186</v>
      </c>
      <c r="S50" s="4425">
        <f t="shared" si="7"/>
        <v>0.89207302509492714</v>
      </c>
      <c r="T50" s="4425">
        <f t="shared" si="7"/>
        <v>0.91452844210611206</v>
      </c>
      <c r="U50" s="4425">
        <f t="shared" si="7"/>
        <v>0.94487305994812654</v>
      </c>
      <c r="V50" s="4425">
        <f t="shared" si="7"/>
        <v>0.97212226391401435</v>
      </c>
      <c r="W50" s="4425">
        <f t="shared" si="7"/>
        <v>1.0328899956533242</v>
      </c>
      <c r="X50" s="4425">
        <f t="shared" si="7"/>
        <v>1.2616847310806687</v>
      </c>
      <c r="Y50" s="4425">
        <f t="shared" si="7"/>
        <v>1.343791983055437</v>
      </c>
      <c r="Z50" s="4425">
        <f t="shared" si="7"/>
        <v>1.4471069682259725</v>
      </c>
      <c r="AA50" s="4425">
        <f t="shared" si="7"/>
        <v>1.2812867753564194</v>
      </c>
      <c r="AB50" s="4425">
        <f t="shared" si="7"/>
        <v>1.1808759878538786</v>
      </c>
      <c r="AC50" s="4425">
        <f t="shared" si="7"/>
        <v>1.240403827217694</v>
      </c>
      <c r="AD50" s="4425">
        <f t="shared" si="7"/>
        <v>1.287982306435683</v>
      </c>
      <c r="AE50" s="4425">
        <f t="shared" si="7"/>
        <v>1.3633861471000244</v>
      </c>
      <c r="AF50" s="4425">
        <f t="shared" si="7"/>
        <v>1.3334549536302136</v>
      </c>
      <c r="AG50" s="4425">
        <f t="shared" si="7"/>
        <v>1.3160711322537635</v>
      </c>
      <c r="AH50" s="4425">
        <f t="shared" si="7"/>
        <v>1.3393262904371759</v>
      </c>
      <c r="AI50" s="4425">
        <f t="shared" si="7"/>
        <v>1.3682815925931888</v>
      </c>
      <c r="AJ50" s="4425">
        <f t="shared" si="7"/>
        <v>1.2798477567391111</v>
      </c>
      <c r="AK50" s="4412">
        <f t="shared" si="2"/>
        <v>115.53497699329901</v>
      </c>
      <c r="AL50" s="713"/>
    </row>
    <row r="51" spans="2:38" ht="18" customHeight="1" x14ac:dyDescent="0.25">
      <c r="B51" s="1135" t="s">
        <v>1719</v>
      </c>
      <c r="C51" s="348"/>
      <c r="D51" s="348"/>
      <c r="E51" s="4421"/>
      <c r="F51" s="4421"/>
      <c r="G51" s="4422"/>
      <c r="H51" s="4422"/>
      <c r="I51" s="4422"/>
      <c r="J51" s="4422"/>
      <c r="K51" s="4422"/>
      <c r="L51" s="4422"/>
      <c r="M51" s="4422"/>
      <c r="N51" s="4422"/>
      <c r="O51" s="4422"/>
      <c r="P51" s="4422"/>
      <c r="Q51" s="4422"/>
      <c r="R51" s="4422"/>
      <c r="S51" s="4422"/>
      <c r="T51" s="4422"/>
      <c r="U51" s="4422"/>
      <c r="V51" s="4422"/>
      <c r="W51" s="4422"/>
      <c r="X51" s="4422"/>
      <c r="Y51" s="4422"/>
      <c r="Z51" s="4422"/>
      <c r="AA51" s="4422"/>
      <c r="AB51" s="4422"/>
      <c r="AC51" s="4422"/>
      <c r="AD51" s="4422"/>
      <c r="AE51" s="4422"/>
      <c r="AF51" s="4422"/>
      <c r="AG51" s="4422"/>
      <c r="AH51" s="4422"/>
      <c r="AI51" s="4422"/>
      <c r="AJ51" s="4422"/>
      <c r="AK51" s="4423"/>
      <c r="AL51" s="713"/>
    </row>
    <row r="52" spans="2:38" ht="18" customHeight="1" x14ac:dyDescent="0.25">
      <c r="B52" s="1135" t="s">
        <v>1531</v>
      </c>
      <c r="C52" s="1995"/>
      <c r="D52" s="1995"/>
      <c r="E52" s="4404">
        <v>4.4834209662719324E-2</v>
      </c>
      <c r="F52" s="4404">
        <v>6.1837012751870701E-2</v>
      </c>
      <c r="G52" s="4404">
        <v>7.8839815841023009E-2</v>
      </c>
      <c r="H52" s="4404">
        <v>9.5842618930175344E-2</v>
      </c>
      <c r="I52" s="4404">
        <v>0.11284542201932737</v>
      </c>
      <c r="J52" s="4404">
        <v>0.12984822510847871</v>
      </c>
      <c r="K52" s="4404">
        <v>0.14685102819763104</v>
      </c>
      <c r="L52" s="4404">
        <v>0.16385383128678341</v>
      </c>
      <c r="M52" s="4404">
        <v>0.18085663437593569</v>
      </c>
      <c r="N52" s="4404">
        <v>0.19785943746508797</v>
      </c>
      <c r="O52" s="4404">
        <v>0.21486224055423941</v>
      </c>
      <c r="P52" s="4404">
        <v>0.23186504364339167</v>
      </c>
      <c r="Q52" s="4404">
        <v>0.24886784673254408</v>
      </c>
      <c r="R52" s="4404">
        <v>0.26587064982169634</v>
      </c>
      <c r="S52" s="4404">
        <v>0.28287345291084803</v>
      </c>
      <c r="T52" s="4404">
        <v>0.29987625600000001</v>
      </c>
      <c r="U52" s="4404">
        <v>0.32291011199999997</v>
      </c>
      <c r="V52" s="4404">
        <v>0.34093142400000004</v>
      </c>
      <c r="W52" s="4404">
        <v>0.36703022400000013</v>
      </c>
      <c r="X52" s="4404">
        <v>0.38502451296000006</v>
      </c>
      <c r="Y52" s="4404">
        <v>0.43550678496</v>
      </c>
      <c r="Z52" s="4404">
        <v>0.50594630496000004</v>
      </c>
      <c r="AA52" s="4404">
        <v>0.51473875392000001</v>
      </c>
      <c r="AB52" s="4404">
        <v>0.52355088383999993</v>
      </c>
      <c r="AC52" s="4404">
        <v>0.5313267100800001</v>
      </c>
      <c r="AD52" s="4404">
        <v>0.5387696822400001</v>
      </c>
      <c r="AE52" s="4404">
        <v>0.55267241211228502</v>
      </c>
      <c r="AF52" s="4404">
        <v>0.56139967209225794</v>
      </c>
      <c r="AG52" s="4404">
        <v>0.57042224205820513</v>
      </c>
      <c r="AH52" s="4404">
        <v>0.57469981740377529</v>
      </c>
      <c r="AI52" s="4404">
        <v>0.58209129263598636</v>
      </c>
      <c r="AJ52" s="4404">
        <v>0.58397051121672516</v>
      </c>
      <c r="AK52" s="4412">
        <f t="shared" si="2"/>
        <v>1202.5109968701202</v>
      </c>
      <c r="AL52" s="713"/>
    </row>
    <row r="53" spans="2:38" ht="18" customHeight="1" x14ac:dyDescent="0.25">
      <c r="B53" s="1135" t="s">
        <v>1532</v>
      </c>
      <c r="C53" s="1995"/>
      <c r="D53" s="1995"/>
      <c r="E53" s="4404">
        <v>3.7979999999999993E-2</v>
      </c>
      <c r="F53" s="4404">
        <v>3.7979999999999993E-2</v>
      </c>
      <c r="G53" s="4404">
        <v>3.7979999999999993E-2</v>
      </c>
      <c r="H53" s="4404">
        <v>3.7979999999999993E-2</v>
      </c>
      <c r="I53" s="4404">
        <v>3.7979999999999993E-2</v>
      </c>
      <c r="J53" s="4404">
        <v>3.7979999999999993E-2</v>
      </c>
      <c r="K53" s="4404">
        <v>2.4749999999999998E-2</v>
      </c>
      <c r="L53" s="4404" t="s">
        <v>2146</v>
      </c>
      <c r="M53" s="4404" t="s">
        <v>2146</v>
      </c>
      <c r="N53" s="4404" t="s">
        <v>2146</v>
      </c>
      <c r="O53" s="4404" t="s">
        <v>2146</v>
      </c>
      <c r="P53" s="4404" t="s">
        <v>2146</v>
      </c>
      <c r="Q53" s="4404" t="s">
        <v>2146</v>
      </c>
      <c r="R53" s="4404" t="s">
        <v>2146</v>
      </c>
      <c r="S53" s="4404" t="s">
        <v>2146</v>
      </c>
      <c r="T53" s="4404" t="s">
        <v>2146</v>
      </c>
      <c r="U53" s="4404" t="s">
        <v>2146</v>
      </c>
      <c r="V53" s="4404" t="s">
        <v>2146</v>
      </c>
      <c r="W53" s="4404" t="s">
        <v>2146</v>
      </c>
      <c r="X53" s="4404" t="s">
        <v>2146</v>
      </c>
      <c r="Y53" s="4404" t="s">
        <v>2146</v>
      </c>
      <c r="Z53" s="4404" t="s">
        <v>2146</v>
      </c>
      <c r="AA53" s="4404" t="s">
        <v>2146</v>
      </c>
      <c r="AB53" s="4404" t="s">
        <v>2146</v>
      </c>
      <c r="AC53" s="4404" t="s">
        <v>2146</v>
      </c>
      <c r="AD53" s="4404" t="s">
        <v>2146</v>
      </c>
      <c r="AE53" s="4404" t="s">
        <v>2146</v>
      </c>
      <c r="AF53" s="4404" t="s">
        <v>2146</v>
      </c>
      <c r="AG53" s="4404" t="s">
        <v>2146</v>
      </c>
      <c r="AH53" s="4404" t="s">
        <v>2146</v>
      </c>
      <c r="AI53" s="4404" t="s">
        <v>2146</v>
      </c>
      <c r="AJ53" s="4404" t="s">
        <v>2146</v>
      </c>
      <c r="AK53" s="4412">
        <f t="shared" si="2"/>
        <v>-100</v>
      </c>
      <c r="AL53" s="713"/>
    </row>
    <row r="54" spans="2:38" ht="18" customHeight="1" x14ac:dyDescent="0.25">
      <c r="B54" s="1135" t="s">
        <v>1502</v>
      </c>
      <c r="C54" s="1995"/>
      <c r="D54" s="1995"/>
      <c r="E54" s="4404">
        <v>0.51098628369242716</v>
      </c>
      <c r="F54" s="4404">
        <v>0.51831662801241574</v>
      </c>
      <c r="G54" s="4404">
        <v>0.52485053006672733</v>
      </c>
      <c r="H54" s="4404">
        <v>0.53097907985822701</v>
      </c>
      <c r="I54" s="4404">
        <v>0.52403483136209084</v>
      </c>
      <c r="J54" s="4404">
        <v>0.51894819550354176</v>
      </c>
      <c r="K54" s="4404">
        <v>0.53242220036208099</v>
      </c>
      <c r="L54" s="4404">
        <v>0.56495006342697385</v>
      </c>
      <c r="M54" s="4404">
        <v>0.5747940289668918</v>
      </c>
      <c r="N54" s="4404">
        <v>0.57881685574080677</v>
      </c>
      <c r="O54" s="4404">
        <v>0.58330118566530553</v>
      </c>
      <c r="P54" s="4404">
        <v>0.5880327682643911</v>
      </c>
      <c r="Q54" s="4404">
        <v>0.59343339925322847</v>
      </c>
      <c r="R54" s="4404">
        <v>0.60303623277950558</v>
      </c>
      <c r="S54" s="4404">
        <v>0.60919957218407905</v>
      </c>
      <c r="T54" s="4404">
        <v>0.61465218610611205</v>
      </c>
      <c r="U54" s="4404">
        <v>0.62196294794812657</v>
      </c>
      <c r="V54" s="4404">
        <v>0.63119083991401437</v>
      </c>
      <c r="W54" s="4404">
        <v>0.665859771653324</v>
      </c>
      <c r="X54" s="4404">
        <v>0.87666021812066863</v>
      </c>
      <c r="Y54" s="4404">
        <v>0.90828519809543695</v>
      </c>
      <c r="Z54" s="4404">
        <v>0.94116066326597247</v>
      </c>
      <c r="AA54" s="4404">
        <v>0.76654802143641942</v>
      </c>
      <c r="AB54" s="4404">
        <v>0.65732510401387878</v>
      </c>
      <c r="AC54" s="4404">
        <v>0.70907711713769395</v>
      </c>
      <c r="AD54" s="4404">
        <v>0.7492126241956828</v>
      </c>
      <c r="AE54" s="4404">
        <v>0.81071373498773935</v>
      </c>
      <c r="AF54" s="4404">
        <v>0.77205528153795566</v>
      </c>
      <c r="AG54" s="4404">
        <v>0.74564889019555824</v>
      </c>
      <c r="AH54" s="4404">
        <v>0.76462647303340059</v>
      </c>
      <c r="AI54" s="4404">
        <v>0.78619029995720235</v>
      </c>
      <c r="AJ54" s="4404">
        <v>0.69587724552238606</v>
      </c>
      <c r="AK54" s="4412">
        <f t="shared" si="2"/>
        <v>36.18315554263458</v>
      </c>
      <c r="AL54" s="713"/>
    </row>
    <row r="55" spans="2:38" ht="18" customHeight="1" thickBot="1" x14ac:dyDescent="0.3">
      <c r="B55" s="1417" t="s">
        <v>1720</v>
      </c>
      <c r="C55" s="2229"/>
      <c r="D55" s="2229"/>
      <c r="E55" s="4426" t="s">
        <v>2146</v>
      </c>
      <c r="F55" s="4426" t="s">
        <v>2146</v>
      </c>
      <c r="G55" s="4426" t="s">
        <v>2146</v>
      </c>
      <c r="H55" s="4426" t="s">
        <v>2146</v>
      </c>
      <c r="I55" s="4426" t="s">
        <v>2146</v>
      </c>
      <c r="J55" s="4426" t="s">
        <v>2146</v>
      </c>
      <c r="K55" s="4426" t="s">
        <v>2146</v>
      </c>
      <c r="L55" s="4426" t="s">
        <v>2146</v>
      </c>
      <c r="M55" s="4426" t="s">
        <v>2146</v>
      </c>
      <c r="N55" s="4426" t="s">
        <v>2146</v>
      </c>
      <c r="O55" s="4426" t="s">
        <v>2146</v>
      </c>
      <c r="P55" s="4426" t="s">
        <v>2146</v>
      </c>
      <c r="Q55" s="4426" t="s">
        <v>2146</v>
      </c>
      <c r="R55" s="4426" t="s">
        <v>2146</v>
      </c>
      <c r="S55" s="4426" t="s">
        <v>2146</v>
      </c>
      <c r="T55" s="4426" t="s">
        <v>2146</v>
      </c>
      <c r="U55" s="4426" t="s">
        <v>2146</v>
      </c>
      <c r="V55" s="4426" t="s">
        <v>2146</v>
      </c>
      <c r="W55" s="4426" t="s">
        <v>2146</v>
      </c>
      <c r="X55" s="4426" t="s">
        <v>2146</v>
      </c>
      <c r="Y55" s="4426" t="s">
        <v>2146</v>
      </c>
      <c r="Z55" s="4426" t="s">
        <v>2146</v>
      </c>
      <c r="AA55" s="4426" t="s">
        <v>2146</v>
      </c>
      <c r="AB55" s="4426" t="s">
        <v>2146</v>
      </c>
      <c r="AC55" s="4426" t="s">
        <v>2146</v>
      </c>
      <c r="AD55" s="4426" t="s">
        <v>2146</v>
      </c>
      <c r="AE55" s="4426" t="s">
        <v>2146</v>
      </c>
      <c r="AF55" s="4426" t="s">
        <v>2146</v>
      </c>
      <c r="AG55" s="4426" t="s">
        <v>2146</v>
      </c>
      <c r="AH55" s="4426" t="s">
        <v>2146</v>
      </c>
      <c r="AI55" s="4426" t="s">
        <v>2146</v>
      </c>
      <c r="AJ55" s="4426" t="s">
        <v>2146</v>
      </c>
      <c r="AK55" s="4427" t="str">
        <f t="shared" si="2"/>
        <v>NA</v>
      </c>
      <c r="AL55" s="713"/>
    </row>
    <row r="56" spans="2:38" ht="18" customHeight="1" thickBot="1" x14ac:dyDescent="0.3">
      <c r="B56" s="1446" t="s">
        <v>2069</v>
      </c>
      <c r="C56" s="2000"/>
      <c r="D56" s="2000"/>
      <c r="E56" s="4428" t="s">
        <v>2146</v>
      </c>
      <c r="F56" s="4428" t="s">
        <v>2146</v>
      </c>
      <c r="G56" s="4428" t="s">
        <v>2146</v>
      </c>
      <c r="H56" s="4428" t="s">
        <v>2146</v>
      </c>
      <c r="I56" s="4428" t="s">
        <v>2146</v>
      </c>
      <c r="J56" s="4428" t="s">
        <v>2146</v>
      </c>
      <c r="K56" s="4428" t="s">
        <v>2146</v>
      </c>
      <c r="L56" s="4428" t="s">
        <v>2146</v>
      </c>
      <c r="M56" s="4428" t="s">
        <v>2146</v>
      </c>
      <c r="N56" s="4428" t="s">
        <v>2146</v>
      </c>
      <c r="O56" s="4428" t="s">
        <v>2146</v>
      </c>
      <c r="P56" s="4428" t="s">
        <v>2146</v>
      </c>
      <c r="Q56" s="4428" t="s">
        <v>2146</v>
      </c>
      <c r="R56" s="4428" t="s">
        <v>2146</v>
      </c>
      <c r="S56" s="4428" t="s">
        <v>2146</v>
      </c>
      <c r="T56" s="4428" t="s">
        <v>2146</v>
      </c>
      <c r="U56" s="4428" t="s">
        <v>2146</v>
      </c>
      <c r="V56" s="4428" t="s">
        <v>2146</v>
      </c>
      <c r="W56" s="4428" t="s">
        <v>2146</v>
      </c>
      <c r="X56" s="4428" t="s">
        <v>2146</v>
      </c>
      <c r="Y56" s="4428" t="s">
        <v>2146</v>
      </c>
      <c r="Z56" s="4428" t="s">
        <v>2146</v>
      </c>
      <c r="AA56" s="4428" t="s">
        <v>2146</v>
      </c>
      <c r="AB56" s="4428" t="s">
        <v>2146</v>
      </c>
      <c r="AC56" s="4428" t="s">
        <v>2146</v>
      </c>
      <c r="AD56" s="4428" t="s">
        <v>2146</v>
      </c>
      <c r="AE56" s="4428" t="s">
        <v>2146</v>
      </c>
      <c r="AF56" s="4428" t="s">
        <v>2146</v>
      </c>
      <c r="AG56" s="4428" t="s">
        <v>2146</v>
      </c>
      <c r="AH56" s="4428" t="s">
        <v>2146</v>
      </c>
      <c r="AI56" s="4428" t="s">
        <v>2146</v>
      </c>
      <c r="AJ56" s="4428" t="s">
        <v>2146</v>
      </c>
      <c r="AK56" s="4429" t="str">
        <f t="shared" si="2"/>
        <v>NA</v>
      </c>
      <c r="AL56" s="713"/>
    </row>
    <row r="57" spans="2:38" ht="18" customHeight="1" thickBot="1" x14ac:dyDescent="0.3">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3">
      <c r="B58" s="776" t="s">
        <v>2135</v>
      </c>
      <c r="C58" s="777"/>
      <c r="D58" s="778"/>
      <c r="E58" s="4401">
        <f>SUM(E10,E21,E30,E50,E56)</f>
        <v>53.519027264905304</v>
      </c>
      <c r="F58" s="4401">
        <f t="shared" ref="F58:AJ58" si="8">SUM(F10,F21,F30,F50,F56)</f>
        <v>52.168731083515084</v>
      </c>
      <c r="G58" s="4401">
        <f t="shared" si="8"/>
        <v>51.590930518468774</v>
      </c>
      <c r="H58" s="4401">
        <f t="shared" si="8"/>
        <v>53.12692962764293</v>
      </c>
      <c r="I58" s="4401">
        <f t="shared" si="8"/>
        <v>54.549711688866985</v>
      </c>
      <c r="J58" s="4401">
        <f t="shared" si="8"/>
        <v>51.764887199407944</v>
      </c>
      <c r="K58" s="4401">
        <f t="shared" si="8"/>
        <v>55.992211045686901</v>
      </c>
      <c r="L58" s="4401">
        <f t="shared" si="8"/>
        <v>58.616388580598489</v>
      </c>
      <c r="M58" s="4401">
        <f t="shared" si="8"/>
        <v>58.794423960701188</v>
      </c>
      <c r="N58" s="4401">
        <f t="shared" si="8"/>
        <v>60.386141030021037</v>
      </c>
      <c r="O58" s="4401">
        <f t="shared" si="8"/>
        <v>63.53843758943313</v>
      </c>
      <c r="P58" s="4401">
        <f t="shared" si="8"/>
        <v>64.589925956612305</v>
      </c>
      <c r="Q58" s="4401">
        <f t="shared" si="8"/>
        <v>66.284589214901587</v>
      </c>
      <c r="R58" s="4401">
        <f t="shared" si="8"/>
        <v>62.410966399965282</v>
      </c>
      <c r="S58" s="4401">
        <f t="shared" si="8"/>
        <v>68.048806122382828</v>
      </c>
      <c r="T58" s="4401">
        <f t="shared" si="8"/>
        <v>68.278921255933014</v>
      </c>
      <c r="U58" s="4401">
        <f t="shared" si="8"/>
        <v>67.958052570745423</v>
      </c>
      <c r="V58" s="4401">
        <f t="shared" si="8"/>
        <v>62.592530904764772</v>
      </c>
      <c r="W58" s="4401">
        <f t="shared" si="8"/>
        <v>63.660390164629618</v>
      </c>
      <c r="X58" s="4401">
        <f t="shared" si="8"/>
        <v>65.156434680529202</v>
      </c>
      <c r="Y58" s="4401">
        <f t="shared" si="8"/>
        <v>64.713926221836772</v>
      </c>
      <c r="Z58" s="4401">
        <f t="shared" si="8"/>
        <v>67.2802622617276</v>
      </c>
      <c r="AA58" s="4401">
        <f t="shared" si="8"/>
        <v>68.065456055346871</v>
      </c>
      <c r="AB58" s="4401">
        <f t="shared" si="8"/>
        <v>64.07543935723443</v>
      </c>
      <c r="AC58" s="4401">
        <f t="shared" si="8"/>
        <v>65.358096205854977</v>
      </c>
      <c r="AD58" s="4401">
        <f t="shared" si="8"/>
        <v>63.234387452972413</v>
      </c>
      <c r="AE58" s="4401">
        <f t="shared" si="8"/>
        <v>63.148885818654087</v>
      </c>
      <c r="AF58" s="4401">
        <f t="shared" si="8"/>
        <v>68.817642364717841</v>
      </c>
      <c r="AG58" s="4401">
        <f t="shared" si="8"/>
        <v>64.942211117353935</v>
      </c>
      <c r="AH58" s="4401">
        <f t="shared" si="8"/>
        <v>63.123208016147693</v>
      </c>
      <c r="AI58" s="4401">
        <f t="shared" si="8"/>
        <v>61.412499109134018</v>
      </c>
      <c r="AJ58" s="4401">
        <f t="shared" si="8"/>
        <v>68.151402179541435</v>
      </c>
      <c r="AK58" s="4429">
        <f>IF(AJ58="NO",IF(E58="NO","NA",-100),IF(E58="NO",100,AJ58/E58*100-100))</f>
        <v>27.340509838136001</v>
      </c>
      <c r="AL58" s="713"/>
    </row>
    <row r="59" spans="2:38" ht="18" customHeight="1" thickBot="1" x14ac:dyDescent="0.3">
      <c r="B59" s="779" t="s">
        <v>2136</v>
      </c>
      <c r="C59" s="777"/>
      <c r="D59" s="778"/>
      <c r="E59" s="4401">
        <f>SUM(E58,E41)</f>
        <v>69.67786882590768</v>
      </c>
      <c r="F59" s="4401">
        <f t="shared" ref="F59:AJ59" si="9">SUM(F58,F41)</f>
        <v>67.503863677258565</v>
      </c>
      <c r="G59" s="4401">
        <f t="shared" si="9"/>
        <v>65.656661491862238</v>
      </c>
      <c r="H59" s="4401">
        <f t="shared" si="9"/>
        <v>66.628271331573629</v>
      </c>
      <c r="I59" s="4401">
        <f t="shared" si="9"/>
        <v>68.187818012129696</v>
      </c>
      <c r="J59" s="4401">
        <f t="shared" si="9"/>
        <v>65.372688299703469</v>
      </c>
      <c r="K59" s="4401">
        <f t="shared" si="9"/>
        <v>70.709995335765001</v>
      </c>
      <c r="L59" s="4401">
        <f t="shared" si="9"/>
        <v>73.043824193521374</v>
      </c>
      <c r="M59" s="4401">
        <f t="shared" si="9"/>
        <v>73.223451729963315</v>
      </c>
      <c r="N59" s="4401">
        <f t="shared" si="9"/>
        <v>76.485826251313043</v>
      </c>
      <c r="O59" s="4401">
        <f t="shared" si="9"/>
        <v>80.643595495038085</v>
      </c>
      <c r="P59" s="4401">
        <f t="shared" si="9"/>
        <v>81.192568430709684</v>
      </c>
      <c r="Q59" s="4401">
        <f t="shared" si="9"/>
        <v>83.052862258513969</v>
      </c>
      <c r="R59" s="4401">
        <f t="shared" si="9"/>
        <v>80.284173276141303</v>
      </c>
      <c r="S59" s="4401">
        <f t="shared" si="9"/>
        <v>83.770385570585432</v>
      </c>
      <c r="T59" s="4401">
        <f t="shared" si="9"/>
        <v>84.811051875826792</v>
      </c>
      <c r="U59" s="4401">
        <f t="shared" si="9"/>
        <v>85.247437556961572</v>
      </c>
      <c r="V59" s="4401">
        <f t="shared" si="9"/>
        <v>80.415681336648674</v>
      </c>
      <c r="W59" s="4401">
        <f t="shared" si="9"/>
        <v>81.09990776379658</v>
      </c>
      <c r="X59" s="4401">
        <f t="shared" si="9"/>
        <v>83.177047620113342</v>
      </c>
      <c r="Y59" s="4401">
        <f t="shared" si="9"/>
        <v>83.655006663444567</v>
      </c>
      <c r="Z59" s="4401">
        <f t="shared" si="9"/>
        <v>86.736299801937278</v>
      </c>
      <c r="AA59" s="4401">
        <f t="shared" si="9"/>
        <v>86.603891047803344</v>
      </c>
      <c r="AB59" s="4401">
        <f t="shared" si="9"/>
        <v>81.569942925070052</v>
      </c>
      <c r="AC59" s="4401">
        <f t="shared" si="9"/>
        <v>82.746824552509707</v>
      </c>
      <c r="AD59" s="4401">
        <f t="shared" si="9"/>
        <v>79.206730171504091</v>
      </c>
      <c r="AE59" s="4401">
        <f t="shared" si="9"/>
        <v>77.693201585576276</v>
      </c>
      <c r="AF59" s="4401">
        <f t="shared" si="9"/>
        <v>83.33324110310798</v>
      </c>
      <c r="AG59" s="4401">
        <f t="shared" si="9"/>
        <v>77.912878576947051</v>
      </c>
      <c r="AH59" s="4401">
        <f t="shared" si="9"/>
        <v>75.452721799978221</v>
      </c>
      <c r="AI59" s="4401">
        <f t="shared" si="9"/>
        <v>73.691200861823859</v>
      </c>
      <c r="AJ59" s="4401">
        <f t="shared" si="9"/>
        <v>79.827211722286435</v>
      </c>
      <c r="AK59" s="4429">
        <f>IF(AJ59="NO",IF(E59="NO","NA",-100),IF(E59="NO",100,AJ59/E59*100-100))</f>
        <v>14.56609260213915</v>
      </c>
      <c r="AL59" s="713"/>
    </row>
    <row r="60" spans="2:38" ht="18" customHeight="1" thickBot="1" x14ac:dyDescent="0.3">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5">
      <c r="B61" s="4106" t="s">
        <v>1721</v>
      </c>
      <c r="C61" s="2001"/>
      <c r="D61" s="2001"/>
      <c r="E61" s="4430"/>
      <c r="F61" s="4430"/>
      <c r="G61" s="4431"/>
      <c r="H61" s="4431"/>
      <c r="I61" s="4431"/>
      <c r="J61" s="4431"/>
      <c r="K61" s="4431"/>
      <c r="L61" s="4431"/>
      <c r="M61" s="4431"/>
      <c r="N61" s="4431"/>
      <c r="O61" s="4431"/>
      <c r="P61" s="4431"/>
      <c r="Q61" s="4431"/>
      <c r="R61" s="4431"/>
      <c r="S61" s="4431"/>
      <c r="T61" s="4431"/>
      <c r="U61" s="4431"/>
      <c r="V61" s="4431"/>
      <c r="W61" s="4431"/>
      <c r="X61" s="4431"/>
      <c r="Y61" s="4431"/>
      <c r="Z61" s="4431"/>
      <c r="AA61" s="4431"/>
      <c r="AB61" s="4431"/>
      <c r="AC61" s="4431"/>
      <c r="AD61" s="4431"/>
      <c r="AE61" s="4431"/>
      <c r="AF61" s="4431"/>
      <c r="AG61" s="4431"/>
      <c r="AH61" s="4431"/>
      <c r="AI61" s="4431"/>
      <c r="AJ61" s="4431"/>
      <c r="AK61" s="4432"/>
      <c r="AL61" s="713"/>
    </row>
    <row r="62" spans="2:38" ht="18" customHeight="1" x14ac:dyDescent="0.25">
      <c r="B62" s="1379" t="s">
        <v>110</v>
      </c>
      <c r="C62" s="1995"/>
      <c r="D62" s="1995"/>
      <c r="E62" s="4433">
        <f>SUM(E63:E64)</f>
        <v>7.9993873321929823E-2</v>
      </c>
      <c r="F62" s="4433">
        <f t="shared" ref="F62:AJ62" si="10">SUM(F63:F64)</f>
        <v>7.5386837384210537E-2</v>
      </c>
      <c r="G62" s="4433">
        <f t="shared" si="10"/>
        <v>7.4823900764035098E-2</v>
      </c>
      <c r="H62" s="4433">
        <f t="shared" si="10"/>
        <v>7.7065468544736837E-2</v>
      </c>
      <c r="I62" s="4433">
        <f t="shared" si="10"/>
        <v>8.4259927376315782E-2</v>
      </c>
      <c r="J62" s="4433">
        <f t="shared" si="10"/>
        <v>0.10483241108070175</v>
      </c>
      <c r="K62" s="4433">
        <f t="shared" si="10"/>
        <v>0.10822132526929826</v>
      </c>
      <c r="L62" s="4433">
        <f t="shared" si="10"/>
        <v>0.10435733409736841</v>
      </c>
      <c r="M62" s="4433">
        <f t="shared" si="10"/>
        <v>9.8623807064912292E-2</v>
      </c>
      <c r="N62" s="4433">
        <f t="shared" si="10"/>
        <v>0.10482924900263157</v>
      </c>
      <c r="O62" s="4433">
        <f t="shared" si="10"/>
        <v>0.11416261503947368</v>
      </c>
      <c r="P62" s="4433">
        <f t="shared" si="10"/>
        <v>0.11170550690175438</v>
      </c>
      <c r="Q62" s="4433">
        <f t="shared" si="10"/>
        <v>0.11388578527807017</v>
      </c>
      <c r="R62" s="4433">
        <f t="shared" si="10"/>
        <v>0.10956300561842106</v>
      </c>
      <c r="S62" s="4433">
        <f t="shared" si="10"/>
        <v>0.11546407625175439</v>
      </c>
      <c r="T62" s="4433">
        <f t="shared" si="10"/>
        <v>0.11666685336666668</v>
      </c>
      <c r="U62" s="4433">
        <f t="shared" si="10"/>
        <v>0.13091541353421052</v>
      </c>
      <c r="V62" s="4433">
        <f t="shared" si="10"/>
        <v>0.11710566363157895</v>
      </c>
      <c r="W62" s="4433">
        <f t="shared" si="10"/>
        <v>0.12750554307554179</v>
      </c>
      <c r="X62" s="4433">
        <f t="shared" si="10"/>
        <v>0.12281481179620027</v>
      </c>
      <c r="Y62" s="4433">
        <f t="shared" si="10"/>
        <v>0.1090583331049037</v>
      </c>
      <c r="Z62" s="4433">
        <f t="shared" si="10"/>
        <v>0.10260023191578947</v>
      </c>
      <c r="AA62" s="4433">
        <f t="shared" si="10"/>
        <v>0.1202110280188005</v>
      </c>
      <c r="AB62" s="4433">
        <f t="shared" si="10"/>
        <v>0.10893505670364748</v>
      </c>
      <c r="AC62" s="4433">
        <f t="shared" si="10"/>
        <v>0.12093147292210527</v>
      </c>
      <c r="AD62" s="4433">
        <f t="shared" si="10"/>
        <v>0.1212933742847451</v>
      </c>
      <c r="AE62" s="4433">
        <f t="shared" si="10"/>
        <v>0.12818696232617033</v>
      </c>
      <c r="AF62" s="4433">
        <f t="shared" si="10"/>
        <v>0.13925237956650846</v>
      </c>
      <c r="AG62" s="4433">
        <f t="shared" si="10"/>
        <v>0.13996125113980071</v>
      </c>
      <c r="AH62" s="4433">
        <f t="shared" si="10"/>
        <v>0.13952455375856082</v>
      </c>
      <c r="AI62" s="4433">
        <f t="shared" si="10"/>
        <v>0.1159477610636668</v>
      </c>
      <c r="AJ62" s="4433">
        <f t="shared" si="10"/>
        <v>5.6441583296916689E-2</v>
      </c>
      <c r="AK62" s="4434">
        <f t="shared" ref="AK62:AK64" si="11">IF(AJ62="NO",IF(E62="NO","NA",-100),IF(E62="NO",100,AJ62/E62*100-100))</f>
        <v>-29.442617349241942</v>
      </c>
      <c r="AL62" s="713"/>
    </row>
    <row r="63" spans="2:38" ht="18" customHeight="1" x14ac:dyDescent="0.25">
      <c r="B63" s="1371" t="s">
        <v>111</v>
      </c>
      <c r="C63" s="1995"/>
      <c r="D63" s="1995"/>
      <c r="E63" s="4404">
        <v>2.2973873321929825E-2</v>
      </c>
      <c r="F63" s="4404">
        <v>2.3926837384210527E-2</v>
      </c>
      <c r="G63" s="4404">
        <v>2.5223900764035089E-2</v>
      </c>
      <c r="H63" s="4404">
        <v>2.7525468544736843E-2</v>
      </c>
      <c r="I63" s="4404">
        <v>2.8459927376315787E-2</v>
      </c>
      <c r="J63" s="4404">
        <v>3.0652411080701755E-2</v>
      </c>
      <c r="K63" s="4404">
        <v>3.3001325269298241E-2</v>
      </c>
      <c r="L63" s="4404">
        <v>3.4517334097368416E-2</v>
      </c>
      <c r="M63" s="4404">
        <v>3.7203807064912282E-2</v>
      </c>
      <c r="N63" s="4404">
        <v>3.7129249002631572E-2</v>
      </c>
      <c r="O63" s="4404">
        <v>3.7662615039473685E-2</v>
      </c>
      <c r="P63" s="4404">
        <v>3.9805506901754384E-2</v>
      </c>
      <c r="Q63" s="4404">
        <v>3.5285785278070171E-2</v>
      </c>
      <c r="R63" s="4404">
        <v>3.2875005618421049E-2</v>
      </c>
      <c r="S63" s="4404">
        <v>3.8324076251754387E-2</v>
      </c>
      <c r="T63" s="4404">
        <v>4.3926853366666671E-2</v>
      </c>
      <c r="U63" s="4404">
        <v>4.4115413534210515E-2</v>
      </c>
      <c r="V63" s="4404">
        <v>4.6999998831578953E-2</v>
      </c>
      <c r="W63" s="4404">
        <v>4.7364638275541791E-2</v>
      </c>
      <c r="X63" s="4404">
        <v>4.8814811796200265E-2</v>
      </c>
      <c r="Y63" s="4404">
        <v>5.1998333104903711E-2</v>
      </c>
      <c r="Z63" s="4404">
        <v>5.1800231915789467E-2</v>
      </c>
      <c r="AA63" s="4404">
        <v>5.3561028018800499E-2</v>
      </c>
      <c r="AB63" s="4404">
        <v>5.5965056703647487E-2</v>
      </c>
      <c r="AC63" s="4404">
        <v>6.0041472922105266E-2</v>
      </c>
      <c r="AD63" s="4404">
        <v>6.0033438284745083E-2</v>
      </c>
      <c r="AE63" s="4404">
        <v>6.3199603112108274E-2</v>
      </c>
      <c r="AF63" s="4404">
        <v>6.9306428085066527E-2</v>
      </c>
      <c r="AG63" s="4404">
        <v>7.160068123659262E-2</v>
      </c>
      <c r="AH63" s="4404">
        <v>7.4446569758560815E-2</v>
      </c>
      <c r="AI63" s="4404">
        <v>5.7589741863666853E-2</v>
      </c>
      <c r="AJ63" s="4404">
        <v>1.8097156496916712E-2</v>
      </c>
      <c r="AK63" s="4434">
        <f t="shared" si="11"/>
        <v>-21.227229543213411</v>
      </c>
      <c r="AL63" s="713"/>
    </row>
    <row r="64" spans="2:38" ht="18" customHeight="1" x14ac:dyDescent="0.25">
      <c r="B64" s="1380" t="s">
        <v>1503</v>
      </c>
      <c r="C64" s="1995"/>
      <c r="D64" s="1995"/>
      <c r="E64" s="4404">
        <v>5.7020000000000001E-2</v>
      </c>
      <c r="F64" s="4404">
        <v>5.1460000000000006E-2</v>
      </c>
      <c r="G64" s="4404">
        <v>4.9600000000000005E-2</v>
      </c>
      <c r="H64" s="4404">
        <v>4.9540000000000001E-2</v>
      </c>
      <c r="I64" s="4404">
        <v>5.5799999999999995E-2</v>
      </c>
      <c r="J64" s="4404">
        <v>7.4179999999999996E-2</v>
      </c>
      <c r="K64" s="4404">
        <v>7.5220000000000009E-2</v>
      </c>
      <c r="L64" s="4404">
        <v>6.9839999999999999E-2</v>
      </c>
      <c r="M64" s="4404">
        <v>6.1420000000000009E-2</v>
      </c>
      <c r="N64" s="4404">
        <v>6.7699999999999996E-2</v>
      </c>
      <c r="O64" s="4404">
        <v>7.6499999999999999E-2</v>
      </c>
      <c r="P64" s="4404">
        <v>7.1899999999999992E-2</v>
      </c>
      <c r="Q64" s="4404">
        <v>7.8600000000000003E-2</v>
      </c>
      <c r="R64" s="4404">
        <v>7.6688000000000006E-2</v>
      </c>
      <c r="S64" s="4404">
        <v>7.714E-2</v>
      </c>
      <c r="T64" s="4404">
        <v>7.2740000000000013E-2</v>
      </c>
      <c r="U64" s="4404">
        <v>8.6800000000000002E-2</v>
      </c>
      <c r="V64" s="4404">
        <v>7.0105664800000009E-2</v>
      </c>
      <c r="W64" s="4404">
        <v>8.0140904799999996E-2</v>
      </c>
      <c r="X64" s="4404">
        <v>7.3999999999999996E-2</v>
      </c>
      <c r="Y64" s="4404">
        <v>5.706E-2</v>
      </c>
      <c r="Z64" s="4404">
        <v>5.0800000000000005E-2</v>
      </c>
      <c r="AA64" s="4404">
        <v>6.6650000000000001E-2</v>
      </c>
      <c r="AB64" s="4404">
        <v>5.2969999999999996E-2</v>
      </c>
      <c r="AC64" s="4404">
        <v>6.0890000000000007E-2</v>
      </c>
      <c r="AD64" s="4404">
        <v>6.1259936000000022E-2</v>
      </c>
      <c r="AE64" s="4404">
        <v>6.4987359214062054E-2</v>
      </c>
      <c r="AF64" s="4404">
        <v>6.9945951481441934E-2</v>
      </c>
      <c r="AG64" s="4404">
        <v>6.8360569903208088E-2</v>
      </c>
      <c r="AH64" s="4404">
        <v>6.5077984000000005E-2</v>
      </c>
      <c r="AI64" s="4404">
        <v>5.8358019199999958E-2</v>
      </c>
      <c r="AJ64" s="4404">
        <v>3.8344426799999977E-2</v>
      </c>
      <c r="AK64" s="4434">
        <f t="shared" si="11"/>
        <v>-32.752671343388329</v>
      </c>
      <c r="AL64" s="713"/>
    </row>
    <row r="65" spans="2:38" ht="18" customHeight="1" x14ac:dyDescent="0.25">
      <c r="B65" s="1381" t="s">
        <v>113</v>
      </c>
      <c r="C65" s="1995"/>
      <c r="D65" s="1995"/>
      <c r="E65" s="4435" t="s">
        <v>2154</v>
      </c>
      <c r="F65" s="4435" t="s">
        <v>2154</v>
      </c>
      <c r="G65" s="4435" t="s">
        <v>2154</v>
      </c>
      <c r="H65" s="4435" t="s">
        <v>2154</v>
      </c>
      <c r="I65" s="4435" t="s">
        <v>2154</v>
      </c>
      <c r="J65" s="4435" t="s">
        <v>2154</v>
      </c>
      <c r="K65" s="4435" t="s">
        <v>2154</v>
      </c>
      <c r="L65" s="4435" t="s">
        <v>2154</v>
      </c>
      <c r="M65" s="4435" t="s">
        <v>2154</v>
      </c>
      <c r="N65" s="4435" t="s">
        <v>2154</v>
      </c>
      <c r="O65" s="4435" t="s">
        <v>2154</v>
      </c>
      <c r="P65" s="4435" t="s">
        <v>2154</v>
      </c>
      <c r="Q65" s="4435" t="s">
        <v>2154</v>
      </c>
      <c r="R65" s="4435" t="s">
        <v>2154</v>
      </c>
      <c r="S65" s="4435" t="s">
        <v>2154</v>
      </c>
      <c r="T65" s="4435" t="s">
        <v>2154</v>
      </c>
      <c r="U65" s="4435" t="s">
        <v>2154</v>
      </c>
      <c r="V65" s="4435" t="s">
        <v>2154</v>
      </c>
      <c r="W65" s="4435" t="s">
        <v>2154</v>
      </c>
      <c r="X65" s="4435" t="s">
        <v>2154</v>
      </c>
      <c r="Y65" s="4435" t="s">
        <v>2154</v>
      </c>
      <c r="Z65" s="4435" t="s">
        <v>2154</v>
      </c>
      <c r="AA65" s="4435" t="s">
        <v>2154</v>
      </c>
      <c r="AB65" s="4435" t="s">
        <v>2154</v>
      </c>
      <c r="AC65" s="4435" t="s">
        <v>2154</v>
      </c>
      <c r="AD65" s="4435" t="s">
        <v>2154</v>
      </c>
      <c r="AE65" s="4435" t="s">
        <v>2154</v>
      </c>
      <c r="AF65" s="4435" t="s">
        <v>2154</v>
      </c>
      <c r="AG65" s="4435" t="s">
        <v>2154</v>
      </c>
      <c r="AH65" s="4435" t="s">
        <v>2154</v>
      </c>
      <c r="AI65" s="4435" t="s">
        <v>2154</v>
      </c>
      <c r="AJ65" s="4435" t="s">
        <v>2154</v>
      </c>
      <c r="AK65" s="4434" t="s">
        <v>2147</v>
      </c>
      <c r="AL65" s="713"/>
    </row>
    <row r="66" spans="2:38" ht="18" customHeight="1" x14ac:dyDescent="0.25">
      <c r="B66" s="1379" t="s">
        <v>114</v>
      </c>
      <c r="C66" s="348"/>
      <c r="D66" s="348"/>
      <c r="E66" s="4421"/>
      <c r="F66" s="4421"/>
      <c r="G66" s="4422"/>
      <c r="H66" s="4422"/>
      <c r="I66" s="4422"/>
      <c r="J66" s="4422"/>
      <c r="K66" s="4422"/>
      <c r="L66" s="4422"/>
      <c r="M66" s="4422"/>
      <c r="N66" s="4422"/>
      <c r="O66" s="4422"/>
      <c r="P66" s="4422"/>
      <c r="Q66" s="4422"/>
      <c r="R66" s="4422"/>
      <c r="S66" s="4422"/>
      <c r="T66" s="4422"/>
      <c r="U66" s="4422"/>
      <c r="V66" s="4422"/>
      <c r="W66" s="4422"/>
      <c r="X66" s="4422"/>
      <c r="Y66" s="4422"/>
      <c r="Z66" s="4422"/>
      <c r="AA66" s="4422"/>
      <c r="AB66" s="4422"/>
      <c r="AC66" s="4422"/>
      <c r="AD66" s="4422"/>
      <c r="AE66" s="4422"/>
      <c r="AF66" s="4422"/>
      <c r="AG66" s="4422"/>
      <c r="AH66" s="4422"/>
      <c r="AI66" s="4422"/>
      <c r="AJ66" s="4422"/>
      <c r="AK66" s="4423"/>
      <c r="AL66" s="713"/>
    </row>
    <row r="67" spans="2:38" ht="18" customHeight="1" x14ac:dyDescent="0.25">
      <c r="B67" s="1383" t="s">
        <v>1504</v>
      </c>
      <c r="C67" s="348"/>
      <c r="D67" s="348"/>
      <c r="E67" s="4421"/>
      <c r="F67" s="4421"/>
      <c r="G67" s="4422"/>
      <c r="H67" s="4422"/>
      <c r="I67" s="4422"/>
      <c r="J67" s="4422"/>
      <c r="K67" s="4422"/>
      <c r="L67" s="4422"/>
      <c r="M67" s="4422"/>
      <c r="N67" s="4422"/>
      <c r="O67" s="4422"/>
      <c r="P67" s="4422"/>
      <c r="Q67" s="4422"/>
      <c r="R67" s="4422"/>
      <c r="S67" s="4422"/>
      <c r="T67" s="4422"/>
      <c r="U67" s="4422"/>
      <c r="V67" s="4422"/>
      <c r="W67" s="4422"/>
      <c r="X67" s="4422"/>
      <c r="Y67" s="4422"/>
      <c r="Z67" s="4422"/>
      <c r="AA67" s="4422"/>
      <c r="AB67" s="4422"/>
      <c r="AC67" s="4422"/>
      <c r="AD67" s="4422"/>
      <c r="AE67" s="4422"/>
      <c r="AF67" s="4422"/>
      <c r="AG67" s="4422"/>
      <c r="AH67" s="4422"/>
      <c r="AI67" s="4422"/>
      <c r="AJ67" s="4422"/>
      <c r="AK67" s="4423"/>
      <c r="AL67" s="713"/>
    </row>
    <row r="68" spans="2:38" ht="18" customHeight="1" x14ac:dyDescent="0.25">
      <c r="B68" s="1384" t="s">
        <v>1505</v>
      </c>
      <c r="C68" s="354"/>
      <c r="D68" s="354"/>
      <c r="E68" s="4405"/>
      <c r="F68" s="4405"/>
      <c r="G68" s="4406"/>
      <c r="H68" s="4406"/>
      <c r="I68" s="4406"/>
      <c r="J68" s="4406"/>
      <c r="K68" s="4406"/>
      <c r="L68" s="4406"/>
      <c r="M68" s="4406"/>
      <c r="N68" s="4406"/>
      <c r="O68" s="4406"/>
      <c r="P68" s="4406"/>
      <c r="Q68" s="4406"/>
      <c r="R68" s="4406"/>
      <c r="S68" s="4406"/>
      <c r="T68" s="4406"/>
      <c r="U68" s="4406"/>
      <c r="V68" s="4406"/>
      <c r="W68" s="4406"/>
      <c r="X68" s="4406"/>
      <c r="Y68" s="4406"/>
      <c r="Z68" s="4406"/>
      <c r="AA68" s="4406"/>
      <c r="AB68" s="4406"/>
      <c r="AC68" s="4406"/>
      <c r="AD68" s="4406"/>
      <c r="AE68" s="4406"/>
      <c r="AF68" s="4406"/>
      <c r="AG68" s="4406"/>
      <c r="AH68" s="4406"/>
      <c r="AI68" s="4406"/>
      <c r="AJ68" s="4406"/>
      <c r="AK68" s="4407"/>
      <c r="AL68" s="19"/>
    </row>
    <row r="69" spans="2:38" ht="18" customHeight="1" thickBot="1" x14ac:dyDescent="0.3">
      <c r="B69" s="768" t="s">
        <v>1536</v>
      </c>
      <c r="C69" s="2013"/>
      <c r="D69" s="2013"/>
      <c r="E69" s="4424" t="s">
        <v>2313</v>
      </c>
      <c r="F69" s="4424" t="s">
        <v>2313</v>
      </c>
      <c r="G69" s="4424" t="s">
        <v>2313</v>
      </c>
      <c r="H69" s="4424" t="s">
        <v>2313</v>
      </c>
      <c r="I69" s="4424" t="s">
        <v>2313</v>
      </c>
      <c r="J69" s="4424" t="s">
        <v>2313</v>
      </c>
      <c r="K69" s="4424" t="s">
        <v>2313</v>
      </c>
      <c r="L69" s="4424" t="s">
        <v>2313</v>
      </c>
      <c r="M69" s="4424" t="s">
        <v>2313</v>
      </c>
      <c r="N69" s="4424" t="s">
        <v>2313</v>
      </c>
      <c r="O69" s="4424" t="s">
        <v>2313</v>
      </c>
      <c r="P69" s="4424" t="s">
        <v>2313</v>
      </c>
      <c r="Q69" s="4424" t="s">
        <v>2313</v>
      </c>
      <c r="R69" s="4424" t="s">
        <v>2313</v>
      </c>
      <c r="S69" s="4424" t="s">
        <v>2313</v>
      </c>
      <c r="T69" s="4424" t="s">
        <v>2313</v>
      </c>
      <c r="U69" s="4424" t="s">
        <v>2313</v>
      </c>
      <c r="V69" s="4424" t="s">
        <v>2313</v>
      </c>
      <c r="W69" s="4424" t="s">
        <v>2313</v>
      </c>
      <c r="X69" s="4424" t="s">
        <v>2313</v>
      </c>
      <c r="Y69" s="4424" t="s">
        <v>2313</v>
      </c>
      <c r="Z69" s="4424" t="s">
        <v>2313</v>
      </c>
      <c r="AA69" s="4424" t="s">
        <v>2313</v>
      </c>
      <c r="AB69" s="4424" t="s">
        <v>2313</v>
      </c>
      <c r="AC69" s="4424" t="s">
        <v>2313</v>
      </c>
      <c r="AD69" s="4424" t="s">
        <v>2313</v>
      </c>
      <c r="AE69" s="4424" t="s">
        <v>2313</v>
      </c>
      <c r="AF69" s="4424" t="s">
        <v>2313</v>
      </c>
      <c r="AG69" s="4424" t="s">
        <v>2313</v>
      </c>
      <c r="AH69" s="4424" t="s">
        <v>2313</v>
      </c>
      <c r="AI69" s="4424" t="s">
        <v>2313</v>
      </c>
      <c r="AJ69" s="4424" t="s">
        <v>2313</v>
      </c>
      <c r="AK69" s="4436" t="s">
        <v>2147</v>
      </c>
    </row>
    <row r="70" spans="2:38" ht="18" customHeight="1" thickBot="1" x14ac:dyDescent="0.3">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3">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3.2" x14ac:dyDescent="0.25">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3.2" x14ac:dyDescent="0.25">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3.2" x14ac:dyDescent="0.25"/>
    <row r="75" spans="2:38" ht="13.2" x14ac:dyDescent="0.25"/>
    <row r="76" spans="2:38" ht="13.2" x14ac:dyDescent="0.25"/>
    <row r="77" spans="2:38" ht="13.2" x14ac:dyDescent="0.25"/>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09375" defaultRowHeight="12" customHeight="1" x14ac:dyDescent="0.25"/>
  <cols>
    <col min="1" max="1" width="1.88671875" customWidth="1"/>
    <col min="2" max="2" width="47.88671875" customWidth="1"/>
    <col min="3" max="3" width="23.5546875" customWidth="1"/>
    <col min="4" max="4" width="13.44140625" customWidth="1"/>
    <col min="5" max="5" width="15.109375" customWidth="1"/>
    <col min="6" max="6" width="13.88671875" customWidth="1"/>
    <col min="7" max="7" width="14" customWidth="1"/>
    <col min="8" max="10" width="15.109375" customWidth="1"/>
    <col min="11" max="11" width="10.88671875" customWidth="1"/>
    <col min="12" max="12" width="13.109375" bestFit="1" customWidth="1"/>
  </cols>
  <sheetData>
    <row r="1" spans="2:11" ht="16.350000000000001" customHeight="1" x14ac:dyDescent="0.3">
      <c r="B1" s="987" t="s">
        <v>147</v>
      </c>
      <c r="C1" s="987"/>
      <c r="J1" s="14" t="s">
        <v>2521</v>
      </c>
    </row>
    <row r="2" spans="2:11" ht="16.350000000000001" customHeight="1" x14ac:dyDescent="0.3">
      <c r="B2" s="1022" t="s">
        <v>120</v>
      </c>
      <c r="J2" s="14" t="s">
        <v>2522</v>
      </c>
    </row>
    <row r="3" spans="2:11" ht="16.350000000000001" customHeight="1" x14ac:dyDescent="0.3">
      <c r="B3" s="1022" t="s">
        <v>172</v>
      </c>
      <c r="I3" s="226"/>
      <c r="J3" s="14" t="s">
        <v>2144</v>
      </c>
    </row>
    <row r="4" spans="2:11" ht="12" customHeight="1" x14ac:dyDescent="0.3">
      <c r="B4" s="1022"/>
      <c r="I4" s="226"/>
      <c r="J4" s="226"/>
    </row>
    <row r="5" spans="2:11" ht="12" customHeight="1" x14ac:dyDescent="0.3">
      <c r="B5" s="1022"/>
      <c r="I5" s="226"/>
      <c r="J5" s="226"/>
    </row>
    <row r="6" spans="2:11" ht="12" customHeight="1" thickBot="1" x14ac:dyDescent="0.3">
      <c r="B6" s="2449" t="s">
        <v>64</v>
      </c>
      <c r="C6" s="1011"/>
      <c r="J6" s="1011"/>
    </row>
    <row r="7" spans="2:11" ht="12" customHeight="1" x14ac:dyDescent="0.25">
      <c r="B7" s="292" t="s">
        <v>65</v>
      </c>
      <c r="C7" s="177" t="s">
        <v>122</v>
      </c>
      <c r="D7" s="179"/>
      <c r="E7" s="177" t="s">
        <v>123</v>
      </c>
      <c r="F7" s="178"/>
      <c r="G7" s="179"/>
      <c r="H7" s="177" t="s">
        <v>124</v>
      </c>
      <c r="I7" s="178"/>
      <c r="J7" s="203"/>
      <c r="K7" s="1840"/>
    </row>
    <row r="8" spans="2:11" ht="14.4" x14ac:dyDescent="0.25">
      <c r="B8" s="1841"/>
      <c r="C8" s="1842" t="s">
        <v>125</v>
      </c>
      <c r="D8" s="1843"/>
      <c r="E8" s="1721" t="s">
        <v>149</v>
      </c>
      <c r="F8" s="1721" t="s">
        <v>67</v>
      </c>
      <c r="G8" s="1859" t="s">
        <v>68</v>
      </c>
      <c r="H8" s="1859" t="s">
        <v>2009</v>
      </c>
      <c r="I8" s="1721" t="s">
        <v>67</v>
      </c>
      <c r="J8" s="1839" t="s">
        <v>68</v>
      </c>
    </row>
    <row r="9" spans="2:11" ht="15" thickBot="1" x14ac:dyDescent="0.3">
      <c r="B9" s="1845"/>
      <c r="C9" s="1846" t="s">
        <v>127</v>
      </c>
      <c r="D9" s="1747" t="s">
        <v>173</v>
      </c>
      <c r="E9" s="1747" t="s">
        <v>129</v>
      </c>
      <c r="F9" s="1748" t="s">
        <v>130</v>
      </c>
      <c r="G9" s="1772"/>
      <c r="H9" s="1748" t="s">
        <v>73</v>
      </c>
      <c r="I9" s="344"/>
      <c r="J9" s="345"/>
    </row>
    <row r="10" spans="2:11" ht="18" customHeight="1" thickTop="1" x14ac:dyDescent="0.25">
      <c r="B10" s="1240" t="s">
        <v>174</v>
      </c>
      <c r="C10" s="1913">
        <f>IF(SUM(C11:C15)=0,"NO",SUM(C11:C15))</f>
        <v>879521.34272078215</v>
      </c>
      <c r="D10" s="1913" t="s">
        <v>1814</v>
      </c>
      <c r="E10" s="628"/>
      <c r="F10" s="628"/>
      <c r="G10" s="628"/>
      <c r="H10" s="1847">
        <f>IF(SUM(H11:H14)=0,"NO",SUM(H11:H14))</f>
        <v>59818.856268073672</v>
      </c>
      <c r="I10" s="1847">
        <f>IF(SUM(I11:I15)=0,"NO",SUM(I11:I15))</f>
        <v>26.345084452755309</v>
      </c>
      <c r="J10" s="2192">
        <f>IF(SUM(J11:J15)=0,"NO",SUM(J11:J15))</f>
        <v>3.0681889642603748</v>
      </c>
    </row>
    <row r="11" spans="2:11" ht="18" customHeight="1" x14ac:dyDescent="0.25">
      <c r="B11" s="282" t="s">
        <v>132</v>
      </c>
      <c r="C11" s="1913">
        <f>IF(SUM(C17:C18,C21:C24,C82,C89:C92,C100)=0,"NO",SUM(C17:C18,C21:C24,C82,C89:C92,C100))</f>
        <v>870879.63293042372</v>
      </c>
      <c r="D11" s="1909" t="s">
        <v>1814</v>
      </c>
      <c r="E11" s="1913">
        <f>IFERROR(H11*1000/$C11,"NA")</f>
        <v>68.022956835998656</v>
      </c>
      <c r="F11" s="1913">
        <f t="shared" ref="F11:G15" si="0">IFERROR(I11*1000000/$C11,"NA")</f>
        <v>30.066148344141052</v>
      </c>
      <c r="G11" s="1913">
        <f t="shared" si="0"/>
        <v>3.5184643760123122</v>
      </c>
      <c r="H11" s="1913">
        <f>IF(SUM(H17:H18,H21:H24,H82,H89:H92,H100)=0,"NO",SUM(H17:H18,H21:H24,H82,H89:H92,H100))</f>
        <v>59239.807680176571</v>
      </c>
      <c r="I11" s="1913">
        <f>IF(SUM(I17:I18,I21:I24,I82,I89:I92,I100)=0,"NO",SUM(I17:I18,I21:I24,I82,I89:I92,I100))</f>
        <v>26.183996233577226</v>
      </c>
      <c r="J11" s="3085">
        <f>IF(SUM(J17:J18,J21:J24,J82,J89:J92,J100)=0,"NO",SUM(J17:J18,J21:J24,J82,J89:J92,J100))</f>
        <v>3.0641589642603746</v>
      </c>
    </row>
    <row r="12" spans="2:11" ht="18" customHeight="1" x14ac:dyDescent="0.25">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5">
      <c r="B13" s="282" t="s">
        <v>134</v>
      </c>
      <c r="C13" s="1913">
        <f>IF(SUM(C26,C84,C94,C102)=0,"NO",SUM(C26,C84,C94,C102))</f>
        <v>5140</v>
      </c>
      <c r="D13" s="1909" t="s">
        <v>1814</v>
      </c>
      <c r="E13" s="1913">
        <f t="shared" si="1"/>
        <v>51.411918339265</v>
      </c>
      <c r="F13" s="1913">
        <f t="shared" si="0"/>
        <v>9.674750812856459</v>
      </c>
      <c r="G13" s="1913">
        <f t="shared" si="0"/>
        <v>0.10700389105058365</v>
      </c>
      <c r="H13" s="1913">
        <f>IF(SUM(H26,H84,H94,H102)=0,"NO",SUM(H26,H84,H94,H102))</f>
        <v>264.2572602638221</v>
      </c>
      <c r="I13" s="1913">
        <f>IF(SUM(I26,I84,I94,I102)=0,"NO",SUM(I26,I84,I94,I102))</f>
        <v>4.9728219178082199E-2</v>
      </c>
      <c r="J13" s="3085">
        <f>IF(SUM(J26,J84,J94,J102)=0,"NO",SUM(J26,J84,J94,J102))</f>
        <v>5.5000000000000003E-4</v>
      </c>
    </row>
    <row r="14" spans="2:11" ht="18" customHeight="1" x14ac:dyDescent="0.25">
      <c r="B14" s="282" t="s">
        <v>175</v>
      </c>
      <c r="C14" s="1913">
        <f>IF(SUM(C28,C86,C96,C103)=0,"NO",SUM(C28,C86,C96,C103))</f>
        <v>3501.7097903584404</v>
      </c>
      <c r="D14" s="1909" t="s">
        <v>1814</v>
      </c>
      <c r="E14" s="1913">
        <f t="shared" si="1"/>
        <v>89.896463864600022</v>
      </c>
      <c r="F14" s="1913">
        <f t="shared" si="0"/>
        <v>31.801607405221613</v>
      </c>
      <c r="G14" s="1913">
        <f t="shared" si="0"/>
        <v>0.99380023141317542</v>
      </c>
      <c r="H14" s="1913">
        <f>IF(SUM(H28,H86,H96,H103)=0,"NO",SUM(H28,H86,H96,H103))</f>
        <v>314.79132763327368</v>
      </c>
      <c r="I14" s="1913">
        <f>IF(SUM(I28,I86,I96,I103)=0,"NO",SUM(I28,I86,I96,I103))</f>
        <v>0.11136</v>
      </c>
      <c r="J14" s="3085">
        <f>IF(SUM(J28,J86,J96,J103)=0,"NO",SUM(J28,J86,J96,J103))</f>
        <v>3.48E-3</v>
      </c>
    </row>
    <row r="15" spans="2:11" ht="18" customHeight="1" x14ac:dyDescent="0.25">
      <c r="B15" s="282" t="s">
        <v>137</v>
      </c>
      <c r="C15" s="1913" t="str">
        <f>IF(SUM(C19,C27,C85,C95,C104)=0,"NO",SUM(C19,C27,C85,C95,C104))</f>
        <v>NO</v>
      </c>
      <c r="D15" s="1913" t="s">
        <v>1814</v>
      </c>
      <c r="E15" s="1913" t="str">
        <f t="shared" si="1"/>
        <v>NA</v>
      </c>
      <c r="F15" s="1913" t="str">
        <f t="shared" si="0"/>
        <v>NA</v>
      </c>
      <c r="G15" s="1913" t="str">
        <f t="shared" si="0"/>
        <v>NA</v>
      </c>
      <c r="H15" s="1913" t="str">
        <f>IF(SUM(H19,H27,H85,H95,H104)=0,"NO",SUM(H19,H27,H85,H95,H104))</f>
        <v>NO</v>
      </c>
      <c r="I15" s="1913" t="str">
        <f>IF(SUM(I19,I27,I85,I95,I104)=0,"NO",SUM(I19,I27,I85,I95,I104))</f>
        <v>NO</v>
      </c>
      <c r="J15" s="3085" t="str">
        <f>IF(SUM(J19,J27,J85,J95,J104)=0,"NO",SUM(J19,J27,J85,J95,J104))</f>
        <v>NO</v>
      </c>
    </row>
    <row r="16" spans="2:11" ht="18" customHeight="1" x14ac:dyDescent="0.25">
      <c r="B16" s="1241" t="s">
        <v>176</v>
      </c>
      <c r="C16" s="1913">
        <f>IF(SUM(C17:C19)=0,"NO",SUM(C17:C19))</f>
        <v>37723.780823999994</v>
      </c>
      <c r="D16" s="1909" t="s">
        <v>1814</v>
      </c>
      <c r="E16" s="628"/>
      <c r="F16" s="628"/>
      <c r="G16" s="628"/>
      <c r="H16" s="1913">
        <f>IF(SUM(H17:H18)=0,"NO",SUM(H17:H18))</f>
        <v>2614.8881951356798</v>
      </c>
      <c r="I16" s="1913">
        <f>IF(SUM(I17:I19)=0,"NO",SUM(I17:I19))</f>
        <v>2.0374282795583468E-2</v>
      </c>
      <c r="J16" s="3085">
        <f>IF(SUM(J17:J19)=0,"NO",SUM(J17:J19))</f>
        <v>2.9889379936353551E-2</v>
      </c>
    </row>
    <row r="17" spans="2:10" ht="18" customHeight="1" x14ac:dyDescent="0.25">
      <c r="B17" s="282" t="s">
        <v>177</v>
      </c>
      <c r="C17" s="691">
        <v>4110.3654672000002</v>
      </c>
      <c r="D17" s="1909" t="s">
        <v>1814</v>
      </c>
      <c r="E17" s="1913">
        <f t="shared" ref="E17:E19" si="2">IFERROR(H17*1000/$C17,"NA")</f>
        <v>67</v>
      </c>
      <c r="F17" s="1913">
        <f t="shared" ref="F17:G19" si="3">IFERROR(I17*1000000/$C17,"NA")</f>
        <v>0.5</v>
      </c>
      <c r="G17" s="1913">
        <f t="shared" si="3"/>
        <v>1.9999999999999996</v>
      </c>
      <c r="H17" s="691">
        <v>275.39448630240003</v>
      </c>
      <c r="I17" s="691">
        <v>2.0551827336000002E-3</v>
      </c>
      <c r="J17" s="2911">
        <v>8.2207309343999991E-3</v>
      </c>
    </row>
    <row r="18" spans="2:10" ht="18" customHeight="1" x14ac:dyDescent="0.25">
      <c r="B18" s="282" t="s">
        <v>178</v>
      </c>
      <c r="C18" s="691">
        <v>33613.415356799997</v>
      </c>
      <c r="D18" s="1909" t="s">
        <v>1814</v>
      </c>
      <c r="E18" s="1913">
        <f t="shared" si="2"/>
        <v>69.600000000000009</v>
      </c>
      <c r="F18" s="1913">
        <f t="shared" si="3"/>
        <v>0.5449937135970776</v>
      </c>
      <c r="G18" s="1913">
        <f t="shared" si="3"/>
        <v>0.6446428835613689</v>
      </c>
      <c r="H18" s="691">
        <v>2339.4937088332799</v>
      </c>
      <c r="I18" s="691">
        <v>1.8319100061983468E-2</v>
      </c>
      <c r="J18" s="2911">
        <v>2.166864900195355E-2</v>
      </c>
    </row>
    <row r="19" spans="2:10" ht="18" customHeight="1" x14ac:dyDescent="0.25">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5">
      <c r="B20" s="1245" t="s">
        <v>180</v>
      </c>
      <c r="C20" s="1913">
        <f>IF(SUM(C21:C24,C26:C28)=0,"NO",SUM(C21:C24,C26:C28))</f>
        <v>776837.70913323038</v>
      </c>
      <c r="D20" s="1909" t="s">
        <v>1814</v>
      </c>
      <c r="E20" s="628"/>
      <c r="F20" s="628"/>
      <c r="G20" s="628"/>
      <c r="H20" s="1913">
        <f>IF(SUM(H21:H24,H26,H28)=0,"NO",SUM(H21:H24,H26,H28))</f>
        <v>52645.374669061799</v>
      </c>
      <c r="I20" s="1913">
        <f>IF(SUM(I21:I24,I26:I28)=0,"NO",SUM(I21:I24,I26:I28))</f>
        <v>22.41800579982031</v>
      </c>
      <c r="J20" s="3085">
        <f>IF(SUM(J21:J24,J26:J28)=0,"NO",SUM(J21:J24,J26:J28))</f>
        <v>2.2388821724708223</v>
      </c>
    </row>
    <row r="21" spans="2:10" ht="18" customHeight="1" x14ac:dyDescent="0.25">
      <c r="B21" s="282" t="s">
        <v>167</v>
      </c>
      <c r="C21" s="1913">
        <f>IF(SUM(C31,C41,C51,C61,C72)=0,"NO",SUM(C31,C41,C51,C61,C72))</f>
        <v>550563.23227896506</v>
      </c>
      <c r="D21" s="1909" t="s">
        <v>1814</v>
      </c>
      <c r="E21" s="1913">
        <f t="shared" ref="E21:E23" si="4">IFERROR(H21*1000/$C21,"NA")</f>
        <v>67.400000000000006</v>
      </c>
      <c r="F21" s="1913">
        <f t="shared" ref="F21:G23" si="5">IFERROR(I21*1000000/$C21,"NA")</f>
        <v>35.222541683096161</v>
      </c>
      <c r="G21" s="1913">
        <f t="shared" si="5"/>
        <v>3.465929429002168</v>
      </c>
      <c r="H21" s="1913">
        <f>IF(SUM(H31,H41,H51,H61,H72)=0,"NO",SUM(H31,H41,H51,H61,H72))</f>
        <v>37107.961855602247</v>
      </c>
      <c r="I21" s="1913">
        <f>IF(SUM(I31,I41,I51,I61,I72)=0,"NO",SUM(I31,I41,I51,I61,I72))</f>
        <v>19.392236398126002</v>
      </c>
      <c r="J21" s="3085">
        <f>IF(SUM(J31,J41,J51,J61,J72)=0,"NO",SUM(J31,J41,J51,J61,J72))</f>
        <v>1.9082133092822213</v>
      </c>
    </row>
    <row r="22" spans="2:10" ht="18" customHeight="1" x14ac:dyDescent="0.25">
      <c r="B22" s="282" t="s">
        <v>168</v>
      </c>
      <c r="C22" s="1913">
        <f t="shared" ref="C22:C29" si="6">IF(SUM(C32,C42,C52,C62,C73)=0,"NO",SUM(C32,C42,C52,C62,C73))</f>
        <v>197487.00810295448</v>
      </c>
      <c r="D22" s="1909" t="s">
        <v>1814</v>
      </c>
      <c r="E22" s="1913">
        <f t="shared" si="4"/>
        <v>69.89999999999992</v>
      </c>
      <c r="F22" s="1913">
        <f t="shared" si="5"/>
        <v>9.6998251190355287</v>
      </c>
      <c r="G22" s="1913">
        <f t="shared" si="5"/>
        <v>1.5867969968262201</v>
      </c>
      <c r="H22" s="1913">
        <f t="shared" ref="H22:J29" si="7">IF(SUM(H32,H42,H52,H62,H73)=0,"NO",SUM(H32,H42,H52,H62,H73))</f>
        <v>13804.341866396502</v>
      </c>
      <c r="I22" s="1913">
        <f t="shared" si="7"/>
        <v>1.9155894418802109</v>
      </c>
      <c r="J22" s="3085">
        <f t="shared" si="7"/>
        <v>0.31337179136996357</v>
      </c>
    </row>
    <row r="23" spans="2:10" ht="18" customHeight="1" x14ac:dyDescent="0.25">
      <c r="B23" s="282" t="s">
        <v>169</v>
      </c>
      <c r="C23" s="1913">
        <f t="shared" si="6"/>
        <v>28782.481863208206</v>
      </c>
      <c r="D23" s="1909" t="s">
        <v>1814</v>
      </c>
      <c r="E23" s="1913">
        <f t="shared" si="4"/>
        <v>60.200000000000017</v>
      </c>
      <c r="F23" s="1913">
        <f t="shared" si="5"/>
        <v>38.57137703031816</v>
      </c>
      <c r="G23" s="1913">
        <f t="shared" si="5"/>
        <v>0.60095831557694446</v>
      </c>
      <c r="H23" s="1913">
        <f t="shared" si="7"/>
        <v>1732.7054081651345</v>
      </c>
      <c r="I23" s="1913">
        <f t="shared" si="7"/>
        <v>1.110179959814098</v>
      </c>
      <c r="J23" s="3085">
        <f t="shared" si="7"/>
        <v>1.7297071818637558E-2</v>
      </c>
    </row>
    <row r="24" spans="2:10" ht="18" customHeight="1" x14ac:dyDescent="0.25">
      <c r="B24" s="282" t="s">
        <v>170</v>
      </c>
      <c r="C24" s="1913" t="str">
        <f>C25</f>
        <v>NO</v>
      </c>
      <c r="D24" s="1909" t="s">
        <v>1814</v>
      </c>
      <c r="E24" s="628"/>
      <c r="F24" s="628"/>
      <c r="G24" s="628"/>
      <c r="H24" s="1913" t="str">
        <f>H25</f>
        <v>NO</v>
      </c>
      <c r="I24" s="1913" t="str">
        <f>I25</f>
        <v>NO</v>
      </c>
      <c r="J24" s="3085" t="str">
        <f>J25</f>
        <v>NO</v>
      </c>
    </row>
    <row r="25" spans="2:10" ht="18" customHeight="1" x14ac:dyDescent="0.25">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5">
      <c r="B26" s="282" t="s">
        <v>134</v>
      </c>
      <c r="C26" s="1913" t="str">
        <f t="shared" si="6"/>
        <v>NO</v>
      </c>
      <c r="D26" s="1909" t="s">
        <v>1814</v>
      </c>
      <c r="E26" s="1913" t="str">
        <f t="shared" si="8"/>
        <v>NA</v>
      </c>
      <c r="F26" s="1913" t="str">
        <f t="shared" si="9"/>
        <v>NA</v>
      </c>
      <c r="G26" s="1913" t="str">
        <f t="shared" si="9"/>
        <v>NA</v>
      </c>
      <c r="H26" s="1913" t="str">
        <f t="shared" si="7"/>
        <v>NO</v>
      </c>
      <c r="I26" s="1913" t="str">
        <f t="shared" si="7"/>
        <v>NO</v>
      </c>
      <c r="J26" s="3085" t="str">
        <f t="shared" si="7"/>
        <v>NO</v>
      </c>
    </row>
    <row r="27" spans="2:10" ht="18" customHeight="1" x14ac:dyDescent="0.25">
      <c r="B27" s="282" t="s">
        <v>137</v>
      </c>
      <c r="C27" s="1913" t="str">
        <f t="shared" si="6"/>
        <v>NO</v>
      </c>
      <c r="D27" s="1909" t="s">
        <v>1814</v>
      </c>
      <c r="E27" s="1913" t="str">
        <f t="shared" si="8"/>
        <v>NA</v>
      </c>
      <c r="F27" s="1913" t="str">
        <f t="shared" si="9"/>
        <v>NA</v>
      </c>
      <c r="G27" s="1913" t="str">
        <f t="shared" si="9"/>
        <v>NA</v>
      </c>
      <c r="H27" s="1913" t="str">
        <f t="shared" si="7"/>
        <v>NO</v>
      </c>
      <c r="I27" s="1913" t="str">
        <f t="shared" si="7"/>
        <v>NO</v>
      </c>
      <c r="J27" s="3085" t="str">
        <f t="shared" si="7"/>
        <v>NO</v>
      </c>
    </row>
    <row r="28" spans="2:10" ht="18" customHeight="1" x14ac:dyDescent="0.25">
      <c r="B28" s="282" t="s">
        <v>181</v>
      </c>
      <c r="C28" s="1913">
        <f>C29</f>
        <v>4.9868881025974501</v>
      </c>
      <c r="D28" s="1909" t="s">
        <v>1814</v>
      </c>
      <c r="E28" s="628"/>
      <c r="F28" s="628"/>
      <c r="G28" s="628"/>
      <c r="H28" s="1913">
        <f>H29</f>
        <v>0.3655388979203929</v>
      </c>
      <c r="I28" s="1913" t="str">
        <f>I29</f>
        <v>NE</v>
      </c>
      <c r="J28" s="3085" t="str">
        <f>J29</f>
        <v>NE</v>
      </c>
    </row>
    <row r="29" spans="2:10" ht="18" customHeight="1" x14ac:dyDescent="0.25">
      <c r="B29" s="3105" t="s">
        <v>252</v>
      </c>
      <c r="C29" s="1913">
        <f t="shared" si="6"/>
        <v>4.9868881025974501</v>
      </c>
      <c r="D29" s="1909" t="s">
        <v>1814</v>
      </c>
      <c r="E29" s="3103">
        <f t="shared" ref="E29" si="10">IFERROR(H29*1000/$C29,"NA")</f>
        <v>73.299999999999969</v>
      </c>
      <c r="F29" s="3103" t="str">
        <f>IFERROR(I29*1000000/$C29,"NA")</f>
        <v>NA</v>
      </c>
      <c r="G29" s="3103" t="str">
        <f>IFERROR(J29*1000000/$C29,"NA")</f>
        <v>NA</v>
      </c>
      <c r="H29" s="1913">
        <f t="shared" si="7"/>
        <v>0.3655388979203929</v>
      </c>
      <c r="I29" s="1913" t="str">
        <f>IF(SUM(I39,I49,I59,I69,I80)=0,"NE",SUM(I39,I49,I59,I69,I80))</f>
        <v>NE</v>
      </c>
      <c r="J29" s="3085" t="str">
        <f>IF(SUM(J39,J49,J59,J69,J80)=0,"NE",SUM(J39,J49,J59,J69,J80))</f>
        <v>NE</v>
      </c>
    </row>
    <row r="30" spans="2:10" ht="18" customHeight="1" x14ac:dyDescent="0.25">
      <c r="B30" s="1242" t="s">
        <v>182</v>
      </c>
      <c r="C30" s="1913">
        <f>IF(SUM(C31:C34,C36:C38)=0,"NO",SUM(C31:C34,C36:C38))</f>
        <v>503465.84171199432</v>
      </c>
      <c r="D30" s="1909" t="s">
        <v>1814</v>
      </c>
      <c r="E30" s="628"/>
      <c r="F30" s="628"/>
      <c r="G30" s="628"/>
      <c r="H30" s="1913">
        <f>IF(SUM(H31:H34,H36,H38)=0,"NO",SUM(H31:H34,H36,H38))</f>
        <v>33817.480285449441</v>
      </c>
      <c r="I30" s="1913">
        <f>IF(SUM(I31:I34,I36:I38)=0,"NO",SUM(I31:I34,I36:I38))</f>
        <v>17.84488693144187</v>
      </c>
      <c r="J30" s="3085">
        <f>IF(SUM(J31:J34,J36:J38)=0,"NO",SUM(J31:J34,J36:J38))</f>
        <v>1.8451623756751057</v>
      </c>
    </row>
    <row r="31" spans="2:10" ht="18" customHeight="1" x14ac:dyDescent="0.25">
      <c r="B31" s="282" t="s">
        <v>167</v>
      </c>
      <c r="C31" s="691">
        <v>470264.63291804399</v>
      </c>
      <c r="D31" s="1909" t="s">
        <v>1814</v>
      </c>
      <c r="E31" s="1913">
        <f t="shared" ref="E31:E33" si="11">IFERROR(H31*1000/$C31,"NA")</f>
        <v>67.399999999999991</v>
      </c>
      <c r="F31" s="1913">
        <f t="shared" ref="F31:G33" si="12">IFERROR(I31*1000000/$C31,"NA")</f>
        <v>36.179642320547082</v>
      </c>
      <c r="G31" s="1913">
        <f t="shared" si="12"/>
        <v>3.8928041890094169</v>
      </c>
      <c r="H31" s="691">
        <v>31695.836258676165</v>
      </c>
      <c r="I31" s="691">
        <v>17.014006214978203</v>
      </c>
      <c r="J31" s="2911">
        <v>1.8306481329663375</v>
      </c>
    </row>
    <row r="32" spans="2:10" ht="18" customHeight="1" x14ac:dyDescent="0.25">
      <c r="B32" s="282" t="s">
        <v>168</v>
      </c>
      <c r="C32" s="691">
        <v>12673.325502832</v>
      </c>
      <c r="D32" s="1909" t="s">
        <v>1814</v>
      </c>
      <c r="E32" s="1913">
        <f t="shared" si="11"/>
        <v>69.899999999999977</v>
      </c>
      <c r="F32" s="1913">
        <f t="shared" si="12"/>
        <v>3.3571654040548284</v>
      </c>
      <c r="G32" s="1913">
        <f t="shared" si="12"/>
        <v>0.16745152189888463</v>
      </c>
      <c r="H32" s="691">
        <v>885.86545264795654</v>
      </c>
      <c r="I32" s="691">
        <v>4.2546449932433353E-2</v>
      </c>
      <c r="J32" s="2911">
        <v>2.1221676429691656E-3</v>
      </c>
    </row>
    <row r="33" spans="2:10" ht="18" customHeight="1" x14ac:dyDescent="0.25">
      <c r="B33" s="282" t="s">
        <v>169</v>
      </c>
      <c r="C33" s="691">
        <v>20527.883291118302</v>
      </c>
      <c r="D33" s="1909" t="s">
        <v>1814</v>
      </c>
      <c r="E33" s="1913">
        <f t="shared" si="11"/>
        <v>60.200000000000024</v>
      </c>
      <c r="F33" s="1913">
        <f t="shared" si="12"/>
        <v>38.403095699219989</v>
      </c>
      <c r="G33" s="1913">
        <f t="shared" si="12"/>
        <v>0.60367037799560119</v>
      </c>
      <c r="H33" s="691">
        <v>1235.7785741253224</v>
      </c>
      <c r="I33" s="691">
        <v>0.78833426653123517</v>
      </c>
      <c r="J33" s="2911">
        <v>1.2392075065798969E-2</v>
      </c>
    </row>
    <row r="34" spans="2:10" ht="18" customHeight="1" x14ac:dyDescent="0.25">
      <c r="B34" s="282" t="s">
        <v>170</v>
      </c>
      <c r="C34" s="1913" t="str">
        <f>C35</f>
        <v>NO</v>
      </c>
      <c r="D34" s="1909" t="s">
        <v>1814</v>
      </c>
      <c r="E34" s="628"/>
      <c r="F34" s="628"/>
      <c r="G34" s="628"/>
      <c r="H34" s="1913" t="str">
        <f>H35</f>
        <v>NO</v>
      </c>
      <c r="I34" s="1913" t="str">
        <f>I35</f>
        <v>NO</v>
      </c>
      <c r="J34" s="3085" t="str">
        <f>J35</f>
        <v>NO</v>
      </c>
    </row>
    <row r="35" spans="2:10" ht="18" customHeight="1" x14ac:dyDescent="0.25">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5">
      <c r="B36" s="282" t="s">
        <v>134</v>
      </c>
      <c r="C36" s="691" t="s">
        <v>2146</v>
      </c>
      <c r="D36" s="1909" t="s">
        <v>1814</v>
      </c>
      <c r="E36" s="1913" t="str">
        <f t="shared" si="13"/>
        <v>NA</v>
      </c>
      <c r="F36" s="1913" t="str">
        <f t="shared" si="14"/>
        <v>NA</v>
      </c>
      <c r="G36" s="1913" t="str">
        <f t="shared" si="14"/>
        <v>NA</v>
      </c>
      <c r="H36" s="691" t="s">
        <v>2146</v>
      </c>
      <c r="I36" s="691" t="s">
        <v>2146</v>
      </c>
      <c r="J36" s="2911" t="s">
        <v>2146</v>
      </c>
    </row>
    <row r="37" spans="2:10" ht="18" customHeight="1" x14ac:dyDescent="0.25">
      <c r="B37" s="282" t="s">
        <v>137</v>
      </c>
      <c r="C37" s="691" t="s">
        <v>2146</v>
      </c>
      <c r="D37" s="1909" t="s">
        <v>1814</v>
      </c>
      <c r="E37" s="1913" t="str">
        <f t="shared" si="13"/>
        <v>NA</v>
      </c>
      <c r="F37" s="1913" t="str">
        <f t="shared" si="14"/>
        <v>NA</v>
      </c>
      <c r="G37" s="1913" t="str">
        <f t="shared" si="14"/>
        <v>NA</v>
      </c>
      <c r="H37" s="691" t="s">
        <v>2146</v>
      </c>
      <c r="I37" s="691" t="s">
        <v>2146</v>
      </c>
      <c r="J37" s="2911" t="s">
        <v>2146</v>
      </c>
    </row>
    <row r="38" spans="2:10" ht="18" customHeight="1" x14ac:dyDescent="0.25">
      <c r="B38" s="282" t="s">
        <v>183</v>
      </c>
      <c r="C38" s="1913" t="str">
        <f>C39</f>
        <v>NO</v>
      </c>
      <c r="D38" s="1909" t="s">
        <v>1814</v>
      </c>
      <c r="E38" s="628"/>
      <c r="F38" s="628"/>
      <c r="G38" s="628"/>
      <c r="H38" s="1913" t="str">
        <f>H39</f>
        <v>NO</v>
      </c>
      <c r="I38" s="1913" t="str">
        <f>I39</f>
        <v>NO</v>
      </c>
      <c r="J38" s="3085" t="str">
        <f>J39</f>
        <v>NO</v>
      </c>
    </row>
    <row r="39" spans="2:10" ht="18" customHeight="1" x14ac:dyDescent="0.25">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5">
      <c r="B40" s="1242" t="s">
        <v>184</v>
      </c>
      <c r="C40" s="1913">
        <f>IF(SUM(C41:C44,C46:C48)=0,"NO",SUM(C41:C44,C46:C48))</f>
        <v>109086.85036240742</v>
      </c>
      <c r="D40" s="1909" t="s">
        <v>1814</v>
      </c>
      <c r="E40" s="628"/>
      <c r="F40" s="628"/>
      <c r="G40" s="628"/>
      <c r="H40" s="1913">
        <f>IF(SUM(H41:H44,H46,H48)=0,"NO",SUM(H41:H44,H46,H48))</f>
        <v>7366.2199175044107</v>
      </c>
      <c r="I40" s="1913">
        <f>IF(SUM(I41:I44,I46:I48)=0,"NO",SUM(I41:I44,I46:I48))</f>
        <v>3.2406806796983401</v>
      </c>
      <c r="J40" s="3085">
        <f>IF(SUM(J41:J44,J46:J48)=0,"NO",SUM(J41:J44,J46:J48))</f>
        <v>8.091450263885859E-2</v>
      </c>
    </row>
    <row r="41" spans="2:10" ht="18" customHeight="1" x14ac:dyDescent="0.25">
      <c r="B41" s="282" t="s">
        <v>167</v>
      </c>
      <c r="C41" s="691">
        <v>74020.837838446198</v>
      </c>
      <c r="D41" s="1909" t="s">
        <v>1814</v>
      </c>
      <c r="E41" s="1913">
        <f t="shared" ref="E41:E43" si="16">IFERROR(H41*1000/$C41,"NA")</f>
        <v>67.399999999999991</v>
      </c>
      <c r="F41" s="1913">
        <f t="shared" ref="F41:G43" si="17">IFERROR(I41*1000000/$C41,"NA")</f>
        <v>28.485629568680626</v>
      </c>
      <c r="G41" s="1913">
        <f t="shared" si="17"/>
        <v>0.97632298522963401</v>
      </c>
      <c r="H41" s="691">
        <v>4989.0044703112726</v>
      </c>
      <c r="I41" s="691">
        <v>2.1085301670293566</v>
      </c>
      <c r="J41" s="2911">
        <v>7.2268245367630449E-2</v>
      </c>
    </row>
    <row r="42" spans="2:10" ht="18" customHeight="1" x14ac:dyDescent="0.25">
      <c r="B42" s="282" t="s">
        <v>168</v>
      </c>
      <c r="C42" s="691">
        <v>27447.5766237805</v>
      </c>
      <c r="D42" s="1909" t="s">
        <v>1814</v>
      </c>
      <c r="E42" s="1913">
        <f t="shared" si="16"/>
        <v>69.900000000000077</v>
      </c>
      <c r="F42" s="1913">
        <f t="shared" si="17"/>
        <v>29.95002485849686</v>
      </c>
      <c r="G42" s="1913">
        <f t="shared" si="17"/>
        <v>0.18559502559377994</v>
      </c>
      <c r="H42" s="691">
        <v>1918.5856060022591</v>
      </c>
      <c r="I42" s="691">
        <v>0.82205560218772322</v>
      </c>
      <c r="J42" s="2911">
        <v>5.0941336859777779E-3</v>
      </c>
    </row>
    <row r="43" spans="2:10" ht="18" customHeight="1" x14ac:dyDescent="0.25">
      <c r="B43" s="282" t="s">
        <v>169</v>
      </c>
      <c r="C43" s="691">
        <v>7618.4359001807197</v>
      </c>
      <c r="D43" s="1909" t="s">
        <v>1814</v>
      </c>
      <c r="E43" s="1913">
        <f t="shared" si="16"/>
        <v>60.199999999999989</v>
      </c>
      <c r="F43" s="1913">
        <f t="shared" si="17"/>
        <v>40.703224985315444</v>
      </c>
      <c r="G43" s="1913">
        <f t="shared" si="17"/>
        <v>0.46625365518480122</v>
      </c>
      <c r="H43" s="691">
        <v>458.62984119087923</v>
      </c>
      <c r="I43" s="691">
        <v>0.31009491048126003</v>
      </c>
      <c r="J43" s="2911">
        <v>3.5521235852503719E-3</v>
      </c>
    </row>
    <row r="44" spans="2:10" ht="18" customHeight="1" x14ac:dyDescent="0.25">
      <c r="B44" s="282" t="s">
        <v>170</v>
      </c>
      <c r="C44" s="1913" t="str">
        <f>C45</f>
        <v>NO</v>
      </c>
      <c r="D44" s="1909" t="s">
        <v>1814</v>
      </c>
      <c r="E44" s="628"/>
      <c r="F44" s="628"/>
      <c r="G44" s="628"/>
      <c r="H44" s="1913" t="str">
        <f>H45</f>
        <v>NO</v>
      </c>
      <c r="I44" s="1913" t="str">
        <f>I45</f>
        <v>NO</v>
      </c>
      <c r="J44" s="3085" t="str">
        <f>J45</f>
        <v>NO</v>
      </c>
    </row>
    <row r="45" spans="2:10" ht="18" customHeight="1" x14ac:dyDescent="0.25">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5">
      <c r="B46" s="282" t="s">
        <v>134</v>
      </c>
      <c r="C46" s="691" t="s">
        <v>2146</v>
      </c>
      <c r="D46" s="1909" t="s">
        <v>1814</v>
      </c>
      <c r="E46" s="1913" t="str">
        <f t="shared" si="18"/>
        <v>NA</v>
      </c>
      <c r="F46" s="1913" t="str">
        <f t="shared" si="19"/>
        <v>NA</v>
      </c>
      <c r="G46" s="1913" t="str">
        <f t="shared" si="19"/>
        <v>NA</v>
      </c>
      <c r="H46" s="691" t="s">
        <v>2146</v>
      </c>
      <c r="I46" s="691" t="s">
        <v>2146</v>
      </c>
      <c r="J46" s="2911" t="s">
        <v>2146</v>
      </c>
    </row>
    <row r="47" spans="2:10" ht="18" customHeight="1" x14ac:dyDescent="0.25">
      <c r="B47" s="282" t="s">
        <v>137</v>
      </c>
      <c r="C47" s="691" t="s">
        <v>2146</v>
      </c>
      <c r="D47" s="1909" t="s">
        <v>1814</v>
      </c>
      <c r="E47" s="1913" t="str">
        <f t="shared" si="18"/>
        <v>NA</v>
      </c>
      <c r="F47" s="1913" t="str">
        <f t="shared" si="19"/>
        <v>NA</v>
      </c>
      <c r="G47" s="1913" t="str">
        <f t="shared" si="19"/>
        <v>NA</v>
      </c>
      <c r="H47" s="691" t="s">
        <v>2146</v>
      </c>
      <c r="I47" s="691" t="s">
        <v>2146</v>
      </c>
      <c r="J47" s="2911" t="s">
        <v>2146</v>
      </c>
    </row>
    <row r="48" spans="2:10" ht="18" customHeight="1" x14ac:dyDescent="0.25">
      <c r="B48" s="282" t="s">
        <v>183</v>
      </c>
      <c r="C48" s="1913" t="str">
        <f>C49</f>
        <v>NO</v>
      </c>
      <c r="D48" s="1909" t="s">
        <v>1814</v>
      </c>
      <c r="E48" s="628"/>
      <c r="F48" s="628"/>
      <c r="G48" s="628"/>
      <c r="H48" s="1913" t="str">
        <f>H49</f>
        <v>NO</v>
      </c>
      <c r="I48" s="1913" t="str">
        <f>I49</f>
        <v>NO</v>
      </c>
      <c r="J48" s="3085" t="str">
        <f>J49</f>
        <v>NO</v>
      </c>
    </row>
    <row r="49" spans="2:10" ht="18" customHeight="1" x14ac:dyDescent="0.25">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5">
      <c r="B50" s="1242" t="s">
        <v>185</v>
      </c>
      <c r="C50" s="1913">
        <f>IF(SUM(C51:C54,C56:C58)=0,"NO",SUM(C51:C54,C56:C58))</f>
        <v>161336.22109521521</v>
      </c>
      <c r="D50" s="1909" t="s">
        <v>1814</v>
      </c>
      <c r="E50" s="628"/>
      <c r="F50" s="628"/>
      <c r="G50" s="628"/>
      <c r="H50" s="1913">
        <f>IF(SUM(H51:H54,H56,H58)=0,"NO",SUM(H51:H54,H56,H58))</f>
        <v>11262.896195520594</v>
      </c>
      <c r="I50" s="1913">
        <f>IF(SUM(I51:I54,I56:I58)=0,"NO",SUM(I51:I54,I56:I58))</f>
        <v>1.1136001664149509</v>
      </c>
      <c r="J50" s="3085">
        <f>IF(SUM(J51:J54,J56:J58)=0,"NO",SUM(J51:J54,J56:J58))</f>
        <v>0.3098874538599895</v>
      </c>
    </row>
    <row r="51" spans="2:10" ht="18" customHeight="1" x14ac:dyDescent="0.25">
      <c r="B51" s="282" t="s">
        <v>167</v>
      </c>
      <c r="C51" s="691">
        <v>3333.9524469640401</v>
      </c>
      <c r="D51" s="1909" t="s">
        <v>1814</v>
      </c>
      <c r="E51" s="1913">
        <f t="shared" ref="E51:E53" si="21">IFERROR(H51*1000/$C51,"NA")</f>
        <v>67.399999999999906</v>
      </c>
      <c r="F51" s="1913">
        <f t="shared" ref="F51:G53" si="22">IFERROR(I51*1000000/$C51,"NA")</f>
        <v>15.255764640437427</v>
      </c>
      <c r="G51" s="1913">
        <f t="shared" si="22"/>
        <v>0.71359465656181353</v>
      </c>
      <c r="H51" s="691">
        <v>224.70839492537598</v>
      </c>
      <c r="I51" s="691">
        <v>5.086199385329384E-2</v>
      </c>
      <c r="J51" s="2911">
        <v>2.3790906513847221E-3</v>
      </c>
    </row>
    <row r="52" spans="2:10" ht="18" customHeight="1" x14ac:dyDescent="0.25">
      <c r="B52" s="282" t="s">
        <v>168</v>
      </c>
      <c r="C52" s="691">
        <v>157366.10597634199</v>
      </c>
      <c r="D52" s="1909" t="s">
        <v>1814</v>
      </c>
      <c r="E52" s="1913">
        <f t="shared" si="21"/>
        <v>69.899999999999878</v>
      </c>
      <c r="F52" s="1913">
        <f t="shared" si="22"/>
        <v>6.678613436098221</v>
      </c>
      <c r="G52" s="1913">
        <f t="shared" si="22"/>
        <v>1.9454982897463524</v>
      </c>
      <c r="H52" s="691">
        <v>10999.890807746286</v>
      </c>
      <c r="I52" s="691">
        <v>1.0509873897600541</v>
      </c>
      <c r="J52" s="2911">
        <v>0.30615549004101661</v>
      </c>
    </row>
    <row r="53" spans="2:10" ht="18" customHeight="1" x14ac:dyDescent="0.25">
      <c r="B53" s="282" t="s">
        <v>169</v>
      </c>
      <c r="C53" s="691">
        <v>636.16267190918393</v>
      </c>
      <c r="D53" s="1909" t="s">
        <v>1814</v>
      </c>
      <c r="E53" s="1913">
        <f t="shared" si="21"/>
        <v>60.200000000000045</v>
      </c>
      <c r="F53" s="1913">
        <f t="shared" si="22"/>
        <v>18.471349106884137</v>
      </c>
      <c r="G53" s="1913">
        <f t="shared" si="22"/>
        <v>2.1266151368613255</v>
      </c>
      <c r="H53" s="691">
        <v>38.296992848932902</v>
      </c>
      <c r="I53" s="691">
        <v>1.175078280160273E-2</v>
      </c>
      <c r="J53" s="2911">
        <v>1.3528731675882158E-3</v>
      </c>
    </row>
    <row r="54" spans="2:10" ht="18" customHeight="1" x14ac:dyDescent="0.25">
      <c r="B54" s="282" t="s">
        <v>170</v>
      </c>
      <c r="C54" s="1913" t="str">
        <f>C55</f>
        <v>NO</v>
      </c>
      <c r="D54" s="1909" t="s">
        <v>1814</v>
      </c>
      <c r="E54" s="628"/>
      <c r="F54" s="628"/>
      <c r="G54" s="628"/>
      <c r="H54" s="1913" t="str">
        <f>H55</f>
        <v>NO</v>
      </c>
      <c r="I54" s="1913" t="str">
        <f>I55</f>
        <v>NO</v>
      </c>
      <c r="J54" s="3085" t="str">
        <f>J55</f>
        <v>NO</v>
      </c>
    </row>
    <row r="55" spans="2:10" ht="18" customHeight="1" x14ac:dyDescent="0.25">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5">
      <c r="B56" s="282" t="s">
        <v>134</v>
      </c>
      <c r="C56" s="691" t="s">
        <v>2146</v>
      </c>
      <c r="D56" s="1909" t="s">
        <v>1814</v>
      </c>
      <c r="E56" s="1913" t="str">
        <f t="shared" si="23"/>
        <v>NA</v>
      </c>
      <c r="F56" s="1913" t="str">
        <f t="shared" si="24"/>
        <v>NA</v>
      </c>
      <c r="G56" s="1913" t="str">
        <f t="shared" si="24"/>
        <v>NA</v>
      </c>
      <c r="H56" s="691" t="s">
        <v>2146</v>
      </c>
      <c r="I56" s="691" t="s">
        <v>2146</v>
      </c>
      <c r="J56" s="2911" t="s">
        <v>2146</v>
      </c>
    </row>
    <row r="57" spans="2:10" ht="18" customHeight="1" x14ac:dyDescent="0.25">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5">
      <c r="B58" s="282" t="s">
        <v>183</v>
      </c>
      <c r="C58" s="1913" t="str">
        <f>C59</f>
        <v>NO</v>
      </c>
      <c r="D58" s="1909" t="s">
        <v>1814</v>
      </c>
      <c r="E58" s="628"/>
      <c r="F58" s="628"/>
      <c r="G58" s="628"/>
      <c r="H58" s="1913" t="str">
        <f>H59</f>
        <v>NO</v>
      </c>
      <c r="I58" s="1913" t="str">
        <f>I59</f>
        <v>NO</v>
      </c>
      <c r="J58" s="3085" t="str">
        <f>J59</f>
        <v>NO</v>
      </c>
    </row>
    <row r="59" spans="2:10" ht="18" customHeight="1" x14ac:dyDescent="0.25">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5">
      <c r="B60" s="1242" t="s">
        <v>186</v>
      </c>
      <c r="C60" s="1913">
        <f>IF(SUM(C61:C64,C66:C68)=0,"NO",SUM(C61:C64,C66:C68))</f>
        <v>2948.7959636133974</v>
      </c>
      <c r="D60" s="1909" t="s">
        <v>1814</v>
      </c>
      <c r="E60" s="628"/>
      <c r="F60" s="628"/>
      <c r="G60" s="628"/>
      <c r="H60" s="1913">
        <f>IF(SUM(H61:H64,H66,H68)=0,"NO",SUM(H61:H64,H66,H68))</f>
        <v>198.77827058734815</v>
      </c>
      <c r="I60" s="1913">
        <f>IF(SUM(I61:I64,I66:I68)=0,"NO",SUM(I61:I64,I66:I68))</f>
        <v>0.21883802226514992</v>
      </c>
      <c r="J60" s="3085">
        <f>IF(SUM(J61:J64,J66:J68)=0,"NO",SUM(J61:J64,J66:J68))</f>
        <v>2.9178402968686656E-3</v>
      </c>
    </row>
    <row r="61" spans="2:10" ht="18" customHeight="1" x14ac:dyDescent="0.25">
      <c r="B61" s="282" t="s">
        <v>167</v>
      </c>
      <c r="C61" s="691">
        <v>2943.8090755108001</v>
      </c>
      <c r="D61" s="1909" t="s">
        <v>1814</v>
      </c>
      <c r="E61" s="1913">
        <f t="shared" ref="E61:E63" si="26">IFERROR(H61*1000/$C61,"NA")</f>
        <v>67.399999999999935</v>
      </c>
      <c r="F61" s="1913">
        <f t="shared" ref="F61:G63" si="27">IFERROR(I61*1000000/$C61,"NA")</f>
        <v>74.338388343740618</v>
      </c>
      <c r="G61" s="1913">
        <f t="shared" si="27"/>
        <v>0.99117851124987499</v>
      </c>
      <c r="H61" s="691">
        <v>198.41273168942774</v>
      </c>
      <c r="I61" s="691">
        <v>0.21883802226514992</v>
      </c>
      <c r="J61" s="2911">
        <v>2.9178402968686656E-3</v>
      </c>
    </row>
    <row r="62" spans="2:10" ht="18" customHeight="1" x14ac:dyDescent="0.25">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5">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5">
      <c r="B64" s="282" t="s">
        <v>170</v>
      </c>
      <c r="C64" s="1913" t="str">
        <f>C65</f>
        <v>NO</v>
      </c>
      <c r="D64" s="1909" t="s">
        <v>1814</v>
      </c>
      <c r="E64" s="628"/>
      <c r="F64" s="628"/>
      <c r="G64" s="628"/>
      <c r="H64" s="1913" t="str">
        <f>H65</f>
        <v>NO</v>
      </c>
      <c r="I64" s="1913" t="str">
        <f>I65</f>
        <v>NO</v>
      </c>
      <c r="J64" s="3085" t="str">
        <f>J65</f>
        <v>NO</v>
      </c>
    </row>
    <row r="65" spans="2:10" ht="18" customHeight="1" x14ac:dyDescent="0.25">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5">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5">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5">
      <c r="B68" s="282" t="s">
        <v>183</v>
      </c>
      <c r="C68" s="1913">
        <f>C69</f>
        <v>4.9868881025974501</v>
      </c>
      <c r="D68" s="1909" t="s">
        <v>1814</v>
      </c>
      <c r="E68" s="628"/>
      <c r="F68" s="628"/>
      <c r="G68" s="628"/>
      <c r="H68" s="1913">
        <f>H69</f>
        <v>0.3655388979203929</v>
      </c>
      <c r="I68" s="1913" t="str">
        <f>I69</f>
        <v>NE</v>
      </c>
      <c r="J68" s="3085" t="str">
        <f>J69</f>
        <v>NE</v>
      </c>
    </row>
    <row r="69" spans="2:10" ht="18" customHeight="1" x14ac:dyDescent="0.25">
      <c r="B69" s="3105" t="s">
        <v>252</v>
      </c>
      <c r="C69" s="691">
        <v>4.9868881025974501</v>
      </c>
      <c r="D69" s="1909" t="s">
        <v>1814</v>
      </c>
      <c r="E69" s="3103">
        <f t="shared" ref="E69" si="30">IFERROR(H69*1000/$C69,"NA")</f>
        <v>73.299999999999969</v>
      </c>
      <c r="F69" s="3103" t="str">
        <f>IFERROR(I69*1000000/$C69,"NA")</f>
        <v>NA</v>
      </c>
      <c r="G69" s="3103" t="str">
        <f>IFERROR(J69*1000000/$C69,"NA")</f>
        <v>NA</v>
      </c>
      <c r="H69" s="691">
        <v>0.3655388979203929</v>
      </c>
      <c r="I69" s="691" t="s">
        <v>2154</v>
      </c>
      <c r="J69" s="2911" t="s">
        <v>2154</v>
      </c>
    </row>
    <row r="70" spans="2:10" ht="18" customHeight="1" x14ac:dyDescent="0.25">
      <c r="B70" s="1242" t="s">
        <v>187</v>
      </c>
      <c r="C70" s="1913" t="str">
        <f>C71</f>
        <v>NO</v>
      </c>
      <c r="D70" s="1909" t="s">
        <v>1814</v>
      </c>
      <c r="E70" s="628"/>
      <c r="F70" s="628"/>
      <c r="G70" s="628"/>
      <c r="H70" s="1913" t="str">
        <f>H71</f>
        <v>NO</v>
      </c>
      <c r="I70" s="1913" t="str">
        <f>I71</f>
        <v>NO</v>
      </c>
      <c r="J70" s="3085" t="str">
        <f>J71</f>
        <v>NO</v>
      </c>
    </row>
    <row r="71" spans="2:10" ht="18" customHeight="1" x14ac:dyDescent="0.25">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5">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5">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5">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5">
      <c r="B75" s="282" t="s">
        <v>170</v>
      </c>
      <c r="C75" s="1913" t="str">
        <f>C76</f>
        <v>NO</v>
      </c>
      <c r="D75" s="1909" t="s">
        <v>1814</v>
      </c>
      <c r="E75" s="628"/>
      <c r="F75" s="628"/>
      <c r="G75" s="628"/>
      <c r="H75" s="1913" t="str">
        <f>H76</f>
        <v>NO</v>
      </c>
      <c r="I75" s="1913" t="str">
        <f>I76</f>
        <v>NO</v>
      </c>
      <c r="J75" s="3085" t="str">
        <f>J76</f>
        <v>NO</v>
      </c>
    </row>
    <row r="76" spans="2:10" ht="18" customHeight="1" x14ac:dyDescent="0.25">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5">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5">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5">
      <c r="B79" s="282" t="s">
        <v>183</v>
      </c>
      <c r="C79" s="1913" t="str">
        <f>C80</f>
        <v>NO</v>
      </c>
      <c r="D79" s="1909" t="s">
        <v>1814</v>
      </c>
      <c r="E79" s="628"/>
      <c r="F79" s="628"/>
      <c r="G79" s="628"/>
      <c r="H79" s="1913" t="str">
        <f>H80</f>
        <v>NO</v>
      </c>
      <c r="I79" s="1913" t="str">
        <f>I80</f>
        <v>NO</v>
      </c>
      <c r="J79" s="3085" t="str">
        <f>J80</f>
        <v>NO</v>
      </c>
    </row>
    <row r="80" spans="2:10" ht="18" customHeight="1" x14ac:dyDescent="0.25">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5">
      <c r="B81" s="1241" t="s">
        <v>188</v>
      </c>
      <c r="C81" s="1913">
        <f>IF(SUM(C82:C86)=0,"NO",SUM(C82:C86))</f>
        <v>24800</v>
      </c>
      <c r="D81" s="1909" t="s">
        <v>1814</v>
      </c>
      <c r="E81" s="628"/>
      <c r="F81" s="628"/>
      <c r="G81" s="628"/>
      <c r="H81" s="1913">
        <f>IF(SUM(H82:H84,H86)=0,"NO",SUM(H82:H84,H86))</f>
        <v>1733.5200000000002</v>
      </c>
      <c r="I81" s="1913">
        <f>IF(SUM(I82:I86)=0,"NO",SUM(I82:I86))</f>
        <v>9.9199999999999997E-2</v>
      </c>
      <c r="J81" s="3085">
        <f>IF(SUM(J82:J86)=0,"NO",SUM(J82:J86))</f>
        <v>0.74399999999999999</v>
      </c>
    </row>
    <row r="82" spans="2:10" ht="18" customHeight="1" x14ac:dyDescent="0.25">
      <c r="B82" s="282" t="s">
        <v>132</v>
      </c>
      <c r="C82" s="691">
        <v>24800</v>
      </c>
      <c r="D82" s="1909" t="s">
        <v>1814</v>
      </c>
      <c r="E82" s="1913">
        <f t="shared" ref="E82:E85" si="36">IFERROR(H82*1000/$C82,"NA")</f>
        <v>69.900000000000006</v>
      </c>
      <c r="F82" s="1913">
        <f t="shared" ref="F82:G85" si="37">IFERROR(I82*1000000/$C82,"NA")</f>
        <v>4</v>
      </c>
      <c r="G82" s="1913">
        <f t="shared" si="37"/>
        <v>30</v>
      </c>
      <c r="H82" s="691">
        <v>1733.5200000000002</v>
      </c>
      <c r="I82" s="691">
        <v>9.9199999999999997E-2</v>
      </c>
      <c r="J82" s="2911">
        <v>0.74399999999999999</v>
      </c>
    </row>
    <row r="83" spans="2:10" ht="18" customHeight="1" x14ac:dyDescent="0.25">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5">
      <c r="B84" s="282" t="s">
        <v>134</v>
      </c>
      <c r="C84" s="691" t="s">
        <v>2146</v>
      </c>
      <c r="D84" s="1909" t="s">
        <v>1814</v>
      </c>
      <c r="E84" s="1913" t="str">
        <f t="shared" si="36"/>
        <v>NA</v>
      </c>
      <c r="F84" s="1913" t="str">
        <f t="shared" si="37"/>
        <v>NA</v>
      </c>
      <c r="G84" s="1913" t="str">
        <f t="shared" si="37"/>
        <v>NA</v>
      </c>
      <c r="H84" s="691" t="s">
        <v>2146</v>
      </c>
      <c r="I84" s="691" t="s">
        <v>2146</v>
      </c>
      <c r="J84" s="2911" t="s">
        <v>2146</v>
      </c>
    </row>
    <row r="85" spans="2:10" ht="18" customHeight="1" x14ac:dyDescent="0.25">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5">
      <c r="B86" s="282" t="s">
        <v>183</v>
      </c>
      <c r="C86" s="1913" t="str">
        <f>C87</f>
        <v>NO</v>
      </c>
      <c r="D86" s="1909" t="s">
        <v>1814</v>
      </c>
      <c r="E86" s="628"/>
      <c r="F86" s="628"/>
      <c r="G86" s="628"/>
      <c r="H86" s="1913" t="str">
        <f>H87</f>
        <v>NO</v>
      </c>
      <c r="I86" s="1913" t="str">
        <f>I87</f>
        <v>NO</v>
      </c>
      <c r="J86" s="3085" t="str">
        <f>J87</f>
        <v>NO</v>
      </c>
    </row>
    <row r="87" spans="2:10" ht="18" customHeight="1" x14ac:dyDescent="0.25">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5">
      <c r="B88" s="1241" t="s">
        <v>189</v>
      </c>
      <c r="C88" s="1913">
        <f>IF(SUM(C89:C92,C94:C96)=0,"NO",SUM(C89:C92,C94:C96))</f>
        <v>34457.637257663941</v>
      </c>
      <c r="D88" s="1909" t="s">
        <v>1814</v>
      </c>
      <c r="E88" s="628"/>
      <c r="F88" s="628"/>
      <c r="G88" s="628"/>
      <c r="H88" s="1913">
        <f>IF(SUM(H89:H92,H94,H96)=0,"NO",SUM(H89:H92,H94,H96))</f>
        <v>2523.2033761040143</v>
      </c>
      <c r="I88" s="3334">
        <f>IF(SUM(I89:I92,I94:I96)=0,"NE",SUM(I89:I92,I94:I96))</f>
        <v>3.7388814420977221</v>
      </c>
      <c r="J88" s="3335">
        <f>IF(SUM(J89:J92,J94:J96)=0,"NE",SUM(J89:J92,J94:J96))</f>
        <v>5.4792953017744311E-2</v>
      </c>
    </row>
    <row r="89" spans="2:10" ht="18" customHeight="1" x14ac:dyDescent="0.25">
      <c r="B89" s="282" t="s">
        <v>190</v>
      </c>
      <c r="C89" s="691">
        <v>18780.605</v>
      </c>
      <c r="D89" s="1909" t="s">
        <v>1814</v>
      </c>
      <c r="E89" s="1913">
        <f t="shared" ref="E89:E91" si="39">IFERROR(H89*1000/$C89,"NA")</f>
        <v>73.599999999999994</v>
      </c>
      <c r="F89" s="1913">
        <f t="shared" ref="F89:G91" si="40">IFERROR(I89*1000000/$C89,"NA")</f>
        <v>7.0000000000000009</v>
      </c>
      <c r="G89" s="1913">
        <f t="shared" si="40"/>
        <v>2.0000000000000004</v>
      </c>
      <c r="H89" s="691">
        <v>1382.252528</v>
      </c>
      <c r="I89" s="3336">
        <v>0.13146423500000001</v>
      </c>
      <c r="J89" s="3337">
        <v>3.7561210000000005E-2</v>
      </c>
    </row>
    <row r="90" spans="2:10" ht="18" customHeight="1" x14ac:dyDescent="0.25">
      <c r="B90" s="282" t="s">
        <v>191</v>
      </c>
      <c r="C90" s="691">
        <v>2520</v>
      </c>
      <c r="D90" s="1909" t="s">
        <v>1814</v>
      </c>
      <c r="E90" s="1913">
        <f t="shared" si="39"/>
        <v>69.900000000000006</v>
      </c>
      <c r="F90" s="1913">
        <f t="shared" si="40"/>
        <v>7.0000000000000018</v>
      </c>
      <c r="G90" s="1913">
        <f t="shared" si="40"/>
        <v>2</v>
      </c>
      <c r="H90" s="691">
        <v>176.14800000000002</v>
      </c>
      <c r="I90" s="3336">
        <v>1.7640000000000003E-2</v>
      </c>
      <c r="J90" s="3337">
        <v>5.0400000000000002E-3</v>
      </c>
    </row>
    <row r="91" spans="2:10" ht="18" customHeight="1" x14ac:dyDescent="0.25">
      <c r="B91" s="282" t="s">
        <v>167</v>
      </c>
      <c r="C91" s="691">
        <v>9635.2700197158902</v>
      </c>
      <c r="D91" s="1909" t="s">
        <v>1814</v>
      </c>
      <c r="E91" s="1913">
        <f t="shared" si="39"/>
        <v>67.400000000000034</v>
      </c>
      <c r="F91" s="1913">
        <f t="shared" si="40"/>
        <v>360.00000000000011</v>
      </c>
      <c r="G91" s="1913">
        <f t="shared" si="40"/>
        <v>0.90000000000000047</v>
      </c>
      <c r="H91" s="691">
        <v>649.41719932885132</v>
      </c>
      <c r="I91" s="3336">
        <v>3.4686972070977218</v>
      </c>
      <c r="J91" s="3337">
        <v>8.6717430177443051E-3</v>
      </c>
    </row>
    <row r="92" spans="2:10" ht="18" customHeight="1" x14ac:dyDescent="0.25">
      <c r="B92" s="282" t="s">
        <v>192</v>
      </c>
      <c r="C92" s="1913" t="str">
        <f>C93</f>
        <v>NO</v>
      </c>
      <c r="D92" s="1909" t="s">
        <v>1814</v>
      </c>
      <c r="E92" s="628"/>
      <c r="F92" s="628"/>
      <c r="G92" s="628"/>
      <c r="H92" s="1913" t="str">
        <f>H93</f>
        <v>NO</v>
      </c>
      <c r="I92" s="3334" t="str">
        <f>I93</f>
        <v>NO</v>
      </c>
      <c r="J92" s="3335" t="str">
        <f>J93</f>
        <v>NO</v>
      </c>
    </row>
    <row r="93" spans="2:10" ht="18" customHeight="1" x14ac:dyDescent="0.25">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5">
      <c r="B94" s="282" t="s">
        <v>134</v>
      </c>
      <c r="C94" s="691">
        <v>40</v>
      </c>
      <c r="D94" s="1909" t="s">
        <v>1814</v>
      </c>
      <c r="E94" s="1913">
        <f t="shared" ref="E94:E95" si="43">IFERROR(H94*1000/$C94,"NA")</f>
        <v>51.411918339265</v>
      </c>
      <c r="F94" s="1913">
        <f t="shared" si="42"/>
        <v>243</v>
      </c>
      <c r="G94" s="1913">
        <f t="shared" si="42"/>
        <v>1</v>
      </c>
      <c r="H94" s="691">
        <v>2.0564767335706002</v>
      </c>
      <c r="I94" s="3336">
        <v>9.7199999999999995E-3</v>
      </c>
      <c r="J94" s="3337">
        <v>4.0000000000000003E-5</v>
      </c>
    </row>
    <row r="95" spans="2:10" ht="18" customHeight="1" x14ac:dyDescent="0.25">
      <c r="B95" s="282" t="s">
        <v>137</v>
      </c>
      <c r="C95" s="691" t="s">
        <v>2146</v>
      </c>
      <c r="D95" s="1909" t="s">
        <v>1814</v>
      </c>
      <c r="E95" s="1913" t="str">
        <f t="shared" si="43"/>
        <v>NA</v>
      </c>
      <c r="F95" s="1913" t="str">
        <f t="shared" si="42"/>
        <v>NA</v>
      </c>
      <c r="G95" s="1913" t="str">
        <f t="shared" si="42"/>
        <v>NA</v>
      </c>
      <c r="H95" s="691" t="s">
        <v>2146</v>
      </c>
      <c r="I95" s="3336" t="s">
        <v>2146</v>
      </c>
      <c r="J95" s="3337" t="s">
        <v>2146</v>
      </c>
    </row>
    <row r="96" spans="2:10" ht="18" customHeight="1" x14ac:dyDescent="0.25">
      <c r="B96" s="282" t="s">
        <v>183</v>
      </c>
      <c r="C96" s="1913">
        <f>IF(SUM(C97:C98)=0,"NO",SUM(C97:C98))</f>
        <v>3481.7622379480508</v>
      </c>
      <c r="D96" s="1909" t="s">
        <v>1814</v>
      </c>
      <c r="E96" s="628"/>
      <c r="F96" s="628"/>
      <c r="G96" s="628"/>
      <c r="H96" s="1913">
        <f>IF(SUM(H97:H98)=0,"NO",SUM(H97:H98))</f>
        <v>313.32917204159213</v>
      </c>
      <c r="I96" s="3334">
        <f>IF(SUM(I97:I98)=0,"NE",SUM(I97:I98))</f>
        <v>0.11136</v>
      </c>
      <c r="J96" s="3335">
        <f>IF(SUM(J97:J98)=0,"NE",SUM(J97:J98))</f>
        <v>3.48E-3</v>
      </c>
    </row>
    <row r="97" spans="2:10" ht="18" customHeight="1" x14ac:dyDescent="0.25">
      <c r="B97" s="2572" t="s">
        <v>2260</v>
      </c>
      <c r="C97" s="691">
        <v>3480</v>
      </c>
      <c r="D97" s="1909" t="s">
        <v>1814</v>
      </c>
      <c r="E97" s="3103">
        <f t="shared" ref="E97" si="44">IFERROR(H97*1000/$C97,"NA")</f>
        <v>90</v>
      </c>
      <c r="F97" s="3103">
        <f>IFERROR(I97*1000000/$C97,"NA")</f>
        <v>32</v>
      </c>
      <c r="G97" s="3103">
        <f>IFERROR(J97*1000000/$C97,"NA")</f>
        <v>1</v>
      </c>
      <c r="H97" s="691">
        <v>313.2</v>
      </c>
      <c r="I97" s="3336">
        <v>0.11136</v>
      </c>
      <c r="J97" s="3337">
        <v>3.48E-3</v>
      </c>
    </row>
    <row r="98" spans="2:10" ht="18" customHeight="1" x14ac:dyDescent="0.25">
      <c r="B98" s="2572" t="s">
        <v>252</v>
      </c>
      <c r="C98" s="691">
        <v>1.7622379480510499</v>
      </c>
      <c r="D98" s="1909" t="s">
        <v>1814</v>
      </c>
      <c r="E98" s="3103">
        <f t="shared" ref="E98" si="45">IFERROR(H98*1000/$C98,"NA")</f>
        <v>73.300000000000182</v>
      </c>
      <c r="F98" s="3103" t="str">
        <f>IFERROR(I98*1000000/$C98,"NA")</f>
        <v>NA</v>
      </c>
      <c r="G98" s="3103" t="str">
        <f>IFERROR(J98*1000000/$C98,"NA")</f>
        <v>NA</v>
      </c>
      <c r="H98" s="691">
        <v>0.12917204159214227</v>
      </c>
      <c r="I98" s="3336" t="s">
        <v>2154</v>
      </c>
      <c r="J98" s="3337" t="s">
        <v>2154</v>
      </c>
    </row>
    <row r="99" spans="2:10" ht="18" customHeight="1" x14ac:dyDescent="0.25">
      <c r="B99" s="1241" t="s">
        <v>193</v>
      </c>
      <c r="C99" s="1913">
        <f>IF(SUM(C100:C104)=0,"NO",SUM(C100:C104))</f>
        <v>5702.2155058878006</v>
      </c>
      <c r="D99" s="1909" t="s">
        <v>1814</v>
      </c>
      <c r="E99" s="628"/>
      <c r="F99" s="628"/>
      <c r="G99" s="628"/>
      <c r="H99" s="1913">
        <f>IF(SUM(H100:H103)=0,"NO",SUM(H100:H103))</f>
        <v>301.87002777215997</v>
      </c>
      <c r="I99" s="1913">
        <f>IF(SUM(I100:I104)=0,"NO",SUM(I100:I104))</f>
        <v>6.8622928041692968E-2</v>
      </c>
      <c r="J99" s="3085">
        <f>IF(SUM(J100:J104)=0,"NO",SUM(J100:J104))</f>
        <v>6.2445883545444308E-4</v>
      </c>
    </row>
    <row r="100" spans="2:10" ht="18" customHeight="1" x14ac:dyDescent="0.25">
      <c r="B100" s="282" t="s">
        <v>132</v>
      </c>
      <c r="C100" s="1913">
        <f>IF(SUM(C106,C113:C116)=0,"NO",SUM(C106,C113:C116))</f>
        <v>587.25484158000791</v>
      </c>
      <c r="D100" s="1909" t="s">
        <v>1814</v>
      </c>
      <c r="E100" s="3103">
        <f t="shared" ref="E100:E104" si="46">IFERROR(H100*1000/$C100,"NA")</f>
        <v>65.682945149277515</v>
      </c>
      <c r="F100" s="3103">
        <f t="shared" ref="F100:G104" si="47">IFERROR(I100*1000000/$C100,"NA")</f>
        <v>48.726220437149486</v>
      </c>
      <c r="G100" s="3103">
        <f t="shared" si="47"/>
        <v>0.19490488174859794</v>
      </c>
      <c r="H100" s="1913">
        <f>IF(SUM(H106,H113:H116)=0,"NO",SUM(H106,H113:H116))</f>
        <v>38.572627548147317</v>
      </c>
      <c r="I100" s="1913">
        <f>IF(SUM(I106,I113:I116)=0,"NO",SUM(I106,I113:I116))</f>
        <v>2.8614708863610765E-2</v>
      </c>
      <c r="J100" s="3085">
        <f>IF(SUM(J106,J113:J116)=0,"NO",SUM(J106,J113:J116))</f>
        <v>1.1445883545444305E-4</v>
      </c>
    </row>
    <row r="101" spans="2:10" ht="18" customHeight="1" x14ac:dyDescent="0.25">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5">
      <c r="B102" s="282" t="s">
        <v>134</v>
      </c>
      <c r="C102" s="1913">
        <f>IF(SUM(C108,C119)=0,"NO",SUM(C108,C119))</f>
        <v>5100</v>
      </c>
      <c r="D102" s="1909" t="s">
        <v>1814</v>
      </c>
      <c r="E102" s="3103">
        <f t="shared" si="46"/>
        <v>51.411918339264993</v>
      </c>
      <c r="F102" s="3103">
        <f t="shared" si="47"/>
        <v>7.8447488584474891</v>
      </c>
      <c r="G102" s="3103">
        <f t="shared" si="47"/>
        <v>0.1</v>
      </c>
      <c r="H102" s="1913">
        <f t="shared" si="48"/>
        <v>262.2007835302515</v>
      </c>
      <c r="I102" s="1913">
        <f t="shared" si="48"/>
        <v>4.0008219178082199E-2</v>
      </c>
      <c r="J102" s="3085">
        <f t="shared" si="48"/>
        <v>5.1000000000000004E-4</v>
      </c>
    </row>
    <row r="103" spans="2:10" ht="18" customHeight="1" x14ac:dyDescent="0.25">
      <c r="B103" s="282" t="s">
        <v>175</v>
      </c>
      <c r="C103" s="1913">
        <f>IF(SUM(C109,C120)=0,"NO",SUM(C109,C120))</f>
        <v>14.960664307792301</v>
      </c>
      <c r="D103" s="1909" t="s">
        <v>1814</v>
      </c>
      <c r="E103" s="3103">
        <f t="shared" si="46"/>
        <v>73.300000000000196</v>
      </c>
      <c r="F103" s="3103" t="str">
        <f t="shared" si="47"/>
        <v>NA</v>
      </c>
      <c r="G103" s="3103" t="str">
        <f t="shared" si="47"/>
        <v>NA</v>
      </c>
      <c r="H103" s="1913">
        <f t="shared" si="48"/>
        <v>1.0966166937611785</v>
      </c>
      <c r="I103" s="1913" t="str">
        <f t="shared" si="48"/>
        <v>NO</v>
      </c>
      <c r="J103" s="3085" t="str">
        <f t="shared" si="48"/>
        <v>NO</v>
      </c>
    </row>
    <row r="104" spans="2:10" ht="18" customHeight="1" x14ac:dyDescent="0.25">
      <c r="B104" s="282" t="s">
        <v>137</v>
      </c>
      <c r="C104" s="1913" t="str">
        <f>IF(SUM(C110,C121)=0,"NO",SUM(C110,C121))</f>
        <v>NO</v>
      </c>
      <c r="D104" s="1909" t="s">
        <v>1814</v>
      </c>
      <c r="E104" s="3103" t="str">
        <f t="shared" si="46"/>
        <v>NA</v>
      </c>
      <c r="F104" s="3103" t="str">
        <f t="shared" si="47"/>
        <v>NA</v>
      </c>
      <c r="G104" s="3103" t="str">
        <f t="shared" si="47"/>
        <v>NA</v>
      </c>
      <c r="H104" s="1913" t="str">
        <f t="shared" si="48"/>
        <v>NO</v>
      </c>
      <c r="I104" s="1913" t="str">
        <f t="shared" si="48"/>
        <v>NO</v>
      </c>
      <c r="J104" s="3085" t="str">
        <f t="shared" si="48"/>
        <v>NO</v>
      </c>
    </row>
    <row r="105" spans="2:10" ht="18" customHeight="1" x14ac:dyDescent="0.25">
      <c r="B105" s="1244" t="s">
        <v>194</v>
      </c>
      <c r="C105" s="1913">
        <f>IF(SUM(C106:C110)=0,"NO",SUM(C106:C110))</f>
        <v>5100</v>
      </c>
      <c r="D105" s="1909" t="s">
        <v>1814</v>
      </c>
      <c r="E105" s="628"/>
      <c r="F105" s="628"/>
      <c r="G105" s="628"/>
      <c r="H105" s="1913">
        <f>IF(SUM(H106:H109)=0,"NO",SUM(H106:H109))</f>
        <v>262.2007835302515</v>
      </c>
      <c r="I105" s="1913">
        <f>IF(SUM(I106:I110)=0,"NO",SUM(I106:I110))</f>
        <v>4.0008219178082199E-2</v>
      </c>
      <c r="J105" s="3085">
        <f>IF(SUM(J106:J110)=0,"NO",SUM(J106:J110))</f>
        <v>5.1000000000000004E-4</v>
      </c>
    </row>
    <row r="106" spans="2:10" ht="18" customHeight="1" x14ac:dyDescent="0.25">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5">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5">
      <c r="B108" s="282" t="s">
        <v>134</v>
      </c>
      <c r="C108" s="691">
        <v>5100</v>
      </c>
      <c r="D108" s="1909" t="s">
        <v>1814</v>
      </c>
      <c r="E108" s="3103">
        <f t="shared" si="49"/>
        <v>51.411918339264993</v>
      </c>
      <c r="F108" s="3103">
        <f t="shared" si="50"/>
        <v>7.8447488584474891</v>
      </c>
      <c r="G108" s="3103">
        <f t="shared" si="50"/>
        <v>0.1</v>
      </c>
      <c r="H108" s="691">
        <v>262.2007835302515</v>
      </c>
      <c r="I108" s="691">
        <v>4.0008219178082199E-2</v>
      </c>
      <c r="J108" s="2911">
        <v>5.1000000000000004E-4</v>
      </c>
    </row>
    <row r="109" spans="2:10" ht="18" customHeight="1" x14ac:dyDescent="0.25">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5">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5">
      <c r="B111" s="1244" t="s">
        <v>195</v>
      </c>
      <c r="C111" s="1913">
        <f>C112</f>
        <v>602.21550588780019</v>
      </c>
      <c r="D111" s="1909" t="s">
        <v>1814</v>
      </c>
      <c r="E111" s="628"/>
      <c r="F111" s="628"/>
      <c r="G111" s="628"/>
      <c r="H111" s="1913">
        <f>H112</f>
        <v>39.669244241908494</v>
      </c>
      <c r="I111" s="1913">
        <f>I112</f>
        <v>2.8614708863610765E-2</v>
      </c>
      <c r="J111" s="3085">
        <f>J112</f>
        <v>1.1445883545444305E-4</v>
      </c>
    </row>
    <row r="112" spans="2:10" ht="18" customHeight="1" x14ac:dyDescent="0.25">
      <c r="B112" s="3089" t="s">
        <v>2148</v>
      </c>
      <c r="C112" s="3099">
        <f>IF(SUM(C113:C116,C118:C121)=0,"NO",SUM(C113:C116,C118:C121))</f>
        <v>602.21550588780019</v>
      </c>
      <c r="D112" s="3099" t="s">
        <v>1814</v>
      </c>
      <c r="E112" s="628"/>
      <c r="F112" s="628"/>
      <c r="G112" s="628"/>
      <c r="H112" s="3099">
        <f>IF(SUM(H113:H116,H118:H120)=0,"NO",SUM(H113:H116,H118:H120))</f>
        <v>39.669244241908494</v>
      </c>
      <c r="I112" s="3099">
        <f>IF(SUM(I113:I116,I118:I121)=0,"NO",SUM(I113:I116,I118:I121))</f>
        <v>2.8614708863610765E-2</v>
      </c>
      <c r="J112" s="3100">
        <f>IF(SUM(J113:J116,J118:J121)=0,"NO",SUM(J113:J116,J118:J121))</f>
        <v>1.1445883545444305E-4</v>
      </c>
    </row>
    <row r="113" spans="2:10" ht="18" customHeight="1" x14ac:dyDescent="0.25">
      <c r="B113" s="282" t="s">
        <v>167</v>
      </c>
      <c r="C113" s="691">
        <v>587.25484158000791</v>
      </c>
      <c r="D113" s="1913" t="s">
        <v>1814</v>
      </c>
      <c r="E113" s="1913">
        <f t="shared" ref="E113:E115" si="51">IFERROR(H113*1000/$C113,"NA")</f>
        <v>65.682945149277515</v>
      </c>
      <c r="F113" s="1913">
        <f t="shared" ref="F113:G115" si="52">IFERROR(I113*1000000/$C113,"NA")</f>
        <v>48.726220437149486</v>
      </c>
      <c r="G113" s="1913">
        <f t="shared" si="52"/>
        <v>0.19490488174859794</v>
      </c>
      <c r="H113" s="691">
        <v>38.572627548147317</v>
      </c>
      <c r="I113" s="691">
        <v>2.8614708863610765E-2</v>
      </c>
      <c r="J113" s="2911">
        <v>1.1445883545444305E-4</v>
      </c>
    </row>
    <row r="114" spans="2:10" ht="18" customHeight="1" x14ac:dyDescent="0.25">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5">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5">
      <c r="B116" s="282" t="s">
        <v>170</v>
      </c>
      <c r="C116" s="1913" t="str">
        <f>C117</f>
        <v>NO</v>
      </c>
      <c r="D116" s="1909" t="s">
        <v>1814</v>
      </c>
      <c r="E116" s="628"/>
      <c r="F116" s="628"/>
      <c r="G116" s="628"/>
      <c r="H116" s="1913" t="str">
        <f>H117</f>
        <v>NO</v>
      </c>
      <c r="I116" s="1913" t="str">
        <f>I117</f>
        <v>NO</v>
      </c>
      <c r="J116" s="3085" t="str">
        <f>J117</f>
        <v>NO</v>
      </c>
    </row>
    <row r="117" spans="2:10" ht="18" customHeight="1" x14ac:dyDescent="0.25">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5">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5">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5">
      <c r="B120" s="282" t="s">
        <v>175</v>
      </c>
      <c r="C120" s="691">
        <v>14.960664307792301</v>
      </c>
      <c r="D120" s="1909" t="s">
        <v>1814</v>
      </c>
      <c r="E120" s="3103">
        <f t="shared" si="53"/>
        <v>73.300000000000196</v>
      </c>
      <c r="F120" s="3103" t="str">
        <f t="shared" si="54"/>
        <v>NA</v>
      </c>
      <c r="G120" s="3103" t="str">
        <f t="shared" si="54"/>
        <v>NA</v>
      </c>
      <c r="H120" s="691">
        <v>1.0966166937611785</v>
      </c>
      <c r="I120" s="691" t="s">
        <v>2154</v>
      </c>
      <c r="J120" s="2911" t="s">
        <v>2154</v>
      </c>
    </row>
    <row r="121" spans="2:10" ht="18" customHeight="1" thickBot="1" x14ac:dyDescent="0.3">
      <c r="B121" s="2185" t="s">
        <v>137</v>
      </c>
      <c r="C121" s="1559" t="s">
        <v>2146</v>
      </c>
      <c r="D121" s="2880" t="s">
        <v>1814</v>
      </c>
      <c r="E121" s="3104" t="str">
        <f t="shared" si="53"/>
        <v>NA</v>
      </c>
      <c r="F121" s="3104" t="str">
        <f t="shared" si="54"/>
        <v>NA</v>
      </c>
      <c r="G121" s="3104" t="str">
        <f t="shared" si="54"/>
        <v>NA</v>
      </c>
      <c r="H121" s="1559" t="s">
        <v>2146</v>
      </c>
      <c r="I121" s="1559" t="s">
        <v>2146</v>
      </c>
      <c r="J121" s="1561" t="s">
        <v>2146</v>
      </c>
    </row>
    <row r="122" spans="2:10" ht="12" customHeight="1" x14ac:dyDescent="0.25">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5"/>
  <cols>
    <col min="1" max="1" width="1.88671875" customWidth="1"/>
    <col min="2" max="2" width="44.44140625" customWidth="1"/>
    <col min="3" max="3" width="12.33203125" customWidth="1"/>
    <col min="4" max="36" width="10.109375" customWidth="1"/>
    <col min="37" max="37" width="11.44140625" customWidth="1"/>
    <col min="38" max="38" width="1.109375" customWidth="1"/>
    <col min="39" max="39" width="15.5546875" customWidth="1"/>
    <col min="40" max="40" width="9" customWidth="1"/>
    <col min="41" max="42" width="9.109375" customWidth="1"/>
    <col min="43" max="43" width="9.5546875" customWidth="1"/>
    <col min="44" max="46" width="8.88671875" customWidth="1"/>
    <col min="47" max="47" width="8.5546875" customWidth="1"/>
    <col min="48" max="48" width="8.88671875" customWidth="1"/>
    <col min="49" max="49" width="8.5546875" customWidth="1"/>
    <col min="50" max="50" width="9.5546875" customWidth="1"/>
    <col min="51" max="51" width="8.88671875" customWidth="1"/>
    <col min="52" max="52" width="9.109375" customWidth="1"/>
    <col min="53" max="53" width="8.88671875" customWidth="1"/>
    <col min="54" max="54" width="9.88671875" customWidth="1"/>
    <col min="55" max="55" width="8.88671875" customWidth="1"/>
    <col min="56" max="56" width="9.88671875" customWidth="1"/>
    <col min="57" max="57" width="9" customWidth="1"/>
    <col min="58" max="58" width="9.109375" customWidth="1"/>
    <col min="59" max="59" width="8.5546875" customWidth="1"/>
  </cols>
  <sheetData>
    <row r="1" spans="2:38" ht="17.25" customHeight="1" x14ac:dyDescent="0.25">
      <c r="B1" s="753" t="s">
        <v>1706</v>
      </c>
      <c r="AK1" s="14" t="s">
        <v>2521</v>
      </c>
    </row>
    <row r="2" spans="2:38" ht="18" x14ac:dyDescent="0.25">
      <c r="B2" s="753" t="s">
        <v>1736</v>
      </c>
      <c r="AK2" s="14" t="s">
        <v>2522</v>
      </c>
    </row>
    <row r="3" spans="2:38" ht="15.6" x14ac:dyDescent="0.25">
      <c r="B3" s="753" t="s">
        <v>1737</v>
      </c>
      <c r="AK3" s="14" t="s">
        <v>2144</v>
      </c>
    </row>
    <row r="4" spans="2:38" ht="15.6" hidden="1" x14ac:dyDescent="0.25">
      <c r="B4" s="753"/>
      <c r="AK4" s="226"/>
    </row>
    <row r="5" spans="2:38" ht="15.6" hidden="1" x14ac:dyDescent="0.25">
      <c r="B5" s="753"/>
      <c r="AK5" s="226"/>
    </row>
    <row r="6" spans="2:38" ht="15.6" hidden="1" x14ac:dyDescent="0.25">
      <c r="B6" s="753"/>
      <c r="AK6" s="226"/>
    </row>
    <row r="7" spans="2:38" ht="13.8" thickBot="1" x14ac:dyDescent="0.3">
      <c r="B7" s="2446" t="s">
        <v>64</v>
      </c>
      <c r="AK7" s="1978"/>
    </row>
    <row r="8" spans="2:38" ht="60" customHeight="1" x14ac:dyDescent="0.25">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3">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5">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5">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5">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5">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5">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5">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5">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5">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5">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5">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5">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5">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5">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5">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5">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5">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5">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5">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5">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5">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3">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3">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5">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5">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5">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5">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5">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5">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5">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5">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5">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5">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3">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3">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3">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3">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5">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3">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3">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5">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3">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3.2" x14ac:dyDescent="0.25">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5">
      <c r="B52" s="1993"/>
    </row>
    <row r="53" spans="2:38" ht="15" customHeight="1" x14ac:dyDescent="0.25">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3.2" x14ac:dyDescent="0.25"/>
  <cols>
    <col min="1" max="1" width="1.88671875" customWidth="1"/>
    <col min="2" max="2" width="55.5546875" customWidth="1"/>
    <col min="3" max="3" width="16.88671875" customWidth="1"/>
    <col min="4" max="4" width="10.109375" bestFit="1" customWidth="1"/>
    <col min="5" max="36" width="10.44140625" customWidth="1"/>
    <col min="37" max="37" width="11.44140625" customWidth="1"/>
    <col min="38" max="38" width="10.88671875" customWidth="1"/>
    <col min="39" max="39" width="8.5546875" customWidth="1"/>
    <col min="40" max="40" width="8.88671875" customWidth="1"/>
    <col min="41" max="44" width="9" customWidth="1"/>
    <col min="45" max="46" width="9.109375" customWidth="1"/>
    <col min="47" max="47" width="8.88671875" customWidth="1"/>
    <col min="48" max="48" width="10.109375" customWidth="1"/>
    <col min="49" max="49" width="9.88671875" customWidth="1"/>
    <col min="50" max="50" width="9.5546875" customWidth="1"/>
  </cols>
  <sheetData>
    <row r="1" spans="2:38" ht="15.6" x14ac:dyDescent="0.25">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6" x14ac:dyDescent="0.25">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6" x14ac:dyDescent="0.25">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6" hidden="1" x14ac:dyDescent="0.25">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6" hidden="1" x14ac:dyDescent="0.25">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6" hidden="1" x14ac:dyDescent="0.25">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8" thickBot="1" x14ac:dyDescent="0.3">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5">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3">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5">
      <c r="B10" s="1955" t="s">
        <v>1758</v>
      </c>
      <c r="C10" s="1956"/>
      <c r="D10" s="1957"/>
      <c r="E10" s="4122">
        <f>Table10s2!E70</f>
        <v>278160.26805526653</v>
      </c>
      <c r="F10" s="4122">
        <f>Table10s2!F70</f>
        <v>279534.03181228612</v>
      </c>
      <c r="G10" s="4122">
        <f>Table10s2!G70</f>
        <v>284528.77332804789</v>
      </c>
      <c r="H10" s="4122">
        <f>Table10s2!H70</f>
        <v>288873.50688492262</v>
      </c>
      <c r="I10" s="4122">
        <f>Table10s2!I70</f>
        <v>293700.91957993741</v>
      </c>
      <c r="J10" s="4122">
        <f>Table10s2!J70</f>
        <v>305055.58608645888</v>
      </c>
      <c r="K10" s="4122">
        <f>Table10s2!K70</f>
        <v>311940.49449217174</v>
      </c>
      <c r="L10" s="4122">
        <f>Table10s2!L70</f>
        <v>320332.75756245892</v>
      </c>
      <c r="M10" s="4122">
        <f>Table10s2!M70</f>
        <v>334135.54509659437</v>
      </c>
      <c r="N10" s="4122">
        <f>Table10s2!N70</f>
        <v>343959.20639615145</v>
      </c>
      <c r="O10" s="4122">
        <f>Table10s2!O70</f>
        <v>350007.69574650691</v>
      </c>
      <c r="P10" s="4122">
        <f>Table10s2!P70</f>
        <v>357783.39046354243</v>
      </c>
      <c r="Q10" s="4122">
        <f>Table10s2!Q70</f>
        <v>362536.53354913293</v>
      </c>
      <c r="R10" s="4122">
        <f>Table10s2!R70</f>
        <v>369441.74104620941</v>
      </c>
      <c r="S10" s="4122">
        <f>Table10s2!S70</f>
        <v>382873.45395480172</v>
      </c>
      <c r="T10" s="4122">
        <f>Table10s2!T70</f>
        <v>386205.37511791976</v>
      </c>
      <c r="U10" s="4122">
        <f>Table10s2!U70</f>
        <v>392436.33331443917</v>
      </c>
      <c r="V10" s="4122">
        <f>Table10s2!V70</f>
        <v>399676.26031113707</v>
      </c>
      <c r="W10" s="4122">
        <f>Table10s2!W70</f>
        <v>404255.69977468724</v>
      </c>
      <c r="X10" s="4122">
        <f>Table10s2!X70</f>
        <v>407477.15568345896</v>
      </c>
      <c r="Y10" s="4122">
        <f>Table10s2!Y70</f>
        <v>405512.16983006388</v>
      </c>
      <c r="Z10" s="4122">
        <f>Table10s2!Z70</f>
        <v>404256.78948144638</v>
      </c>
      <c r="AA10" s="4122">
        <f>Table10s2!AA70</f>
        <v>406579.73074237694</v>
      </c>
      <c r="AB10" s="4122">
        <f>Table10s2!AB70</f>
        <v>399288.01113635505</v>
      </c>
      <c r="AC10" s="4122">
        <f>Table10s2!AC70</f>
        <v>393049.37137247092</v>
      </c>
      <c r="AD10" s="4122">
        <f>Table10s2!AD70</f>
        <v>401378.36030336434</v>
      </c>
      <c r="AE10" s="4122">
        <f>Table10s2!AE70</f>
        <v>410253.59318126354</v>
      </c>
      <c r="AF10" s="4122">
        <f>Table10s2!AF70</f>
        <v>413655.46471556515</v>
      </c>
      <c r="AG10" s="4122">
        <f>Table10s2!AG70</f>
        <v>415350.72045333055</v>
      </c>
      <c r="AH10" s="4122">
        <f>Table10s2!AH70</f>
        <v>415811.27005672717</v>
      </c>
      <c r="AI10" s="4122">
        <f>Table10s2!AI70</f>
        <v>399405.49779973278</v>
      </c>
      <c r="AJ10" s="4122">
        <f>Table10s2!AJ70</f>
        <v>388777.52950856066</v>
      </c>
      <c r="AK10" s="4059">
        <f t="shared" ref="AK10:AK22" si="0">IF(AJ10="NO",IF(E10="NO","NA",-100),IF(E10="NO",100,AJ10/E10*100))</f>
        <v>139.76745572855</v>
      </c>
      <c r="AL10" s="19"/>
    </row>
    <row r="11" spans="2:38" ht="18" customHeight="1" x14ac:dyDescent="0.25">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122">
        <f>Table10s2!Y71</f>
        <v>446668.42883700272</v>
      </c>
      <c r="Z11" s="4122">
        <f>Table10s2!Z71</f>
        <v>423745.87394956278</v>
      </c>
      <c r="AA11" s="4122">
        <f>Table10s2!AA71</f>
        <v>409527.1006864892</v>
      </c>
      <c r="AB11" s="4122">
        <f>Table10s2!AB71</f>
        <v>393380.90857843566</v>
      </c>
      <c r="AC11" s="4122">
        <f>Table10s2!AC71</f>
        <v>389471.72227860283</v>
      </c>
      <c r="AD11" s="4122">
        <f>Table10s2!AD71</f>
        <v>375219.56430851849</v>
      </c>
      <c r="AE11" s="4122">
        <f>Table10s2!AE71</f>
        <v>349339.45979783888</v>
      </c>
      <c r="AF11" s="4122">
        <f>Table10s2!AF71</f>
        <v>342637.41942929709</v>
      </c>
      <c r="AG11" s="4122">
        <f>Table10s2!AG71</f>
        <v>349825.36614013097</v>
      </c>
      <c r="AH11" s="4122">
        <f>Table10s2!AH71</f>
        <v>348366.06295424199</v>
      </c>
      <c r="AI11" s="4122">
        <f>Table10s2!AI71</f>
        <v>340318.55911006808</v>
      </c>
      <c r="AJ11" s="4122">
        <f>Table10s2!AJ71</f>
        <v>309393.85854948277</v>
      </c>
      <c r="AK11" s="4059">
        <f t="shared" si="0"/>
        <v>68.489118370787793</v>
      </c>
      <c r="AL11" s="19"/>
    </row>
    <row r="12" spans="2:38" ht="18" customHeight="1" x14ac:dyDescent="0.25">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122">
        <f>Table10s3!Y58*28</f>
        <v>117387.54631177135</v>
      </c>
      <c r="Z12" s="4122">
        <f>Table10s3!Z58*28</f>
        <v>119118.78175841589</v>
      </c>
      <c r="AA12" s="4122">
        <f>Table10s3!AA58*28</f>
        <v>119488.41404690722</v>
      </c>
      <c r="AB12" s="4122">
        <f>Table10s3!AB58*28</f>
        <v>119059.29874902077</v>
      </c>
      <c r="AC12" s="4122">
        <f>Table10s3!AC58*28</f>
        <v>115962.81913215169</v>
      </c>
      <c r="AD12" s="4122">
        <f>Table10s3!AD58*28</f>
        <v>116479.0796145957</v>
      </c>
      <c r="AE12" s="4122">
        <f>Table10s3!AE58*28</f>
        <v>115338.56910689117</v>
      </c>
      <c r="AF12" s="4122">
        <f>Table10s3!AF58*28</f>
        <v>117465.12792043338</v>
      </c>
      <c r="AG12" s="4122">
        <f>Table10s3!AG58*28</f>
        <v>118013.42701406287</v>
      </c>
      <c r="AH12" s="4122">
        <f>Table10s3!AH58*28</f>
        <v>111602.96558811457</v>
      </c>
      <c r="AI12" s="4122">
        <f>Table10s3!AI58*28</f>
        <v>109758.72857490895</v>
      </c>
      <c r="AJ12" s="4122">
        <f>Table10s3!AJ58*28</f>
        <v>109934.74161031269</v>
      </c>
      <c r="AK12" s="4059">
        <f t="shared" si="0"/>
        <v>78.441090490205042</v>
      </c>
      <c r="AL12" s="19"/>
    </row>
    <row r="13" spans="2:38" ht="18" customHeight="1" x14ac:dyDescent="0.25">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122">
        <f>Table10s3!Y59*28</f>
        <v>137371.79299338884</v>
      </c>
      <c r="Z13" s="4122">
        <f>Table10s3!Z59*28</f>
        <v>139498.74326109022</v>
      </c>
      <c r="AA13" s="4122">
        <f>Table10s3!AA59*28</f>
        <v>138400.25247650445</v>
      </c>
      <c r="AB13" s="4122">
        <f>Table10s3!AB59*28</f>
        <v>137633.02971345925</v>
      </c>
      <c r="AC13" s="4122">
        <f>Table10s3!AC59*28</f>
        <v>135298.48807745604</v>
      </c>
      <c r="AD13" s="4122">
        <f>Table10s3!AD59*28</f>
        <v>135085.5897471428</v>
      </c>
      <c r="AE13" s="4122">
        <f>Table10s3!AE59*28</f>
        <v>132526.63657626385</v>
      </c>
      <c r="AF13" s="4122">
        <f>Table10s3!AF59*28</f>
        <v>134864.96910660679</v>
      </c>
      <c r="AG13" s="4122">
        <f>Table10s3!AG59*28</f>
        <v>133500.49685231165</v>
      </c>
      <c r="AH13" s="4122">
        <f>Table10s3!AH59*28</f>
        <v>126392.97711138389</v>
      </c>
      <c r="AI13" s="4122">
        <f>Table10s3!AI59*28</f>
        <v>123085.0543939713</v>
      </c>
      <c r="AJ13" s="4122">
        <f>Table10s3!AJ59*28</f>
        <v>122363.34083404431</v>
      </c>
      <c r="AK13" s="4059">
        <f t="shared" si="0"/>
        <v>76.239854793244504</v>
      </c>
      <c r="AL13" s="19"/>
    </row>
    <row r="14" spans="2:38" ht="18" customHeight="1" x14ac:dyDescent="0.25">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122">
        <f>Table10s4!Y58*265</f>
        <v>17149.190448786743</v>
      </c>
      <c r="Z14" s="4122">
        <f>Table10s4!Z58*265</f>
        <v>17829.269499357815</v>
      </c>
      <c r="AA14" s="4122">
        <f>Table10s4!AA58*265</f>
        <v>18037.345854666921</v>
      </c>
      <c r="AB14" s="4122">
        <f>Table10s4!AB58*265</f>
        <v>16979.991429667123</v>
      </c>
      <c r="AC14" s="4122">
        <f>Table10s4!AC58*265</f>
        <v>17319.895494551569</v>
      </c>
      <c r="AD14" s="4122">
        <f>Table10s4!AD58*265</f>
        <v>16757.11267503769</v>
      </c>
      <c r="AE14" s="4122">
        <f>Table10s4!AE58*265</f>
        <v>16734.454741943333</v>
      </c>
      <c r="AF14" s="4122">
        <f>Table10s4!AF58*265</f>
        <v>18236.675226650226</v>
      </c>
      <c r="AG14" s="4122">
        <f>Table10s4!AG58*265</f>
        <v>17209.685946098794</v>
      </c>
      <c r="AH14" s="4122">
        <f>Table10s4!AH58*265</f>
        <v>16727.650124279138</v>
      </c>
      <c r="AI14" s="4122">
        <f>Table10s4!AI58*265</f>
        <v>16274.312263920514</v>
      </c>
      <c r="AJ14" s="4122">
        <f>Table10s4!AJ58*265</f>
        <v>18060.12157757848</v>
      </c>
      <c r="AK14" s="4059">
        <f t="shared" si="0"/>
        <v>127.340509838136</v>
      </c>
      <c r="AL14" s="19"/>
    </row>
    <row r="15" spans="2:38" ht="18" customHeight="1" x14ac:dyDescent="0.25">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122">
        <f>Table10s4!Y59*265</f>
        <v>22168.57676581281</v>
      </c>
      <c r="Z15" s="4122">
        <f>Table10s4!Z59*265</f>
        <v>22985.119447513378</v>
      </c>
      <c r="AA15" s="4122">
        <f>Table10s4!AA59*265</f>
        <v>22950.031127667888</v>
      </c>
      <c r="AB15" s="4122">
        <f>Table10s4!AB59*265</f>
        <v>21616.034875143563</v>
      </c>
      <c r="AC15" s="4122">
        <f>Table10s4!AC59*265</f>
        <v>21927.908506415071</v>
      </c>
      <c r="AD15" s="4122">
        <f>Table10s4!AD59*265</f>
        <v>20989.783495448584</v>
      </c>
      <c r="AE15" s="4122">
        <f>Table10s4!AE59*265</f>
        <v>20588.698420177712</v>
      </c>
      <c r="AF15" s="4122">
        <f>Table10s4!AF59*265</f>
        <v>22083.308892323614</v>
      </c>
      <c r="AG15" s="4122">
        <f>Table10s4!AG59*265</f>
        <v>20646.912822890969</v>
      </c>
      <c r="AH15" s="4122">
        <f>Table10s4!AH59*265</f>
        <v>19994.971276994227</v>
      </c>
      <c r="AI15" s="4122">
        <f>Table10s4!AI59*265</f>
        <v>19528.168228383322</v>
      </c>
      <c r="AJ15" s="4122">
        <f>Table10s4!AJ59*265</f>
        <v>21154.211106405906</v>
      </c>
      <c r="AK15" s="4059">
        <f t="shared" si="0"/>
        <v>114.56609260213915</v>
      </c>
      <c r="AL15" s="19"/>
    </row>
    <row r="16" spans="2:38" ht="18" customHeight="1" x14ac:dyDescent="0.25">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122">
        <f>Table10s5!Y10</f>
        <v>6735.332259575277</v>
      </c>
      <c r="Z16" s="4122">
        <f>Table10s5!Z10</f>
        <v>7409.828679370049</v>
      </c>
      <c r="AA16" s="4122">
        <f>Table10s5!AA10</f>
        <v>7816.4186628708085</v>
      </c>
      <c r="AB16" s="4122">
        <f>Table10s5!AB10</f>
        <v>8187.2588327414178</v>
      </c>
      <c r="AC16" s="4122">
        <f>Table10s5!AC10</f>
        <v>8837.371668775806</v>
      </c>
      <c r="AD16" s="4122">
        <f>Table10s5!AD10</f>
        <v>9343.4630293335176</v>
      </c>
      <c r="AE16" s="4122">
        <f>Table10s5!AE10</f>
        <v>9705.2434129086032</v>
      </c>
      <c r="AF16" s="4122">
        <f>Table10s5!AF10</f>
        <v>9922.2936700768205</v>
      </c>
      <c r="AG16" s="4122">
        <f>Table10s5!AG10</f>
        <v>9891.6117285115215</v>
      </c>
      <c r="AH16" s="4122">
        <f>Table10s5!AH10</f>
        <v>10688.479613937492</v>
      </c>
      <c r="AI16" s="4122">
        <f>Table10s5!AI10</f>
        <v>10949.191718307842</v>
      </c>
      <c r="AJ16" s="4122">
        <f>Table10s5!AJ10</f>
        <v>11405.410872526387</v>
      </c>
      <c r="AK16" s="4059">
        <f t="shared" si="0"/>
        <v>955.50412144023971</v>
      </c>
      <c r="AL16" s="19"/>
    </row>
    <row r="17" spans="2:38" ht="18" customHeight="1" x14ac:dyDescent="0.25">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122">
        <f>Table10s5!Y32</f>
        <v>254.72735698266911</v>
      </c>
      <c r="Z17" s="4122">
        <f>Table10s5!Z32</f>
        <v>270.90088273132159</v>
      </c>
      <c r="AA17" s="4122">
        <f>Table10s5!AA32</f>
        <v>265.12979067717396</v>
      </c>
      <c r="AB17" s="4122">
        <f>Table10s5!AB32</f>
        <v>172.62441408027018</v>
      </c>
      <c r="AC17" s="4122">
        <f>Table10s5!AC32</f>
        <v>173.10697875319798</v>
      </c>
      <c r="AD17" s="4122">
        <f>Table10s5!AD32</f>
        <v>154.06023702200318</v>
      </c>
      <c r="AE17" s="4122">
        <f>Table10s5!AE32</f>
        <v>202.24755821344587</v>
      </c>
      <c r="AF17" s="4122">
        <f>Table10s5!AF32</f>
        <v>182.65052301395369</v>
      </c>
      <c r="AG17" s="4122">
        <f>Table10s5!AG32</f>
        <v>212.24369299342175</v>
      </c>
      <c r="AH17" s="4122">
        <f>Table10s5!AH32</f>
        <v>273.50220639665866</v>
      </c>
      <c r="AI17" s="4122">
        <f>Table10s5!AI32</f>
        <v>243.11647207633368</v>
      </c>
      <c r="AJ17" s="4122">
        <f>Table10s5!AJ32</f>
        <v>291.48300000000006</v>
      </c>
      <c r="AK17" s="4059">
        <f t="shared" si="0"/>
        <v>7.0346514141656433</v>
      </c>
      <c r="AL17" s="19"/>
    </row>
    <row r="18" spans="2:38" ht="18" customHeight="1" x14ac:dyDescent="0.25">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122" t="s">
        <v>2146</v>
      </c>
      <c r="Z18" s="4122" t="s">
        <v>2146</v>
      </c>
      <c r="AA18" s="4122" t="s">
        <v>2146</v>
      </c>
      <c r="AB18" s="4122" t="s">
        <v>2146</v>
      </c>
      <c r="AC18" s="4122" t="s">
        <v>2146</v>
      </c>
      <c r="AD18" s="4122" t="s">
        <v>2146</v>
      </c>
      <c r="AE18" s="4122" t="s">
        <v>2146</v>
      </c>
      <c r="AF18" s="4122" t="s">
        <v>2146</v>
      </c>
      <c r="AG18" s="4122" t="s">
        <v>2146</v>
      </c>
      <c r="AH18" s="4122" t="s">
        <v>2146</v>
      </c>
      <c r="AI18" s="4122" t="s">
        <v>2146</v>
      </c>
      <c r="AJ18" s="4122" t="s">
        <v>2146</v>
      </c>
      <c r="AK18" s="4059" t="str">
        <f t="shared" si="0"/>
        <v>NA</v>
      </c>
      <c r="AL18" s="19"/>
    </row>
    <row r="19" spans="2:38" ht="18" customHeight="1" x14ac:dyDescent="0.25">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122">
        <f>Table10s5!Y47</f>
        <v>133.79449716413717</v>
      </c>
      <c r="Z19" s="4122">
        <f>Table10s5!Z47</f>
        <v>121.78268935599188</v>
      </c>
      <c r="AA19" s="4122">
        <f>Table10s5!AA47</f>
        <v>118.51069108917444</v>
      </c>
      <c r="AB19" s="4122">
        <f>Table10s5!AB47</f>
        <v>111.49092341544214</v>
      </c>
      <c r="AC19" s="4122">
        <f>Table10s5!AC47</f>
        <v>108.87625703363453</v>
      </c>
      <c r="AD19" s="4122">
        <f>Table10s5!AD47</f>
        <v>119.73884475683391</v>
      </c>
      <c r="AE19" s="4122">
        <f>Table10s5!AE47</f>
        <v>120.72109384232132</v>
      </c>
      <c r="AF19" s="4122">
        <f>Table10s5!AF47</f>
        <v>118.8988343564875</v>
      </c>
      <c r="AG19" s="4122">
        <f>Table10s5!AG47</f>
        <v>149.72530244911653</v>
      </c>
      <c r="AH19" s="4122">
        <f>Table10s5!AH47</f>
        <v>141.06361511560291</v>
      </c>
      <c r="AI19" s="4122">
        <f>Table10s5!AI47</f>
        <v>108.87118016121181</v>
      </c>
      <c r="AJ19" s="4122">
        <f>Table10s5!AJ47</f>
        <v>162.36139181563749</v>
      </c>
      <c r="AK19" s="4059">
        <f t="shared" si="0"/>
        <v>71.420617217987541</v>
      </c>
      <c r="AL19" s="19"/>
    </row>
    <row r="20" spans="2:38" ht="18" customHeight="1" thickBot="1" x14ac:dyDescent="0.3">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122" t="s">
        <v>2146</v>
      </c>
      <c r="Z20" s="4122" t="s">
        <v>2146</v>
      </c>
      <c r="AA20" s="4122" t="s">
        <v>2146</v>
      </c>
      <c r="AB20" s="4122" t="s">
        <v>2146</v>
      </c>
      <c r="AC20" s="4122" t="s">
        <v>2146</v>
      </c>
      <c r="AD20" s="4122" t="s">
        <v>2146</v>
      </c>
      <c r="AE20" s="4122" t="s">
        <v>2146</v>
      </c>
      <c r="AF20" s="4122" t="s">
        <v>2146</v>
      </c>
      <c r="AG20" s="4122" t="s">
        <v>2146</v>
      </c>
      <c r="AH20" s="4122" t="s">
        <v>2146</v>
      </c>
      <c r="AI20" s="4122" t="s">
        <v>2146</v>
      </c>
      <c r="AJ20" s="4122" t="s">
        <v>2146</v>
      </c>
      <c r="AK20" s="4059" t="str">
        <f t="shared" si="0"/>
        <v>NA</v>
      </c>
      <c r="AL20" s="19"/>
    </row>
    <row r="21" spans="2:38" ht="18" customHeight="1" x14ac:dyDescent="0.25">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06">
        <f>Table10s1!Y71</f>
        <v>547172.76070434402</v>
      </c>
      <c r="Z21" s="4306">
        <f>Table10s1!Z71</f>
        <v>549007.35299067746</v>
      </c>
      <c r="AA21" s="4306">
        <f>Table10s1!AA71</f>
        <v>552305.54978858819</v>
      </c>
      <c r="AB21" s="4306">
        <f>Table10s1!AB71</f>
        <v>543798.67548528011</v>
      </c>
      <c r="AC21" s="4306">
        <f>Table10s1!AC71</f>
        <v>535451.44090373686</v>
      </c>
      <c r="AD21" s="4306">
        <f>Table10s1!AD71</f>
        <v>544231.81470411015</v>
      </c>
      <c r="AE21" s="4306">
        <f>Table10s1!AE71</f>
        <v>552354.82909506245</v>
      </c>
      <c r="AF21" s="4306">
        <f>Table10s1!AF71</f>
        <v>559581.11089009605</v>
      </c>
      <c r="AG21" s="4306">
        <f>Table10s1!AG71</f>
        <v>560827.41413744632</v>
      </c>
      <c r="AH21" s="4306">
        <f>Table10s1!AH71</f>
        <v>555244.93120457069</v>
      </c>
      <c r="AI21" s="4306">
        <f>Table10s1!AI71</f>
        <v>536739.71800910751</v>
      </c>
      <c r="AJ21" s="4306">
        <f>Table10s1!AJ71</f>
        <v>528631.64796079381</v>
      </c>
      <c r="AK21" s="4127">
        <f t="shared" si="0"/>
        <v>120.67651944258202</v>
      </c>
      <c r="AL21" s="19"/>
    </row>
    <row r="22" spans="2:38" ht="18" customHeight="1" x14ac:dyDescent="0.25">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07">
        <f>Table10s1!Y72</f>
        <v>613332.65270992648</v>
      </c>
      <c r="Z22" s="4307">
        <f>Table10s1!Z72</f>
        <v>594032.24890962371</v>
      </c>
      <c r="AA22" s="4307">
        <f>Table10s1!AA72</f>
        <v>579077.44343529863</v>
      </c>
      <c r="AB22" s="4307">
        <f>Table10s1!AB72</f>
        <v>561101.34733727563</v>
      </c>
      <c r="AC22" s="4307">
        <f>Table10s1!AC72</f>
        <v>555817.47376703657</v>
      </c>
      <c r="AD22" s="4307">
        <f>Table10s1!AD72</f>
        <v>540912.19966222229</v>
      </c>
      <c r="AE22" s="4307">
        <f>Table10s1!AE72</f>
        <v>512483.00685924484</v>
      </c>
      <c r="AF22" s="4307">
        <f>Table10s1!AF72</f>
        <v>509809.54045567475</v>
      </c>
      <c r="AG22" s="4307">
        <f>Table10s1!AG72</f>
        <v>514226.35653928772</v>
      </c>
      <c r="AH22" s="4307">
        <f>Table10s1!AH72</f>
        <v>505857.05677806993</v>
      </c>
      <c r="AI22" s="4307">
        <f>Table10s1!AI72</f>
        <v>494232.96110296802</v>
      </c>
      <c r="AJ22" s="4307">
        <f>Table10s1!AJ72</f>
        <v>464770.66575427499</v>
      </c>
      <c r="AK22" s="4059">
        <f t="shared" si="0"/>
        <v>73.046293853105411</v>
      </c>
      <c r="AL22" s="19"/>
    </row>
    <row r="23" spans="2:38" ht="18" customHeight="1" x14ac:dyDescent="0.25">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08" t="s">
        <v>2147</v>
      </c>
      <c r="Z23" s="4308" t="s">
        <v>2147</v>
      </c>
      <c r="AA23" s="4308" t="s">
        <v>2147</v>
      </c>
      <c r="AB23" s="4308" t="s">
        <v>2147</v>
      </c>
      <c r="AC23" s="4308" t="s">
        <v>2147</v>
      </c>
      <c r="AD23" s="4308" t="s">
        <v>2147</v>
      </c>
      <c r="AE23" s="4308" t="s">
        <v>2147</v>
      </c>
      <c r="AF23" s="4308" t="s">
        <v>2147</v>
      </c>
      <c r="AG23" s="4308" t="s">
        <v>2147</v>
      </c>
      <c r="AH23" s="4308" t="s">
        <v>2147</v>
      </c>
      <c r="AI23" s="4308" t="s">
        <v>2147</v>
      </c>
      <c r="AJ23" s="4308" t="s">
        <v>2147</v>
      </c>
      <c r="AK23" s="4128" t="s">
        <v>2147</v>
      </c>
      <c r="AL23" s="19"/>
    </row>
    <row r="24" spans="2:38" ht="18" customHeight="1" thickBot="1" x14ac:dyDescent="0.3">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09" t="s">
        <v>2147</v>
      </c>
      <c r="Z24" s="4309" t="s">
        <v>2147</v>
      </c>
      <c r="AA24" s="4309" t="s">
        <v>2147</v>
      </c>
      <c r="AB24" s="4309" t="s">
        <v>2147</v>
      </c>
      <c r="AC24" s="4309" t="s">
        <v>2147</v>
      </c>
      <c r="AD24" s="4309" t="s">
        <v>2147</v>
      </c>
      <c r="AE24" s="4309" t="s">
        <v>2147</v>
      </c>
      <c r="AF24" s="4309" t="s">
        <v>2147</v>
      </c>
      <c r="AG24" s="4309" t="s">
        <v>2147</v>
      </c>
      <c r="AH24" s="4309" t="s">
        <v>2147</v>
      </c>
      <c r="AI24" s="4309" t="s">
        <v>2147</v>
      </c>
      <c r="AJ24" s="4309" t="s">
        <v>2147</v>
      </c>
      <c r="AK24" s="4129" t="s">
        <v>2147</v>
      </c>
      <c r="AL24" s="19"/>
    </row>
    <row r="25" spans="2:38" ht="18" customHeight="1" x14ac:dyDescent="0.25">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0"/>
      <c r="AL25" s="19"/>
    </row>
    <row r="26" spans="2:38" ht="18" customHeight="1" thickBot="1" x14ac:dyDescent="0.3">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5">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3">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5">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122">
        <f>Table10s1!Y11</f>
        <v>422579.51479694981</v>
      </c>
      <c r="Z29" s="4122">
        <f>Table10s1!Z11</f>
        <v>419233.05047209817</v>
      </c>
      <c r="AA29" s="4122">
        <f>Table10s1!AA11</f>
        <v>424705.2846294904</v>
      </c>
      <c r="AB29" s="4122">
        <f>Table10s1!AB11</f>
        <v>419121.75060676603</v>
      </c>
      <c r="AC29" s="4122">
        <f>Table10s1!AC11</f>
        <v>410566.3928596527</v>
      </c>
      <c r="AD29" s="4122">
        <f>Table10s1!AD11</f>
        <v>422090.18144439545</v>
      </c>
      <c r="AE29" s="4122">
        <f>Table10s1!AE11</f>
        <v>430847.15353978908</v>
      </c>
      <c r="AF29" s="4122">
        <f>Table10s1!AF11</f>
        <v>433232.80805076193</v>
      </c>
      <c r="AG29" s="4122">
        <f>Table10s1!AG11</f>
        <v>435570.37881781755</v>
      </c>
      <c r="AH29" s="4122">
        <f>Table10s1!AH11</f>
        <v>434362.68755215249</v>
      </c>
      <c r="AI29" s="4122">
        <f>Table10s1!AI11</f>
        <v>418708.56999057758</v>
      </c>
      <c r="AJ29" s="4122">
        <f>Table10s1!AJ11</f>
        <v>404026.88538330066</v>
      </c>
      <c r="AK29" s="4059">
        <f t="shared" ref="AK29:AK35" si="1">IF(AJ29="NO",IF(E29="NO","NA",-100),IF(E29="NO",100,AJ29/E29*100))</f>
        <v>135.85967959885357</v>
      </c>
      <c r="AL29" s="19"/>
    </row>
    <row r="30" spans="2:38" ht="18" customHeight="1" x14ac:dyDescent="0.25">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122">
        <f>Table10s1!Y22</f>
        <v>33438.996659318756</v>
      </c>
      <c r="Z30" s="4122">
        <f>Table10s1!Z22</f>
        <v>34249.143818524732</v>
      </c>
      <c r="AA30" s="4122">
        <f>Table10s1!AA22</f>
        <v>31896.009077256589</v>
      </c>
      <c r="AB30" s="4122">
        <f>Table10s1!AB22</f>
        <v>29689.140328031055</v>
      </c>
      <c r="AC30" s="4122">
        <f>Table10s1!AC22</f>
        <v>29619.148297540662</v>
      </c>
      <c r="AD30" s="4122">
        <f>Table10s1!AD22</f>
        <v>30478.203783182529</v>
      </c>
      <c r="AE30" s="4122">
        <f>Table10s1!AE22</f>
        <v>30556.664925587531</v>
      </c>
      <c r="AF30" s="4122">
        <f>Table10s1!AF22</f>
        <v>31153.183093127434</v>
      </c>
      <c r="AG30" s="4122">
        <f>Table10s1!AG22</f>
        <v>31810.677785357522</v>
      </c>
      <c r="AH30" s="4122">
        <f>Table10s1!AH22</f>
        <v>32549.671290285936</v>
      </c>
      <c r="AI30" s="4122">
        <f>Table10s1!AI22</f>
        <v>31898.602874836299</v>
      </c>
      <c r="AJ30" s="4122">
        <f>Table10s1!AJ22</f>
        <v>32992.298931418416</v>
      </c>
      <c r="AK30" s="4059">
        <f t="shared" si="1"/>
        <v>131.37426509582585</v>
      </c>
      <c r="AL30" s="19"/>
    </row>
    <row r="31" spans="2:38" ht="18" customHeight="1" x14ac:dyDescent="0.25">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122">
        <f>Table10s1!Y31</f>
        <v>75100.435050210945</v>
      </c>
      <c r="Z31" s="4122">
        <f>Table10s1!Z31</f>
        <v>79931.896680644873</v>
      </c>
      <c r="AA31" s="4122">
        <f>Table10s1!AA31</f>
        <v>81442.774613845759</v>
      </c>
      <c r="AB31" s="4122">
        <f>Table10s1!AB31</f>
        <v>81700.263287677226</v>
      </c>
      <c r="AC31" s="4122">
        <f>Table10s1!AC31</f>
        <v>82028.017413753856</v>
      </c>
      <c r="AD31" s="4122">
        <f>Table10s1!AD31</f>
        <v>78940.405254769008</v>
      </c>
      <c r="AE31" s="4122">
        <f>Table10s1!AE31</f>
        <v>77867.407749464794</v>
      </c>
      <c r="AF31" s="4122">
        <f>Table10s1!AF31</f>
        <v>81857.281094811449</v>
      </c>
      <c r="AG31" s="4122">
        <f>Table10s1!AG31</f>
        <v>80580.478242490601</v>
      </c>
      <c r="AH31" s="4122">
        <f>Table10s1!AH31</f>
        <v>75065.863604061029</v>
      </c>
      <c r="AI31" s="4122">
        <f>Table10s1!AI31</f>
        <v>72642.234949386388</v>
      </c>
      <c r="AJ31" s="4122">
        <f>Table10s1!AJ31</f>
        <v>78254.24393992807</v>
      </c>
      <c r="AK31" s="4059">
        <f t="shared" si="1"/>
        <v>84.970476847098439</v>
      </c>
      <c r="AL31" s="19"/>
    </row>
    <row r="32" spans="2:38" ht="18" customHeight="1" x14ac:dyDescent="0.25">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122">
        <f>Table10s1!Y42</f>
        <v>66159.892005582413</v>
      </c>
      <c r="Z32" s="4122">
        <f>Table10s1!Z42</f>
        <v>45024.895918946255</v>
      </c>
      <c r="AA32" s="4122">
        <f>Table10s1!AA42</f>
        <v>26771.89364671048</v>
      </c>
      <c r="AB32" s="4122">
        <f>Table10s1!AB42</f>
        <v>17302.671851995532</v>
      </c>
      <c r="AC32" s="4122">
        <f>Table10s1!AC42</f>
        <v>20366.032863299763</v>
      </c>
      <c r="AD32" s="4122">
        <f>Table10s1!AD42</f>
        <v>-3319.6150418878524</v>
      </c>
      <c r="AE32" s="4122">
        <f>Table10s1!AE42</f>
        <v>-39871.822235817621</v>
      </c>
      <c r="AF32" s="4122">
        <f>Table10s1!AF42</f>
        <v>-49771.570434421279</v>
      </c>
      <c r="AG32" s="4122">
        <f>Table10s1!AG42</f>
        <v>-46601.057598158615</v>
      </c>
      <c r="AH32" s="4122">
        <f>Table10s1!AH42</f>
        <v>-49387.874426500726</v>
      </c>
      <c r="AI32" s="4122">
        <f>Table10s1!AI42</f>
        <v>-42506.756906139548</v>
      </c>
      <c r="AJ32" s="4122">
        <f>Table10s1!AJ42</f>
        <v>-63860.982206518856</v>
      </c>
      <c r="AK32" s="4059">
        <f t="shared" si="1"/>
        <v>-32.218542614031179</v>
      </c>
      <c r="AL32" s="19"/>
    </row>
    <row r="33" spans="2:38" ht="18" customHeight="1" x14ac:dyDescent="0.25">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122">
        <f>Table10s1!Y51</f>
        <v>16053.814197864553</v>
      </c>
      <c r="Z33" s="4122">
        <f>Table10s1!Z51</f>
        <v>15593.262019409703</v>
      </c>
      <c r="AA33" s="4122">
        <f>Table10s1!AA51</f>
        <v>14261.481467995489</v>
      </c>
      <c r="AB33" s="4122">
        <f>Table10s1!AB51</f>
        <v>13287.521262805796</v>
      </c>
      <c r="AC33" s="4122">
        <f>Table10s1!AC51</f>
        <v>13237.882332789575</v>
      </c>
      <c r="AD33" s="4122">
        <f>Table10s1!AD51</f>
        <v>12723.024221763157</v>
      </c>
      <c r="AE33" s="4122">
        <f>Table10s1!AE51</f>
        <v>13083.602880220978</v>
      </c>
      <c r="AF33" s="4122">
        <f>Table10s1!AF51</f>
        <v>13337.838651395179</v>
      </c>
      <c r="AG33" s="4122">
        <f>Table10s1!AG51</f>
        <v>12865.879291780653</v>
      </c>
      <c r="AH33" s="4122">
        <f>Table10s1!AH51</f>
        <v>13266.708758071194</v>
      </c>
      <c r="AI33" s="4122">
        <f>Table10s1!AI51</f>
        <v>13490.310194307312</v>
      </c>
      <c r="AJ33" s="4122">
        <f>Table10s1!AJ51</f>
        <v>13358.219706146765</v>
      </c>
      <c r="AK33" s="4059">
        <f t="shared" si="1"/>
        <v>56.934788687140255</v>
      </c>
      <c r="AL33" s="19"/>
    </row>
    <row r="34" spans="2:38" ht="18" customHeight="1" x14ac:dyDescent="0.25">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125" t="str">
        <f>Table10s1!Y57</f>
        <v>NO</v>
      </c>
      <c r="Z34" s="4125" t="str">
        <f>Table10s1!Z57</f>
        <v>NO</v>
      </c>
      <c r="AA34" s="4125" t="str">
        <f>Table10s1!AA57</f>
        <v>NO</v>
      </c>
      <c r="AB34" s="4125" t="str">
        <f>Table10s1!AB57</f>
        <v>NO</v>
      </c>
      <c r="AC34" s="4125" t="str">
        <f>Table10s1!AC57</f>
        <v>NO</v>
      </c>
      <c r="AD34" s="4125" t="str">
        <f>Table10s1!AD57</f>
        <v>NO</v>
      </c>
      <c r="AE34" s="4125" t="str">
        <f>Table10s1!AE57</f>
        <v>NO</v>
      </c>
      <c r="AF34" s="4125" t="str">
        <f>Table10s1!AF57</f>
        <v>NO</v>
      </c>
      <c r="AG34" s="4125" t="str">
        <f>Table10s1!AG57</f>
        <v>NO</v>
      </c>
      <c r="AH34" s="4125" t="str">
        <f>Table10s1!AH57</f>
        <v>NO</v>
      </c>
      <c r="AI34" s="4125" t="str">
        <f>Table10s1!AI57</f>
        <v>NO</v>
      </c>
      <c r="AJ34" s="4125" t="str">
        <f>Table10s1!AJ57</f>
        <v>NO</v>
      </c>
      <c r="AK34" s="4059" t="str">
        <f t="shared" si="1"/>
        <v>NA</v>
      </c>
      <c r="AL34" s="19"/>
    </row>
    <row r="35" spans="2:38" ht="18" customHeight="1" thickBot="1" x14ac:dyDescent="0.3">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1">
        <f t="shared" si="2"/>
        <v>613332.65270992648</v>
      </c>
      <c r="Z35" s="4311">
        <f t="shared" si="2"/>
        <v>594032.24890962371</v>
      </c>
      <c r="AA35" s="4311">
        <f t="shared" si="2"/>
        <v>579077.44343529863</v>
      </c>
      <c r="AB35" s="4311">
        <f t="shared" si="2"/>
        <v>561101.34733727563</v>
      </c>
      <c r="AC35" s="4311">
        <f t="shared" si="2"/>
        <v>555817.47376703657</v>
      </c>
      <c r="AD35" s="4311">
        <f t="shared" si="2"/>
        <v>540912.19966222229</v>
      </c>
      <c r="AE35" s="4311">
        <f t="shared" si="2"/>
        <v>512483.00685924484</v>
      </c>
      <c r="AF35" s="4311">
        <f t="shared" si="2"/>
        <v>509809.54045567475</v>
      </c>
      <c r="AG35" s="4311">
        <f t="shared" si="2"/>
        <v>514226.35653928772</v>
      </c>
      <c r="AH35" s="4311">
        <f t="shared" si="2"/>
        <v>505857.05677806993</v>
      </c>
      <c r="AI35" s="4311">
        <f t="shared" si="2"/>
        <v>494232.96110296802</v>
      </c>
      <c r="AJ35" s="4311">
        <f t="shared" si="2"/>
        <v>464770.66575427499</v>
      </c>
      <c r="AK35" s="4059">
        <f t="shared" si="1"/>
        <v>73.046293853105411</v>
      </c>
      <c r="AL35" s="19"/>
    </row>
    <row r="36" spans="2:38" x14ac:dyDescent="0.25">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4.4" x14ac:dyDescent="0.25">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4.4" x14ac:dyDescent="0.25">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5">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5">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5">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5">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5">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5">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5">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5">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5">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5">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5">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5">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5">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5">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5">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5">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3">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5">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5">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5">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5">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5">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8" thickBot="1" x14ac:dyDescent="0.3">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5">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8671875" defaultRowHeight="14.4" x14ac:dyDescent="0.3"/>
  <cols>
    <col min="1" max="1" width="1.109375" style="2204" customWidth="1"/>
    <col min="2" max="2" width="24.44140625" style="2204" customWidth="1"/>
    <col min="3" max="4" width="10.5546875" style="2204" customWidth="1"/>
    <col min="5" max="5" width="35.88671875" style="2204" customWidth="1"/>
    <col min="6" max="6" width="10.5546875" style="2204" customWidth="1"/>
    <col min="7" max="7" width="43.109375" style="2204" customWidth="1"/>
    <col min="8" max="8" width="34.88671875" style="2204" customWidth="1"/>
    <col min="9" max="9" width="28.109375" style="2204" customWidth="1"/>
    <col min="10" max="10" width="45.109375" style="2204" customWidth="1"/>
    <col min="11" max="16384" width="8.88671875" style="2204"/>
  </cols>
  <sheetData>
    <row r="1" spans="2:10" s="2201" customFormat="1" ht="19.2" x14ac:dyDescent="0.35">
      <c r="B1" s="2200"/>
      <c r="C1" s="2200"/>
      <c r="G1" s="2202"/>
      <c r="H1" s="2202"/>
      <c r="J1" s="14" t="s">
        <v>2521</v>
      </c>
    </row>
    <row r="2" spans="2:10" s="913" customFormat="1" ht="15.6" x14ac:dyDescent="0.25">
      <c r="B2" s="213" t="s">
        <v>1774</v>
      </c>
      <c r="G2" s="2203"/>
      <c r="H2" s="2203"/>
      <c r="J2" s="14" t="s">
        <v>2522</v>
      </c>
    </row>
    <row r="3" spans="2:10" x14ac:dyDescent="0.3">
      <c r="G3" s="2203"/>
      <c r="H3" s="2203"/>
      <c r="J3" s="14" t="s">
        <v>2144</v>
      </c>
    </row>
    <row r="4" spans="2:10" hidden="1" x14ac:dyDescent="0.3">
      <c r="G4" s="2203"/>
      <c r="H4" s="2203"/>
      <c r="J4" s="2429"/>
    </row>
    <row r="5" spans="2:10" hidden="1" x14ac:dyDescent="0.3">
      <c r="G5" s="2203"/>
      <c r="H5" s="2203"/>
      <c r="J5" s="2429"/>
    </row>
    <row r="6" spans="2:10" hidden="1" x14ac:dyDescent="0.3">
      <c r="G6" s="2203"/>
      <c r="H6" s="2203"/>
      <c r="J6" s="2429"/>
    </row>
    <row r="7" spans="2:10" hidden="1" x14ac:dyDescent="0.3">
      <c r="G7" s="2203"/>
      <c r="H7" s="2203"/>
      <c r="J7" s="2429"/>
    </row>
    <row r="8" spans="2:10" ht="15" thickBot="1" x14ac:dyDescent="0.35">
      <c r="B8" s="2446" t="s">
        <v>64</v>
      </c>
      <c r="G8" s="2203"/>
      <c r="H8" s="2203"/>
    </row>
    <row r="9" spans="2:10" ht="36.75" customHeight="1" thickBot="1" x14ac:dyDescent="0.35">
      <c r="B9" s="2489" t="s">
        <v>1775</v>
      </c>
      <c r="C9" s="2205" t="s">
        <v>61</v>
      </c>
      <c r="D9" s="2205" t="s">
        <v>1776</v>
      </c>
      <c r="E9" s="2205" t="s">
        <v>1777</v>
      </c>
      <c r="F9" s="2205" t="s">
        <v>1778</v>
      </c>
      <c r="G9" s="2205" t="s">
        <v>1779</v>
      </c>
      <c r="H9" s="2205" t="s">
        <v>1780</v>
      </c>
      <c r="I9" s="2206" t="s">
        <v>1781</v>
      </c>
      <c r="J9" s="2206" t="s">
        <v>1782</v>
      </c>
    </row>
    <row r="10" spans="2:10" ht="15" thickTop="1" x14ac:dyDescent="0.3">
      <c r="B10" s="2207"/>
      <c r="C10" s="2208"/>
      <c r="D10" s="2209"/>
      <c r="E10" s="2209"/>
      <c r="F10" s="2209"/>
      <c r="G10" s="2209"/>
      <c r="H10" s="2210"/>
      <c r="I10" s="2211"/>
      <c r="J10" s="2211"/>
    </row>
    <row r="11" spans="2:10" x14ac:dyDescent="0.3">
      <c r="B11" s="2212"/>
      <c r="C11" s="2213"/>
      <c r="D11" s="2214"/>
      <c r="E11" s="2214"/>
      <c r="F11" s="2214"/>
      <c r="G11" s="2214"/>
      <c r="H11" s="2215"/>
      <c r="I11" s="2216"/>
      <c r="J11" s="2216"/>
    </row>
    <row r="12" spans="2:10" x14ac:dyDescent="0.3">
      <c r="B12" s="2217"/>
      <c r="C12" s="2218"/>
      <c r="D12" s="2219"/>
      <c r="E12" s="2219"/>
      <c r="F12" s="2219"/>
      <c r="G12" s="2219"/>
      <c r="H12" s="2220"/>
      <c r="I12" s="2221"/>
      <c r="J12" s="2221"/>
    </row>
    <row r="13" spans="2:10" ht="15" thickBot="1" x14ac:dyDescent="0.35">
      <c r="B13" s="2222"/>
      <c r="C13" s="2223"/>
      <c r="D13" s="2224"/>
      <c r="E13" s="2224"/>
      <c r="F13" s="2224"/>
      <c r="G13" s="2224"/>
      <c r="H13" s="2225"/>
      <c r="I13" s="2226"/>
      <c r="J13" s="2226"/>
    </row>
    <row r="16" spans="2:10" x14ac:dyDescent="0.3">
      <c r="B16" s="2407"/>
    </row>
    <row r="19" spans="2:2" x14ac:dyDescent="0.3">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09375" defaultRowHeight="13.2" x14ac:dyDescent="0.25"/>
  <cols>
    <col min="1" max="1" width="1.88671875" customWidth="1"/>
    <col min="2" max="2" width="54.109375" customWidth="1"/>
    <col min="3" max="3" width="15.109375" customWidth="1"/>
    <col min="4" max="4" width="12" customWidth="1"/>
    <col min="5" max="10" width="15.109375" customWidth="1"/>
    <col min="11" max="11" width="20.109375" bestFit="1" customWidth="1"/>
    <col min="12" max="12" width="10.88671875" customWidth="1"/>
  </cols>
  <sheetData>
    <row r="1" spans="2:12" ht="16.350000000000001" customHeight="1" x14ac:dyDescent="0.3">
      <c r="B1" s="208" t="s">
        <v>147</v>
      </c>
      <c r="C1" s="208"/>
      <c r="J1" s="226"/>
      <c r="K1" s="14" t="s">
        <v>2521</v>
      </c>
    </row>
    <row r="2" spans="2:12" ht="16.350000000000001" customHeight="1" x14ac:dyDescent="0.3">
      <c r="B2" s="13" t="s">
        <v>120</v>
      </c>
      <c r="J2" s="226"/>
      <c r="K2" s="14" t="s">
        <v>2522</v>
      </c>
    </row>
    <row r="3" spans="2:12" ht="16.350000000000001" customHeight="1" x14ac:dyDescent="0.3">
      <c r="B3" s="13" t="s">
        <v>196</v>
      </c>
      <c r="I3" s="226"/>
      <c r="J3" s="226"/>
      <c r="K3" s="14" t="s">
        <v>2144</v>
      </c>
    </row>
    <row r="4" spans="2:12" ht="12" customHeight="1" x14ac:dyDescent="0.3">
      <c r="B4" s="13"/>
      <c r="I4" s="226"/>
      <c r="J4" s="226"/>
      <c r="K4" s="226"/>
    </row>
    <row r="5" spans="2:12" ht="12" customHeight="1" x14ac:dyDescent="0.3">
      <c r="B5" s="535"/>
      <c r="I5" s="226"/>
      <c r="J5" s="226"/>
      <c r="K5" s="226"/>
    </row>
    <row r="6" spans="2:12" ht="12" customHeight="1" thickBot="1" x14ac:dyDescent="0.3">
      <c r="B6" s="2446" t="s">
        <v>64</v>
      </c>
    </row>
    <row r="7" spans="2:12" ht="12" customHeight="1" x14ac:dyDescent="0.25">
      <c r="B7" s="292" t="s">
        <v>65</v>
      </c>
      <c r="C7" s="177" t="s">
        <v>122</v>
      </c>
      <c r="D7" s="179"/>
      <c r="E7" s="177" t="s">
        <v>123</v>
      </c>
      <c r="F7" s="178"/>
      <c r="G7" s="178"/>
      <c r="H7" s="177" t="s">
        <v>124</v>
      </c>
      <c r="I7" s="178"/>
      <c r="J7" s="178"/>
      <c r="K7" s="2157" t="s">
        <v>2114</v>
      </c>
      <c r="L7" s="1840"/>
    </row>
    <row r="8" spans="2:12" ht="14.4" x14ac:dyDescent="0.25">
      <c r="B8" s="1841"/>
      <c r="C8" s="1842" t="s">
        <v>125</v>
      </c>
      <c r="D8" s="1843"/>
      <c r="E8" s="1721" t="s">
        <v>1940</v>
      </c>
      <c r="F8" s="1721" t="s">
        <v>67</v>
      </c>
      <c r="G8" s="1859" t="s">
        <v>68</v>
      </c>
      <c r="H8" s="1859" t="s">
        <v>2011</v>
      </c>
      <c r="I8" s="1721" t="s">
        <v>67</v>
      </c>
      <c r="J8" s="1721" t="s">
        <v>68</v>
      </c>
      <c r="K8" s="263" t="s">
        <v>66</v>
      </c>
    </row>
    <row r="9" spans="2:12" ht="15" thickBot="1" x14ac:dyDescent="0.3">
      <c r="B9" s="1845"/>
      <c r="C9" s="1846" t="s">
        <v>127</v>
      </c>
      <c r="D9" s="1747" t="s">
        <v>1947</v>
      </c>
      <c r="E9" s="1747" t="s">
        <v>129</v>
      </c>
      <c r="F9" s="1748" t="s">
        <v>130</v>
      </c>
      <c r="G9" s="1772"/>
      <c r="H9" s="1748" t="s">
        <v>73</v>
      </c>
      <c r="I9" s="344"/>
      <c r="J9" s="344"/>
      <c r="K9" s="345"/>
    </row>
    <row r="10" spans="2:12" ht="18" customHeight="1" thickTop="1" x14ac:dyDescent="0.25">
      <c r="B10" s="2193" t="s">
        <v>197</v>
      </c>
      <c r="C10" s="3109">
        <f>IF(SUM(C11:C16)=0,"NO",SUM(C11:C16))</f>
        <v>293827.73800376192</v>
      </c>
      <c r="D10" s="3109" t="s">
        <v>1814</v>
      </c>
      <c r="E10" s="2135"/>
      <c r="F10" s="2135"/>
      <c r="G10" s="2135"/>
      <c r="H10" s="3109">
        <f>IF(SUM(H11:H15)=0,"NO",SUM(H11:H15))</f>
        <v>13024.210275118596</v>
      </c>
      <c r="I10" s="3109">
        <f>IF(SUM(I11:I16)=0,"NO",SUM(I11:I16))</f>
        <v>97.098418812831696</v>
      </c>
      <c r="J10" s="3109">
        <f>IF(SUM(J11:J16)=0,"NO",SUM(J11:J16))</f>
        <v>0.53214797381676537</v>
      </c>
      <c r="K10" s="420" t="str">
        <f>IF(SUM(K11:K16)=0,"NO",SUM(K11:K16))</f>
        <v>NO</v>
      </c>
    </row>
    <row r="11" spans="2:12" ht="18" customHeight="1" x14ac:dyDescent="0.25">
      <c r="B11" s="282" t="s">
        <v>132</v>
      </c>
      <c r="C11" s="1913">
        <f>IF(SUM(C18,C39,C60)=0,"NO",SUM(C18,C39,C60))</f>
        <v>87782.428003761917</v>
      </c>
      <c r="D11" s="3109" t="s">
        <v>1814</v>
      </c>
      <c r="E11" s="1913">
        <f t="shared" ref="E11:E16" si="0">IFERROR(H11*1000/$C11,"NA")</f>
        <v>68.089411400243634</v>
      </c>
      <c r="F11" s="1913">
        <f t="shared" ref="F11:G16" si="1">IFERROR(I11*1000000/$C11,"NA")</f>
        <v>9.8552457573545276</v>
      </c>
      <c r="G11" s="1913">
        <f t="shared" si="1"/>
        <v>2.5642905508952891</v>
      </c>
      <c r="H11" s="1913">
        <f>IF(SUM(H18,H39,H60)=0,"NO",SUM(H18,H39,H60))</f>
        <v>5977.053854060412</v>
      </c>
      <c r="I11" s="1913">
        <f>IF(SUM(I18,I39,I60)=0,"NO",SUM(I18,I39,I60))</f>
        <v>0.86511740115435387</v>
      </c>
      <c r="J11" s="1913">
        <f>IF(SUM(J18,J39,J60)=0,"NO",SUM(J18,J39,J60))</f>
        <v>0.22509965066469267</v>
      </c>
      <c r="K11" s="3085" t="str">
        <f>IF(SUM(K18,K39,K60)=0,"NO",SUM(K18,K39,K60))</f>
        <v>NO</v>
      </c>
    </row>
    <row r="12" spans="2:12" ht="18" customHeight="1" x14ac:dyDescent="0.25">
      <c r="B12" s="282" t="s">
        <v>133</v>
      </c>
      <c r="C12" s="1913">
        <f t="shared" ref="C12:C16" si="2">IF(SUM(C19,C40,C61)=0,"NO",SUM(C19,C40,C61))</f>
        <v>6299.9999999999991</v>
      </c>
      <c r="D12" s="3109" t="s">
        <v>1814</v>
      </c>
      <c r="E12" s="1913">
        <f t="shared" si="0"/>
        <v>91.746031746031761</v>
      </c>
      <c r="F12" s="1913">
        <f t="shared" si="1"/>
        <v>0.95238095238095233</v>
      </c>
      <c r="G12" s="1913">
        <f t="shared" si="1"/>
        <v>0.66666666666666674</v>
      </c>
      <c r="H12" s="1913">
        <f t="shared" ref="H12:K16" si="3">IF(SUM(H19,H40,H61)=0,"NO",SUM(H19,H40,H61))</f>
        <v>578</v>
      </c>
      <c r="I12" s="1913">
        <f t="shared" si="3"/>
        <v>5.9999999999999993E-3</v>
      </c>
      <c r="J12" s="1913">
        <f t="shared" si="3"/>
        <v>4.1999999999999997E-3</v>
      </c>
      <c r="K12" s="3085" t="str">
        <f t="shared" si="3"/>
        <v>NO</v>
      </c>
    </row>
    <row r="13" spans="2:12" ht="18" customHeight="1" x14ac:dyDescent="0.25">
      <c r="B13" s="282" t="s">
        <v>134</v>
      </c>
      <c r="C13" s="1913">
        <f t="shared" si="2"/>
        <v>125300</v>
      </c>
      <c r="D13" s="3109" t="s">
        <v>1814</v>
      </c>
      <c r="E13" s="1913">
        <f t="shared" si="0"/>
        <v>51.629340950185025</v>
      </c>
      <c r="F13" s="1913">
        <f t="shared" si="1"/>
        <v>0.90909090909090928</v>
      </c>
      <c r="G13" s="1913">
        <f t="shared" si="1"/>
        <v>0.90909090909090928</v>
      </c>
      <c r="H13" s="1913">
        <f t="shared" si="3"/>
        <v>6469.1564210581837</v>
      </c>
      <c r="I13" s="1913">
        <f t="shared" si="3"/>
        <v>0.11390909090909093</v>
      </c>
      <c r="J13" s="1913">
        <f t="shared" si="3"/>
        <v>0.11390909090909093</v>
      </c>
      <c r="K13" s="3085" t="str">
        <f t="shared" si="3"/>
        <v>NO</v>
      </c>
    </row>
    <row r="14" spans="2:12" ht="18" customHeight="1" x14ac:dyDescent="0.25">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5">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5">
      <c r="B16" s="282" t="s">
        <v>199</v>
      </c>
      <c r="C16" s="1913">
        <f t="shared" si="2"/>
        <v>74445.310000000012</v>
      </c>
      <c r="D16" s="3109" t="s">
        <v>1814</v>
      </c>
      <c r="E16" s="1913">
        <f t="shared" si="0"/>
        <v>70.483488214368364</v>
      </c>
      <c r="F16" s="1913">
        <f t="shared" si="1"/>
        <v>1291.0604082482596</v>
      </c>
      <c r="G16" s="1913">
        <f t="shared" si="1"/>
        <v>2.5379601783239507</v>
      </c>
      <c r="H16" s="1913">
        <f t="shared" si="3"/>
        <v>5247.1651300000003</v>
      </c>
      <c r="I16" s="1913">
        <f t="shared" si="3"/>
        <v>96.113392320768256</v>
      </c>
      <c r="J16" s="1913">
        <f t="shared" si="3"/>
        <v>0.18893923224298181</v>
      </c>
      <c r="K16" s="3085" t="str">
        <f t="shared" si="3"/>
        <v>NO</v>
      </c>
    </row>
    <row r="17" spans="2:11" ht="18" customHeight="1" x14ac:dyDescent="0.25">
      <c r="B17" s="1241" t="s">
        <v>1942</v>
      </c>
      <c r="C17" s="3109">
        <f>IF(SUM(C18:C23)=0,"NO",SUM(C18:C23))</f>
        <v>60065.210000000006</v>
      </c>
      <c r="D17" s="3109" t="s">
        <v>1814</v>
      </c>
      <c r="E17" s="628"/>
      <c r="F17" s="628"/>
      <c r="G17" s="628"/>
      <c r="H17" s="3078">
        <f>IF(SUM(H18:H22)=0,"NO",SUM(H18:H22))</f>
        <v>3591.6438090367897</v>
      </c>
      <c r="I17" s="3078">
        <f>IF(SUM(I18:I23)=0,"NO",SUM(I18:I23))</f>
        <v>5.7170469805194808E-2</v>
      </c>
      <c r="J17" s="3110">
        <f>IF(SUM(J18:J23)=0,"NO",SUM(J18:J23))</f>
        <v>7.0611845995670997E-2</v>
      </c>
      <c r="K17" s="3085" t="str">
        <f>IF(SUM(K18:K23)=0,"NO",SUM(K18:K23))</f>
        <v>NO</v>
      </c>
    </row>
    <row r="18" spans="2:11" ht="18" customHeight="1" x14ac:dyDescent="0.25">
      <c r="B18" s="282" t="s">
        <v>132</v>
      </c>
      <c r="C18" s="3109">
        <f>IF(SUM(C26,C33)=0,"NO",SUM(C26,C33))</f>
        <v>18719.900000000001</v>
      </c>
      <c r="D18" s="3109" t="s">
        <v>1814</v>
      </c>
      <c r="E18" s="1913">
        <f t="shared" ref="E18" si="4">IFERROR(H18*1000/$C18,"NA")</f>
        <v>66.534276892504764</v>
      </c>
      <c r="F18" s="1913">
        <f t="shared" ref="F18:G23" si="5">IFERROR(I18*1000000/$C18,"NA")</f>
        <v>0.88064827371127063</v>
      </c>
      <c r="G18" s="1913">
        <f t="shared" si="5"/>
        <v>1.7471582952595133</v>
      </c>
      <c r="H18" s="3109">
        <f>IF(SUM(H26,H33)=0,"NO",SUM(H26,H33))</f>
        <v>1245.5150100000001</v>
      </c>
      <c r="I18" s="3109">
        <f>IF(SUM(I26,I33)=0,"NO",SUM(I26,I33))</f>
        <v>1.6485647619047618E-2</v>
      </c>
      <c r="J18" s="3109">
        <f>IF(SUM(J26,J33)=0,"NO",SUM(J26,J33))</f>
        <v>3.2706628571428566E-2</v>
      </c>
      <c r="K18" s="3085" t="str">
        <f>IF(SUM(K26,K33)=0,"NO",SUM(K26,K33))</f>
        <v>NO</v>
      </c>
    </row>
    <row r="19" spans="2:11" ht="18" customHeight="1" x14ac:dyDescent="0.25">
      <c r="B19" s="282" t="s">
        <v>133</v>
      </c>
      <c r="C19" s="3109">
        <f t="shared" ref="C19:C21" si="6">IF(SUM(C27,C34)=0,"NO",SUM(C27,C34))</f>
        <v>5699.9999999999991</v>
      </c>
      <c r="D19" s="3109" t="s">
        <v>1814</v>
      </c>
      <c r="E19" s="1913">
        <f t="shared" ref="E19:E23" si="7">IFERROR(H19*1000/$C19,"NA")</f>
        <v>91.666666666666686</v>
      </c>
      <c r="F19" s="1913">
        <f t="shared" si="5"/>
        <v>0.95238095238095233</v>
      </c>
      <c r="G19" s="1913">
        <f t="shared" si="5"/>
        <v>0.66666666666666674</v>
      </c>
      <c r="H19" s="3109">
        <f t="shared" ref="H19:K21" si="8">IF(SUM(H27,H34)=0,"NO",SUM(H27,H34))</f>
        <v>522.5</v>
      </c>
      <c r="I19" s="3109">
        <f t="shared" si="8"/>
        <v>5.4285714285714276E-3</v>
      </c>
      <c r="J19" s="3109">
        <f t="shared" si="8"/>
        <v>3.7999999999999996E-3</v>
      </c>
      <c r="K19" s="3085" t="str">
        <f t="shared" si="8"/>
        <v>NO</v>
      </c>
    </row>
    <row r="20" spans="2:11" ht="18" customHeight="1" x14ac:dyDescent="0.25">
      <c r="B20" s="282" t="s">
        <v>134</v>
      </c>
      <c r="C20" s="3109">
        <f t="shared" si="6"/>
        <v>35300.000000000007</v>
      </c>
      <c r="D20" s="3109" t="s">
        <v>1814</v>
      </c>
      <c r="E20" s="1913">
        <f t="shared" si="7"/>
        <v>51.660872493960035</v>
      </c>
      <c r="F20" s="1913">
        <f t="shared" si="5"/>
        <v>0.90909090909090895</v>
      </c>
      <c r="G20" s="1913">
        <f t="shared" si="5"/>
        <v>0.90909090909090895</v>
      </c>
      <c r="H20" s="3109">
        <f t="shared" si="8"/>
        <v>1823.6287990367896</v>
      </c>
      <c r="I20" s="3109">
        <f t="shared" si="8"/>
        <v>3.2090909090909094E-2</v>
      </c>
      <c r="J20" s="3109">
        <f t="shared" si="8"/>
        <v>3.2090909090909094E-2</v>
      </c>
      <c r="K20" s="3085" t="str">
        <f t="shared" si="8"/>
        <v>NO</v>
      </c>
    </row>
    <row r="21" spans="2:11" ht="18" customHeight="1" x14ac:dyDescent="0.25">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5">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5">
      <c r="B23" s="282" t="s">
        <v>1943</v>
      </c>
      <c r="C23" s="3109">
        <f>IF(SUM(C31,C37)=0,"NO",SUM(C31,C37))</f>
        <v>345.30999999999995</v>
      </c>
      <c r="D23" s="3109" t="s">
        <v>1814</v>
      </c>
      <c r="E23" s="1913">
        <f t="shared" si="7"/>
        <v>94.000000000000014</v>
      </c>
      <c r="F23" s="1913">
        <f t="shared" si="5"/>
        <v>9.1666666666666679</v>
      </c>
      <c r="G23" s="1913">
        <f t="shared" si="5"/>
        <v>5.8333333333333348</v>
      </c>
      <c r="H23" s="3109">
        <f>IF(SUM(H31,H37)=0,"NO",SUM(H31,H37))</f>
        <v>32.459139999999998</v>
      </c>
      <c r="I23" s="3109">
        <f>IF(SUM(I31,I37)=0,"NO",SUM(I31,I37))</f>
        <v>3.1653416666666667E-3</v>
      </c>
      <c r="J23" s="3109">
        <f>IF(SUM(J31,J37)=0,"NO",SUM(J31,J37))</f>
        <v>2.0143083333333334E-3</v>
      </c>
      <c r="K23" s="3085" t="str">
        <f>IF(SUM(K31,K37)=0,"NO",SUM(K31,K37))</f>
        <v>NO</v>
      </c>
    </row>
    <row r="24" spans="2:11" ht="18" customHeight="1" x14ac:dyDescent="0.25">
      <c r="B24" s="1275" t="s">
        <v>200</v>
      </c>
      <c r="C24" s="3096"/>
      <c r="D24" s="3097"/>
      <c r="E24" s="3097"/>
      <c r="F24" s="3097"/>
      <c r="G24" s="3097"/>
      <c r="H24" s="3097"/>
      <c r="I24" s="3097"/>
      <c r="J24" s="3097"/>
      <c r="K24" s="3111"/>
    </row>
    <row r="25" spans="2:11" ht="18" customHeight="1" x14ac:dyDescent="0.25">
      <c r="B25" s="1242" t="s">
        <v>201</v>
      </c>
      <c r="C25" s="3078">
        <f>IF(SUM(C26:C31)=0,"NO",SUM(C26:C31))</f>
        <v>60065.210000000006</v>
      </c>
      <c r="D25" s="3078" t="s">
        <v>1814</v>
      </c>
      <c r="E25" s="628"/>
      <c r="F25" s="628"/>
      <c r="G25" s="628"/>
      <c r="H25" s="3078">
        <f>IF(SUM(H26:H30)=0,"NO",SUM(H26:H30))</f>
        <v>3591.6438090367897</v>
      </c>
      <c r="I25" s="3078">
        <f>IF(SUM(I26:I31)=0,"NO",SUM(I26:I31))</f>
        <v>5.7170469805194808E-2</v>
      </c>
      <c r="J25" s="3110">
        <f>IF(SUM(J26:J31)=0,"NO",SUM(J26:J31))</f>
        <v>7.0611845995670997E-2</v>
      </c>
      <c r="K25" s="3085" t="str">
        <f>IF(SUM(K26:K31)=0,"NO",SUM(K26:K31))</f>
        <v>NO</v>
      </c>
    </row>
    <row r="26" spans="2:11" ht="18" customHeight="1" x14ac:dyDescent="0.25">
      <c r="B26" s="282" t="s">
        <v>132</v>
      </c>
      <c r="C26" s="691">
        <v>18719.900000000001</v>
      </c>
      <c r="D26" s="3078" t="s">
        <v>1814</v>
      </c>
      <c r="E26" s="1913">
        <f t="shared" ref="E26:E31" si="9">IFERROR(H26*1000/$C26,"NA")</f>
        <v>66.534276892504764</v>
      </c>
      <c r="F26" s="1913">
        <f t="shared" ref="F26:G31" si="10">IFERROR(I26*1000000/$C26,"NA")</f>
        <v>0.88064827371127063</v>
      </c>
      <c r="G26" s="1913">
        <f t="shared" si="10"/>
        <v>1.7471582952595133</v>
      </c>
      <c r="H26" s="691">
        <v>1245.5150100000001</v>
      </c>
      <c r="I26" s="691">
        <v>1.6485647619047618E-2</v>
      </c>
      <c r="J26" s="691">
        <v>3.2706628571428566E-2</v>
      </c>
      <c r="K26" s="2911" t="s">
        <v>2146</v>
      </c>
    </row>
    <row r="27" spans="2:11" ht="18" customHeight="1" x14ac:dyDescent="0.25">
      <c r="B27" s="282" t="s">
        <v>133</v>
      </c>
      <c r="C27" s="691">
        <v>5699.9999999999991</v>
      </c>
      <c r="D27" s="3078" t="s">
        <v>1814</v>
      </c>
      <c r="E27" s="1913">
        <f t="shared" si="9"/>
        <v>91.666666666666686</v>
      </c>
      <c r="F27" s="1913">
        <f t="shared" si="10"/>
        <v>0.95238095238095233</v>
      </c>
      <c r="G27" s="1913">
        <f t="shared" si="10"/>
        <v>0.66666666666666674</v>
      </c>
      <c r="H27" s="691">
        <v>522.5</v>
      </c>
      <c r="I27" s="691">
        <v>5.4285714285714276E-3</v>
      </c>
      <c r="J27" s="691">
        <v>3.7999999999999996E-3</v>
      </c>
      <c r="K27" s="2911" t="s">
        <v>2146</v>
      </c>
    </row>
    <row r="28" spans="2:11" ht="18" customHeight="1" x14ac:dyDescent="0.25">
      <c r="B28" s="282" t="s">
        <v>134</v>
      </c>
      <c r="C28" s="691">
        <v>35300.000000000007</v>
      </c>
      <c r="D28" s="3078" t="s">
        <v>1814</v>
      </c>
      <c r="E28" s="1913">
        <f t="shared" si="9"/>
        <v>51.660872493960035</v>
      </c>
      <c r="F28" s="1913">
        <f t="shared" si="10"/>
        <v>0.90909090909090895</v>
      </c>
      <c r="G28" s="1913">
        <f t="shared" si="10"/>
        <v>0.90909090909090895</v>
      </c>
      <c r="H28" s="691">
        <v>1823.6287990367896</v>
      </c>
      <c r="I28" s="691">
        <v>3.2090909090909094E-2</v>
      </c>
      <c r="J28" s="691">
        <v>3.2090909090909094E-2</v>
      </c>
      <c r="K28" s="2911" t="s">
        <v>2146</v>
      </c>
    </row>
    <row r="29" spans="2:11" ht="18" customHeight="1" x14ac:dyDescent="0.25">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5">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5">
      <c r="B31" s="282" t="s">
        <v>1943</v>
      </c>
      <c r="C31" s="691">
        <v>345.30999999999995</v>
      </c>
      <c r="D31" s="3078" t="s">
        <v>1814</v>
      </c>
      <c r="E31" s="1913">
        <f t="shared" si="9"/>
        <v>94.000000000000014</v>
      </c>
      <c r="F31" s="1913">
        <f t="shared" si="10"/>
        <v>9.1666666666666679</v>
      </c>
      <c r="G31" s="1913">
        <f t="shared" si="10"/>
        <v>5.8333333333333348</v>
      </c>
      <c r="H31" s="691">
        <v>32.459139999999998</v>
      </c>
      <c r="I31" s="691">
        <v>3.1653416666666667E-3</v>
      </c>
      <c r="J31" s="691">
        <v>2.0143083333333334E-3</v>
      </c>
      <c r="K31" s="2911" t="s">
        <v>2146</v>
      </c>
    </row>
    <row r="32" spans="2:11" ht="18" customHeight="1" x14ac:dyDescent="0.25">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5">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5">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5">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5">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5">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5">
      <c r="B38" s="1241" t="s">
        <v>1944</v>
      </c>
      <c r="C38" s="3078">
        <f>IF(SUM(C39:C44)=0,"NO",SUM(C39:C44))</f>
        <v>184952.52800376195</v>
      </c>
      <c r="D38" s="3078" t="s">
        <v>1814</v>
      </c>
      <c r="E38" s="628"/>
      <c r="F38" s="628"/>
      <c r="G38" s="628"/>
      <c r="H38" s="1913">
        <f>IF(SUM(H39:H43)=0,"NO",SUM(H39:H43))</f>
        <v>6026.6364660818053</v>
      </c>
      <c r="I38" s="1913">
        <f>IF(SUM(I39:I44)=0,"NO",SUM(I39:I44))</f>
        <v>96.861315009693172</v>
      </c>
      <c r="J38" s="1913">
        <f>IF(SUM(J39:J44)=0,"NO",SUM(J39:J44))</f>
        <v>0.2805170802020468</v>
      </c>
      <c r="K38" s="3085" t="str">
        <f>IF(SUM(K39:K44)=0,"NO",SUM(K39:K44))</f>
        <v>NO</v>
      </c>
    </row>
    <row r="39" spans="2:11" ht="18" customHeight="1" x14ac:dyDescent="0.25">
      <c r="B39" s="282" t="s">
        <v>132</v>
      </c>
      <c r="C39" s="3109">
        <f>IF(SUM(C47,C54)=0,"NO",SUM(C47,C54))</f>
        <v>20252.528003761916</v>
      </c>
      <c r="D39" s="3078" t="s">
        <v>1814</v>
      </c>
      <c r="E39" s="1913">
        <f t="shared" ref="E39:E44" si="13">IFERROR(H39*1000/$C39,"NA")</f>
        <v>65.453993882352805</v>
      </c>
      <c r="F39" s="1913">
        <f t="shared" ref="F39:G44" si="14">IFERROR(I39*1000000/$C39,"NA")</f>
        <v>33.018022247778745</v>
      </c>
      <c r="G39" s="1913">
        <f t="shared" si="14"/>
        <v>0.56160764088827753</v>
      </c>
      <c r="H39" s="1913">
        <f>IF(SUM(H47,H54)=0,"NO",SUM(H47,H54))</f>
        <v>1325.6088440604115</v>
      </c>
      <c r="I39" s="1913">
        <f>IF(SUM(I47,I54)=0,"NO",SUM(I47,I54))</f>
        <v>0.66869842020197301</v>
      </c>
      <c r="J39" s="1913">
        <f>IF(SUM(J47,J54)=0,"NO",SUM(J47,J54))</f>
        <v>1.1373974474216507E-2</v>
      </c>
      <c r="K39" s="3085" t="str">
        <f>IF(SUM(K47,K54)=0,"NO",SUM(K47,K54))</f>
        <v>NO</v>
      </c>
    </row>
    <row r="40" spans="2:11" ht="18" customHeight="1" x14ac:dyDescent="0.25">
      <c r="B40" s="282" t="s">
        <v>133</v>
      </c>
      <c r="C40" s="3109">
        <f t="shared" ref="C40:C42" si="15">IF(SUM(C48,C55)=0,"NO",SUM(C48,C55))</f>
        <v>600</v>
      </c>
      <c r="D40" s="3078" t="s">
        <v>1814</v>
      </c>
      <c r="E40" s="1913">
        <f t="shared" si="13"/>
        <v>92.5</v>
      </c>
      <c r="F40" s="1913">
        <f t="shared" si="14"/>
        <v>0.95238095238095222</v>
      </c>
      <c r="G40" s="1913">
        <f t="shared" si="14"/>
        <v>0.66666666666666663</v>
      </c>
      <c r="H40" s="1913">
        <f t="shared" ref="H40:K42" si="16">IF(SUM(H48,H55)=0,"NO",SUM(H48,H55))</f>
        <v>55.5</v>
      </c>
      <c r="I40" s="1913">
        <f t="shared" si="16"/>
        <v>5.7142857142857136E-4</v>
      </c>
      <c r="J40" s="1913">
        <f t="shared" si="16"/>
        <v>4.0000000000000002E-4</v>
      </c>
      <c r="K40" s="3085" t="str">
        <f t="shared" si="16"/>
        <v>NO</v>
      </c>
    </row>
    <row r="41" spans="2:11" ht="18" customHeight="1" x14ac:dyDescent="0.25">
      <c r="B41" s="282" t="s">
        <v>134</v>
      </c>
      <c r="C41" s="3109">
        <f t="shared" si="15"/>
        <v>90000</v>
      </c>
      <c r="D41" s="3078" t="s">
        <v>1814</v>
      </c>
      <c r="E41" s="1913">
        <f t="shared" si="13"/>
        <v>51.616973578015489</v>
      </c>
      <c r="F41" s="1913">
        <f t="shared" si="14"/>
        <v>0.90909090909090928</v>
      </c>
      <c r="G41" s="1913">
        <f t="shared" si="14"/>
        <v>0.90909090909090928</v>
      </c>
      <c r="H41" s="1913">
        <f t="shared" si="16"/>
        <v>4645.5276220213937</v>
      </c>
      <c r="I41" s="1913">
        <f t="shared" si="16"/>
        <v>8.1818181818181832E-2</v>
      </c>
      <c r="J41" s="1913">
        <f t="shared" si="16"/>
        <v>8.1818181818181832E-2</v>
      </c>
      <c r="K41" s="3085" t="str">
        <f t="shared" si="16"/>
        <v>NO</v>
      </c>
    </row>
    <row r="42" spans="2:11" ht="18" customHeight="1" x14ac:dyDescent="0.25">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5">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5">
      <c r="B44" s="282" t="s">
        <v>1943</v>
      </c>
      <c r="C44" s="3109">
        <f>IF(SUM(C52,C58)=0,"NO",SUM(C52,C58))</f>
        <v>74100.000000000015</v>
      </c>
      <c r="D44" s="3078" t="s">
        <v>1814</v>
      </c>
      <c r="E44" s="1913">
        <f t="shared" si="13"/>
        <v>70.373899999999992</v>
      </c>
      <c r="F44" s="1913">
        <f t="shared" si="14"/>
        <v>1297.0341022820724</v>
      </c>
      <c r="G44" s="1913">
        <f t="shared" si="14"/>
        <v>2.5226035615337175</v>
      </c>
      <c r="H44" s="1913">
        <f>IF(SUM(H52,H58)=0,"NO",SUM(H52,H58))</f>
        <v>5214.7059900000004</v>
      </c>
      <c r="I44" s="1913">
        <f>IF(SUM(I52,I58)=0,"NO",SUM(I52,I58))</f>
        <v>96.110226979101583</v>
      </c>
      <c r="J44" s="1913">
        <f>IF(SUM(J52,J58)=0,"NO",SUM(J52,J58))</f>
        <v>0.18692492390964849</v>
      </c>
      <c r="K44" s="3085" t="str">
        <f>IF(SUM(K52,K58)=0,"NO",SUM(K52,K58))</f>
        <v>NO</v>
      </c>
    </row>
    <row r="45" spans="2:11" ht="18" customHeight="1" x14ac:dyDescent="0.25">
      <c r="B45" s="1241" t="s">
        <v>203</v>
      </c>
      <c r="C45" s="3096"/>
      <c r="D45" s="3097"/>
      <c r="E45" s="3097"/>
      <c r="F45" s="3097"/>
      <c r="G45" s="3097"/>
      <c r="H45" s="3097"/>
      <c r="I45" s="3097"/>
      <c r="J45" s="3097"/>
      <c r="K45" s="3111"/>
    </row>
    <row r="46" spans="2:11" ht="18" customHeight="1" x14ac:dyDescent="0.25">
      <c r="B46" s="1242" t="s">
        <v>204</v>
      </c>
      <c r="C46" s="3078">
        <f>IF(SUM(C47:C52)=0,"NO",SUM(C47:C52))</f>
        <v>181311.79624664882</v>
      </c>
      <c r="D46" s="3078" t="s">
        <v>1814</v>
      </c>
      <c r="E46" s="628"/>
      <c r="F46" s="628"/>
      <c r="G46" s="628"/>
      <c r="H46" s="1913">
        <f>IF(SUM(H47:H51)=0,"NO",SUM(H47:H51))</f>
        <v>5780.7803834154956</v>
      </c>
      <c r="I46" s="1913">
        <f>IF(SUM(I47:I52)=0,"NO",SUM(I47:I52))</f>
        <v>96.220345531148283</v>
      </c>
      <c r="J46" s="1913">
        <f>IF(SUM(J47:J52)=0,"NO",SUM(J47:J52))</f>
        <v>0.27909270358305821</v>
      </c>
      <c r="K46" s="3085" t="str">
        <f>IF(SUM(K47:K52)=0,"NO",SUM(K47:K52))</f>
        <v>NO</v>
      </c>
    </row>
    <row r="47" spans="2:11" ht="18" customHeight="1" x14ac:dyDescent="0.25">
      <c r="B47" s="282" t="s">
        <v>132</v>
      </c>
      <c r="C47" s="691">
        <v>16611.796246648795</v>
      </c>
      <c r="D47" s="3078" t="s">
        <v>1814</v>
      </c>
      <c r="E47" s="1913">
        <f t="shared" ref="E47:E52" si="17">IFERROR(H47*1000/$C47,"NA")</f>
        <v>64.999157548174679</v>
      </c>
      <c r="F47" s="1913">
        <f t="shared" ref="F47:G52" si="18">IFERROR(I47*1000000/$C47,"NA")</f>
        <v>1.6692319870396752</v>
      </c>
      <c r="G47" s="1913">
        <f t="shared" si="18"/>
        <v>0.59894774216455249</v>
      </c>
      <c r="H47" s="691">
        <v>1079.752761394102</v>
      </c>
      <c r="I47" s="691">
        <v>2.7728941657091791E-2</v>
      </c>
      <c r="J47" s="691">
        <v>9.9495978552278826E-3</v>
      </c>
      <c r="K47" s="2911" t="s">
        <v>2146</v>
      </c>
    </row>
    <row r="48" spans="2:11" ht="18" customHeight="1" x14ac:dyDescent="0.25">
      <c r="B48" s="282" t="s">
        <v>133</v>
      </c>
      <c r="C48" s="691">
        <v>600</v>
      </c>
      <c r="D48" s="3078" t="s">
        <v>1814</v>
      </c>
      <c r="E48" s="1913">
        <f t="shared" si="17"/>
        <v>92.5</v>
      </c>
      <c r="F48" s="1913">
        <f t="shared" si="18"/>
        <v>0.95238095238095222</v>
      </c>
      <c r="G48" s="1913">
        <f t="shared" si="18"/>
        <v>0.66666666666666663</v>
      </c>
      <c r="H48" s="691">
        <v>55.5</v>
      </c>
      <c r="I48" s="691">
        <v>5.7142857142857136E-4</v>
      </c>
      <c r="J48" s="691">
        <v>4.0000000000000002E-4</v>
      </c>
      <c r="K48" s="2911" t="s">
        <v>2146</v>
      </c>
    </row>
    <row r="49" spans="2:11" ht="18" customHeight="1" x14ac:dyDescent="0.25">
      <c r="B49" s="282" t="s">
        <v>134</v>
      </c>
      <c r="C49" s="691">
        <v>90000</v>
      </c>
      <c r="D49" s="3078" t="s">
        <v>1814</v>
      </c>
      <c r="E49" s="1913">
        <f t="shared" si="17"/>
        <v>51.616973578015489</v>
      </c>
      <c r="F49" s="1913">
        <f t="shared" si="18"/>
        <v>0.90909090909090928</v>
      </c>
      <c r="G49" s="1913">
        <f t="shared" si="18"/>
        <v>0.90909090909090928</v>
      </c>
      <c r="H49" s="691">
        <v>4645.5276220213937</v>
      </c>
      <c r="I49" s="691">
        <v>8.1818181818181832E-2</v>
      </c>
      <c r="J49" s="691">
        <v>8.1818181818181832E-2</v>
      </c>
      <c r="K49" s="2911" t="s">
        <v>2146</v>
      </c>
    </row>
    <row r="50" spans="2:11" ht="18" customHeight="1" x14ac:dyDescent="0.25">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5">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5">
      <c r="B52" s="282" t="s">
        <v>1943</v>
      </c>
      <c r="C52" s="691">
        <v>74100.000000000015</v>
      </c>
      <c r="D52" s="3078" t="s">
        <v>1814</v>
      </c>
      <c r="E52" s="1913">
        <f t="shared" si="17"/>
        <v>70.373899999999992</v>
      </c>
      <c r="F52" s="1913">
        <f t="shared" si="18"/>
        <v>1297.0341022820724</v>
      </c>
      <c r="G52" s="1913">
        <f t="shared" si="18"/>
        <v>2.5226035615337175</v>
      </c>
      <c r="H52" s="691">
        <v>5214.7059900000004</v>
      </c>
      <c r="I52" s="691">
        <v>96.110226979101583</v>
      </c>
      <c r="J52" s="691">
        <v>0.18692492390964849</v>
      </c>
      <c r="K52" s="2911" t="s">
        <v>2146</v>
      </c>
    </row>
    <row r="53" spans="2:11" ht="18" customHeight="1" x14ac:dyDescent="0.25">
      <c r="B53" s="1242" t="s">
        <v>205</v>
      </c>
      <c r="C53" s="3078">
        <f>IF(SUM(C54:C58)=0,"NO",SUM(C54:C58))</f>
        <v>3640.7317571131198</v>
      </c>
      <c r="D53" s="3078" t="s">
        <v>1814</v>
      </c>
      <c r="E53" s="628"/>
      <c r="F53" s="628"/>
      <c r="G53" s="628"/>
      <c r="H53" s="3078">
        <f>IF(SUM(H54:H57)=0,"NO",SUM(H54:H57))</f>
        <v>245.85608266630956</v>
      </c>
      <c r="I53" s="3078">
        <f>IF(SUM(I54:I58)=0,"NO",SUM(I54:I58))</f>
        <v>0.64096947854488118</v>
      </c>
      <c r="J53" s="3078">
        <f>IF(SUM(J54:J58)=0,"NO",SUM(J54:J58))</f>
        <v>1.4243766189886247E-3</v>
      </c>
      <c r="K53" s="2921"/>
    </row>
    <row r="54" spans="2:11" ht="18" customHeight="1" x14ac:dyDescent="0.25">
      <c r="B54" s="282" t="s">
        <v>132</v>
      </c>
      <c r="C54" s="691">
        <v>3640.7317571131198</v>
      </c>
      <c r="D54" s="3078" t="s">
        <v>1814</v>
      </c>
      <c r="E54" s="1913">
        <f t="shared" ref="E54:E58" si="19">IFERROR(H54*1000/$C54,"NA")</f>
        <v>67.529304290535961</v>
      </c>
      <c r="F54" s="1913">
        <f t="shared" ref="F54:G58" si="20">IFERROR(I54*1000000/$C54,"NA")</f>
        <v>176.0551233395814</v>
      </c>
      <c r="G54" s="1913">
        <f t="shared" si="20"/>
        <v>0.39123360742129193</v>
      </c>
      <c r="H54" s="691">
        <v>245.85608266630956</v>
      </c>
      <c r="I54" s="691">
        <v>0.64096947854488118</v>
      </c>
      <c r="J54" s="691">
        <v>1.4243766189886247E-3</v>
      </c>
      <c r="K54" s="2921"/>
    </row>
    <row r="55" spans="2:11" ht="18" customHeight="1" x14ac:dyDescent="0.25">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5">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5">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5">
      <c r="B58" s="282" t="s">
        <v>1943</v>
      </c>
      <c r="C58" s="691" t="s">
        <v>2146</v>
      </c>
      <c r="D58" s="3078" t="s">
        <v>1814</v>
      </c>
      <c r="E58" s="1913" t="str">
        <f t="shared" si="19"/>
        <v>NA</v>
      </c>
      <c r="F58" s="1913" t="str">
        <f t="shared" si="20"/>
        <v>NA</v>
      </c>
      <c r="G58" s="1913" t="str">
        <f t="shared" si="20"/>
        <v>NA</v>
      </c>
      <c r="H58" s="691" t="s">
        <v>2146</v>
      </c>
      <c r="I58" s="691" t="s">
        <v>2146</v>
      </c>
      <c r="J58" s="691" t="s">
        <v>2146</v>
      </c>
      <c r="K58" s="2921"/>
    </row>
    <row r="59" spans="2:11" ht="18" customHeight="1" x14ac:dyDescent="0.25">
      <c r="B59" s="1245" t="s">
        <v>206</v>
      </c>
      <c r="C59" s="3078">
        <f>IF(SUM(C60:C65)=0,"NO",SUM(C60:C65))</f>
        <v>48810</v>
      </c>
      <c r="D59" s="3078" t="s">
        <v>1814</v>
      </c>
      <c r="E59" s="628"/>
      <c r="F59" s="628"/>
      <c r="G59" s="628"/>
      <c r="H59" s="1913">
        <f>IF(SUM(H60:H64)=0,"NO",SUM(H60:H64))</f>
        <v>3405.9300000000007</v>
      </c>
      <c r="I59" s="1913">
        <f>IF(SUM(I60:I65)=0,"NO",SUM(I60:I65))</f>
        <v>0.17993333333333331</v>
      </c>
      <c r="J59" s="1913">
        <f>IF(SUM(J60:J65)=0,"NO",SUM(J60:J65))</f>
        <v>0.18101904761904761</v>
      </c>
      <c r="K59" s="3085" t="str">
        <f>IF(SUM(K60:K65)=0,"NO",SUM(K60:K65))</f>
        <v>NO</v>
      </c>
    </row>
    <row r="60" spans="2:11" ht="18" customHeight="1" x14ac:dyDescent="0.25">
      <c r="B60" s="282" t="s">
        <v>132</v>
      </c>
      <c r="C60" s="1913">
        <f>IF(SUM(C67,C74:C77,C84:C87)=0,"NO",SUM(C67,C74:C77,C84:C87))</f>
        <v>48810</v>
      </c>
      <c r="D60" s="3078" t="s">
        <v>1814</v>
      </c>
      <c r="E60" s="1913">
        <f t="shared" ref="E60:E65" si="21">IFERROR(H60*1000/$C60,"NA")</f>
        <v>69.779348494161056</v>
      </c>
      <c r="F60" s="1913">
        <f t="shared" ref="F60:G65" si="22">IFERROR(I60*1000000/$C60,"NA")</f>
        <v>3.686403059482346</v>
      </c>
      <c r="G60" s="1913">
        <f t="shared" si="22"/>
        <v>3.7086467449098053</v>
      </c>
      <c r="H60" s="1913">
        <f>IF(SUM(H67,H74:H77,H84:H87)=0,"NO",SUM(H67,H74:H77,H84:H87))</f>
        <v>3405.9300000000007</v>
      </c>
      <c r="I60" s="1913">
        <f>IF(SUM(I67,I74:I77,I84:I87)=0,"NO",SUM(I67,I74:I77,I84:I87))</f>
        <v>0.17993333333333331</v>
      </c>
      <c r="J60" s="1913">
        <f>IF(SUM(J67,J74:J77,J84:J87)=0,"NO",SUM(J67,J74:J77,J84:J87))</f>
        <v>0.18101904761904761</v>
      </c>
      <c r="K60" s="3085" t="str">
        <f>IF(SUM(K67,K74:K77,K84:K87)=0,"NO",SUM(K67,K74:K77,K84:K87))</f>
        <v>NO</v>
      </c>
    </row>
    <row r="61" spans="2:11" ht="18" customHeight="1" x14ac:dyDescent="0.25">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5">
      <c r="B62" s="282" t="s">
        <v>134</v>
      </c>
      <c r="C62" s="1913" t="str">
        <f>IF(SUM(C69,C79,C89)=0,"NO",SUM(C69,C79,C89))</f>
        <v>NO</v>
      </c>
      <c r="D62" s="3078" t="s">
        <v>1814</v>
      </c>
      <c r="E62" s="1913" t="str">
        <f t="shared" si="21"/>
        <v>NA</v>
      </c>
      <c r="F62" s="1913" t="str">
        <f t="shared" si="22"/>
        <v>NA</v>
      </c>
      <c r="G62" s="1913" t="str">
        <f t="shared" si="22"/>
        <v>NA</v>
      </c>
      <c r="H62" s="1913" t="str">
        <f>IF(SUM(H69,H79,H89)=0,"NO",SUM(H69,H79,H89))</f>
        <v>NO</v>
      </c>
      <c r="I62" s="1913" t="str">
        <f>IF(SUM(I69,I79,I89)=0,"NO",SUM(I69,I79,I89))</f>
        <v>NO</v>
      </c>
      <c r="J62" s="1913" t="str">
        <f>IF(SUM(J69,J79,J89)=0,"NO",SUM(J69,J79,J89))</f>
        <v>NO</v>
      </c>
      <c r="K62" s="3085" t="str">
        <f>IF(SUM(K69,K79,K89)=0,"NO",SUM(K69,K79,K89))</f>
        <v>NO</v>
      </c>
    </row>
    <row r="63" spans="2:11" ht="18" customHeight="1" x14ac:dyDescent="0.25">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5">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5">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5">
      <c r="B66" s="1246" t="s">
        <v>207</v>
      </c>
      <c r="C66" s="1913">
        <f>IF(SUM(C67:C72)=0,"NO",SUM(C67:C72))</f>
        <v>48810</v>
      </c>
      <c r="D66" s="3078" t="s">
        <v>1814</v>
      </c>
      <c r="E66" s="2108"/>
      <c r="F66" s="2108"/>
      <c r="G66" s="2108"/>
      <c r="H66" s="1913">
        <f>IF(SUM(H67:H71)=0,"NO",SUM(H67:H71))</f>
        <v>3405.9300000000007</v>
      </c>
      <c r="I66" s="1913">
        <f>IF(SUM(I67:I72)=0,"NO",SUM(I67:I72))</f>
        <v>0.17993333333333331</v>
      </c>
      <c r="J66" s="1913">
        <f>IF(SUM(J67:J72)=0,"NO",SUM(J67:J72))</f>
        <v>0.18101904761904761</v>
      </c>
      <c r="K66" s="3085" t="str">
        <f>IF(SUM(K67:K72)=0,"NO",SUM(K67:K72))</f>
        <v>NO</v>
      </c>
    </row>
    <row r="67" spans="2:11" ht="18" customHeight="1" x14ac:dyDescent="0.25">
      <c r="B67" s="282" t="s">
        <v>132</v>
      </c>
      <c r="C67" s="691">
        <v>48810</v>
      </c>
      <c r="D67" s="3078" t="s">
        <v>1814</v>
      </c>
      <c r="E67" s="1913">
        <f t="shared" ref="E67:E72" si="23">IFERROR(H67*1000/$C67,"NA")</f>
        <v>69.779348494161056</v>
      </c>
      <c r="F67" s="1913">
        <f t="shared" ref="F67:G72" si="24">IFERROR(I67*1000000/$C67,"NA")</f>
        <v>3.686403059482346</v>
      </c>
      <c r="G67" s="1913">
        <f t="shared" si="24"/>
        <v>3.7086467449098053</v>
      </c>
      <c r="H67" s="691">
        <v>3405.9300000000007</v>
      </c>
      <c r="I67" s="691">
        <v>0.17993333333333331</v>
      </c>
      <c r="J67" s="691">
        <v>0.18101904761904761</v>
      </c>
      <c r="K67" s="2911" t="s">
        <v>2146</v>
      </c>
    </row>
    <row r="68" spans="2:11" ht="18" customHeight="1" x14ac:dyDescent="0.25">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5">
      <c r="B69" s="282" t="s">
        <v>134</v>
      </c>
      <c r="C69" s="691" t="s">
        <v>2146</v>
      </c>
      <c r="D69" s="3078" t="s">
        <v>1814</v>
      </c>
      <c r="E69" s="1913" t="str">
        <f t="shared" si="23"/>
        <v>NA</v>
      </c>
      <c r="F69" s="1913" t="str">
        <f t="shared" si="24"/>
        <v>NA</v>
      </c>
      <c r="G69" s="1913" t="str">
        <f t="shared" si="24"/>
        <v>NA</v>
      </c>
      <c r="H69" s="691" t="s">
        <v>2146</v>
      </c>
      <c r="I69" s="691" t="s">
        <v>2146</v>
      </c>
      <c r="J69" s="691" t="s">
        <v>2146</v>
      </c>
      <c r="K69" s="2911" t="s">
        <v>2146</v>
      </c>
    </row>
    <row r="70" spans="2:11" ht="18" customHeight="1" x14ac:dyDescent="0.25">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5">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5">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5">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5">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5">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5">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5">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5">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5">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5">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5">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5">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5">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5">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5">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5">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5">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5">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5">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5">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5">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3">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5">
      <c r="B93" s="1276" t="s">
        <v>211</v>
      </c>
      <c r="C93" s="3109">
        <f>IF(SUM(C94:C99)=0,"NO",SUM(C94:C99))</f>
        <v>6022.0402982182131</v>
      </c>
      <c r="D93" s="3078" t="s">
        <v>1814</v>
      </c>
      <c r="E93" s="2134"/>
      <c r="F93" s="2134"/>
      <c r="G93" s="2134"/>
      <c r="H93" s="3109">
        <f>IF(SUM(H94:H98)=0,"NO",SUM(H94:H98))</f>
        <v>418.99551792193483</v>
      </c>
      <c r="I93" s="3109">
        <f>IF(SUM(I94:I99)=0,"NO",SUM(I94:I99))</f>
        <v>2.6183991477554312E-2</v>
      </c>
      <c r="J93" s="3113">
        <f>IF(SUM(J94:J99)=0,"NO",SUM(J94:J99))</f>
        <v>1.1196441665532852E-2</v>
      </c>
      <c r="K93" s="449" t="str">
        <f>IF(SUM(K94:K99)=0,"NO",SUM(K94:K99))</f>
        <v>NO</v>
      </c>
    </row>
    <row r="94" spans="2:11" ht="18" customHeight="1" x14ac:dyDescent="0.25">
      <c r="B94" s="282" t="s">
        <v>132</v>
      </c>
      <c r="C94" s="691">
        <f>IF(SUM(C102,C110)=0,"NO",SUM(C102,C110))</f>
        <v>6022.0402982182131</v>
      </c>
      <c r="D94" s="1913" t="s">
        <v>1814</v>
      </c>
      <c r="E94" s="1913">
        <f t="shared" ref="E94:E99" si="32">IFERROR(H94*1000/$C94,"NA")</f>
        <v>69.577003336544635</v>
      </c>
      <c r="F94" s="1913">
        <f t="shared" ref="F94:G99" si="33">IFERROR(I94*1000000/$C94,"NA")</f>
        <v>4.3480266123927409</v>
      </c>
      <c r="G94" s="1913">
        <f t="shared" si="33"/>
        <v>1.8592438959343447</v>
      </c>
      <c r="H94" s="691">
        <f t="shared" ref="H94:K97" si="34">IF(SUM(H102,H110)=0,"NO",SUM(H102,H110))</f>
        <v>418.99551792193483</v>
      </c>
      <c r="I94" s="691">
        <f t="shared" si="34"/>
        <v>2.6183991477554312E-2</v>
      </c>
      <c r="J94" s="691">
        <f t="shared" si="34"/>
        <v>1.1196441665532852E-2</v>
      </c>
      <c r="K94" s="2911" t="str">
        <f t="shared" si="34"/>
        <v>NO</v>
      </c>
    </row>
    <row r="95" spans="2:11" ht="18" customHeight="1" x14ac:dyDescent="0.25">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5">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5">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5">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5">
      <c r="B99" s="282" t="s">
        <v>1943</v>
      </c>
      <c r="C99" s="691" t="str">
        <f>IF(SUM(C107,C114)=0,"NO",SUM(C107,C114))</f>
        <v>NO</v>
      </c>
      <c r="D99" s="1913" t="s">
        <v>1814</v>
      </c>
      <c r="E99" s="1913" t="str">
        <f t="shared" si="32"/>
        <v>NA</v>
      </c>
      <c r="F99" s="1913" t="str">
        <f t="shared" si="33"/>
        <v>NA</v>
      </c>
      <c r="G99" s="1913" t="str">
        <f t="shared" si="33"/>
        <v>NA</v>
      </c>
      <c r="H99" s="691" t="str">
        <f>IF(SUM(H107,H114)=0,"NO",SUM(H107,H114))</f>
        <v>NO</v>
      </c>
      <c r="I99" s="691" t="str">
        <f>IF(SUM(I107,I114)=0,"NO",SUM(I107,I114))</f>
        <v>NO</v>
      </c>
      <c r="J99" s="691" t="str">
        <f>IF(SUM(J107,J114)=0,"NO",SUM(J107,J114))</f>
        <v>NO</v>
      </c>
      <c r="K99" s="2911" t="str">
        <f>IF(SUM(K107,K114)=0,"NO",SUM(K107,K114))</f>
        <v>NO</v>
      </c>
    </row>
    <row r="100" spans="2:11" ht="18" customHeight="1" x14ac:dyDescent="0.25">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5">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5">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5">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5">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5">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5">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5">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5">
      <c r="B108" s="1247" t="s">
        <v>213</v>
      </c>
      <c r="C108" s="3078">
        <f>C109</f>
        <v>6022.0402982182131</v>
      </c>
      <c r="D108" s="1913" t="s">
        <v>1814</v>
      </c>
      <c r="E108" s="1931"/>
      <c r="F108" s="1931"/>
      <c r="G108" s="1931"/>
      <c r="H108" s="3078">
        <f>H109</f>
        <v>418.99551792193483</v>
      </c>
      <c r="I108" s="3078">
        <f>I109</f>
        <v>2.6183991477554312E-2</v>
      </c>
      <c r="J108" s="3110">
        <f>J109</f>
        <v>1.1196441665532852E-2</v>
      </c>
      <c r="K108" s="2921"/>
    </row>
    <row r="109" spans="2:11" ht="18" customHeight="1" x14ac:dyDescent="0.25">
      <c r="B109" s="3125" t="s">
        <v>2149</v>
      </c>
      <c r="C109" s="3099">
        <f>IF(SUM(C110:C114)=0,"NO",SUM(C110:C114))</f>
        <v>6022.0402982182131</v>
      </c>
      <c r="D109" s="1913" t="s">
        <v>1814</v>
      </c>
      <c r="E109" s="628"/>
      <c r="F109" s="628"/>
      <c r="G109" s="628"/>
      <c r="H109" s="3099">
        <f>IF(SUM(H110:H113)=0,"NO",SUM(H110:H113))</f>
        <v>418.99551792193483</v>
      </c>
      <c r="I109" s="3099">
        <f>IF(SUM(I110:I114)=0,"NO",SUM(I110:I114))</f>
        <v>2.6183991477554312E-2</v>
      </c>
      <c r="J109" s="3099">
        <f>IF(SUM(J110:J114)=0,"NO",SUM(J110:J114))</f>
        <v>1.1196441665532852E-2</v>
      </c>
      <c r="K109" s="2921"/>
    </row>
    <row r="110" spans="2:11" ht="18" customHeight="1" x14ac:dyDescent="0.25">
      <c r="B110" s="282" t="s">
        <v>132</v>
      </c>
      <c r="C110" s="691">
        <v>6022.0402982182131</v>
      </c>
      <c r="D110" s="1913" t="s">
        <v>1814</v>
      </c>
      <c r="E110" s="1913">
        <f t="shared" ref="E110:E114" si="37">IFERROR(H110*1000/$C110,"NA")</f>
        <v>69.577003336544635</v>
      </c>
      <c r="F110" s="1913">
        <f t="shared" ref="F110:G114" si="38">IFERROR(I110*1000000/$C110,"NA")</f>
        <v>4.3480266123927409</v>
      </c>
      <c r="G110" s="1913">
        <f t="shared" si="38"/>
        <v>1.8592438959343447</v>
      </c>
      <c r="H110" s="691">
        <v>418.99551792193483</v>
      </c>
      <c r="I110" s="691">
        <v>2.6183991477554312E-2</v>
      </c>
      <c r="J110" s="691">
        <v>1.1196441665532852E-2</v>
      </c>
      <c r="K110" s="3114"/>
    </row>
    <row r="111" spans="2:11" ht="18" customHeight="1" x14ac:dyDescent="0.25">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5">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5">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3">
      <c r="B114" s="2185" t="s">
        <v>199</v>
      </c>
      <c r="C114" s="1559">
        <v>0</v>
      </c>
      <c r="D114" s="2880" t="s">
        <v>1814</v>
      </c>
      <c r="E114" s="2880" t="str">
        <f t="shared" si="37"/>
        <v>NA</v>
      </c>
      <c r="F114" s="2880" t="str">
        <f t="shared" si="38"/>
        <v>NA</v>
      </c>
      <c r="G114" s="2880" t="str">
        <f t="shared" si="38"/>
        <v>NA</v>
      </c>
      <c r="H114" s="1559" t="s">
        <v>2146</v>
      </c>
      <c r="I114" s="1559" t="s">
        <v>2146</v>
      </c>
      <c r="J114" s="1559" t="s">
        <v>2146</v>
      </c>
      <c r="K114" s="3115"/>
    </row>
    <row r="115" spans="2:11" s="2195" customFormat="1" ht="18" customHeight="1" x14ac:dyDescent="0.25">
      <c r="B115" s="2194" t="s">
        <v>1945</v>
      </c>
      <c r="C115" s="3116"/>
      <c r="D115" s="3117"/>
      <c r="E115" s="3117"/>
      <c r="F115" s="3117"/>
      <c r="G115" s="3117"/>
      <c r="H115" s="3117"/>
      <c r="I115" s="3117"/>
      <c r="J115" s="3117"/>
      <c r="K115" s="3118"/>
    </row>
    <row r="116" spans="2:11" s="2195" customFormat="1" ht="18" customHeight="1" x14ac:dyDescent="0.25">
      <c r="B116" s="2196" t="s">
        <v>214</v>
      </c>
      <c r="C116" s="3119"/>
      <c r="D116" s="3120"/>
      <c r="E116" s="3120"/>
      <c r="F116" s="3120"/>
      <c r="G116" s="3120"/>
      <c r="H116" s="3120"/>
      <c r="I116" s="3120"/>
      <c r="J116" s="3120"/>
      <c r="K116" s="3121"/>
    </row>
    <row r="117" spans="2:11" s="2195" customFormat="1" ht="18" customHeight="1" x14ac:dyDescent="0.25">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3">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5">
      <c r="B119" s="2197"/>
      <c r="C119" s="2198"/>
      <c r="D119" s="2198"/>
      <c r="E119" s="2198"/>
      <c r="F119" s="2198"/>
      <c r="G119" s="2198"/>
      <c r="H119" s="2198"/>
      <c r="I119" s="2198"/>
      <c r="J119" s="2198"/>
      <c r="K119" s="2198"/>
    </row>
    <row r="120" spans="2:11" ht="12" customHeight="1" x14ac:dyDescent="0.25">
      <c r="B120" s="994"/>
      <c r="C120" s="994"/>
      <c r="D120" s="994"/>
    </row>
    <row r="121" spans="2:11" ht="12" customHeight="1" x14ac:dyDescent="0.25">
      <c r="B121" s="72"/>
    </row>
    <row r="122" spans="2:11" ht="12" customHeight="1" x14ac:dyDescent="0.25">
      <c r="B122" s="994"/>
      <c r="C122" s="994"/>
      <c r="D122" s="994"/>
      <c r="E122" s="994"/>
      <c r="F122" s="994"/>
      <c r="G122" s="994"/>
      <c r="H122" s="994"/>
      <c r="I122" s="994"/>
      <c r="J122" s="994"/>
    </row>
    <row r="123" spans="2:11" ht="12" customHeight="1" x14ac:dyDescent="0.25">
      <c r="B123" s="994"/>
      <c r="C123" s="994"/>
      <c r="D123" s="994"/>
      <c r="E123" s="994"/>
      <c r="F123" s="994"/>
      <c r="G123" s="994"/>
    </row>
    <row r="124" spans="2:11" ht="12" customHeight="1" x14ac:dyDescent="0.25">
      <c r="B124" s="994"/>
      <c r="C124" s="994"/>
      <c r="D124" s="994"/>
      <c r="E124" s="994"/>
      <c r="F124" s="994"/>
      <c r="G124" s="994"/>
      <c r="H124" s="994"/>
      <c r="I124" s="994"/>
    </row>
    <row r="125" spans="2:11" ht="12" customHeight="1" x14ac:dyDescent="0.25">
      <c r="B125" s="72"/>
      <c r="C125" s="72"/>
      <c r="D125" s="72"/>
      <c r="E125" s="72"/>
      <c r="F125" s="72"/>
      <c r="G125" s="72"/>
      <c r="H125" s="72"/>
      <c r="I125" s="72"/>
      <c r="J125" s="72"/>
    </row>
    <row r="126" spans="2:11" ht="12" customHeight="1" x14ac:dyDescent="0.25">
      <c r="B126" s="1023"/>
      <c r="C126" s="961"/>
      <c r="D126" s="961"/>
      <c r="E126" s="961"/>
      <c r="F126" s="961"/>
      <c r="G126" s="961"/>
      <c r="H126" s="961"/>
      <c r="I126" s="961"/>
      <c r="J126" s="961"/>
      <c r="K126" s="2187"/>
    </row>
    <row r="127" spans="2:11" ht="12" customHeight="1" x14ac:dyDescent="0.25">
      <c r="B127" s="1023"/>
      <c r="C127" s="961"/>
      <c r="D127" s="961"/>
      <c r="E127" s="961"/>
      <c r="F127" s="961"/>
      <c r="G127" s="961"/>
      <c r="H127" s="961"/>
      <c r="I127" s="961"/>
      <c r="J127" s="961"/>
      <c r="K127" s="2187"/>
    </row>
    <row r="128" spans="2:11" ht="12" customHeight="1" x14ac:dyDescent="0.25">
      <c r="B128" s="1023"/>
      <c r="C128" s="961"/>
      <c r="D128" s="961"/>
      <c r="E128" s="961"/>
      <c r="F128" s="961"/>
      <c r="G128" s="961"/>
      <c r="H128" s="961"/>
      <c r="I128" s="961"/>
      <c r="J128" s="961"/>
      <c r="K128" s="2187"/>
    </row>
    <row r="129" spans="2:11" ht="12" customHeight="1" x14ac:dyDescent="0.25">
      <c r="B129" s="809"/>
      <c r="C129" s="809"/>
      <c r="D129" s="809"/>
      <c r="E129" s="809"/>
      <c r="F129" s="809"/>
      <c r="G129" s="809"/>
      <c r="H129" s="809"/>
    </row>
    <row r="130" spans="2:11" ht="12" customHeight="1" x14ac:dyDescent="0.25">
      <c r="B130" s="809"/>
      <c r="C130" s="809"/>
      <c r="D130" s="809"/>
      <c r="E130" s="809"/>
      <c r="F130" s="809"/>
      <c r="G130" s="809"/>
      <c r="H130" s="809"/>
    </row>
    <row r="131" spans="2:11" ht="12" customHeight="1" x14ac:dyDescent="0.25">
      <c r="B131" s="1023"/>
      <c r="C131" s="961"/>
      <c r="D131" s="961"/>
      <c r="E131" s="961"/>
      <c r="F131" s="961"/>
      <c r="G131" s="961"/>
      <c r="H131" s="961"/>
      <c r="I131" s="961"/>
      <c r="J131" s="961"/>
      <c r="K131" s="2187"/>
    </row>
    <row r="132" spans="2:11" ht="12" customHeight="1" x14ac:dyDescent="0.25">
      <c r="B132" s="1023"/>
      <c r="C132" s="961"/>
      <c r="D132" s="961"/>
      <c r="E132" s="961"/>
      <c r="F132" s="961"/>
      <c r="G132" s="961"/>
      <c r="H132" s="961"/>
      <c r="I132" s="961"/>
      <c r="J132" s="961"/>
      <c r="K132" s="2187"/>
    </row>
    <row r="133" spans="2:11" ht="12" customHeight="1" x14ac:dyDescent="0.25">
      <c r="B133" s="72"/>
    </row>
    <row r="134" spans="2:11" ht="12" customHeight="1" x14ac:dyDescent="0.25">
      <c r="B134" s="72"/>
    </row>
    <row r="135" spans="2:11" ht="12" customHeight="1" x14ac:dyDescent="0.25">
      <c r="B135" s="72"/>
    </row>
    <row r="136" spans="2:11" ht="12" customHeight="1" x14ac:dyDescent="0.25">
      <c r="B136" s="72"/>
    </row>
    <row r="137" spans="2:11" ht="12" customHeight="1" x14ac:dyDescent="0.25">
      <c r="B137" s="72"/>
    </row>
    <row r="138" spans="2:11" ht="12" customHeight="1" x14ac:dyDescent="0.25">
      <c r="B138" s="72"/>
    </row>
    <row r="139" spans="2:11" ht="12" customHeight="1" x14ac:dyDescent="0.25">
      <c r="B139" s="72"/>
    </row>
    <row r="140" spans="2:11" ht="12" customHeight="1" x14ac:dyDescent="0.25">
      <c r="B140" s="72"/>
    </row>
    <row r="141" spans="2:11" ht="12" customHeight="1" x14ac:dyDescent="0.25">
      <c r="B141" s="72"/>
    </row>
    <row r="142" spans="2:11" ht="12" customHeight="1" x14ac:dyDescent="0.25">
      <c r="B142" s="72"/>
    </row>
    <row r="143" spans="2:11" ht="12" customHeight="1" x14ac:dyDescent="0.25">
      <c r="B143" s="72"/>
    </row>
    <row r="144" spans="2:11" ht="12" customHeight="1" thickBot="1" x14ac:dyDescent="0.3">
      <c r="B144" s="72"/>
    </row>
    <row r="145" spans="2:11" ht="12" customHeight="1" x14ac:dyDescent="0.25">
      <c r="B145" s="223" t="s">
        <v>215</v>
      </c>
      <c r="C145" s="224"/>
      <c r="D145" s="224"/>
      <c r="E145" s="224"/>
      <c r="F145" s="224"/>
      <c r="G145" s="224"/>
      <c r="H145" s="224"/>
      <c r="I145" s="224"/>
      <c r="J145" s="224"/>
      <c r="K145" s="225"/>
    </row>
    <row r="146" spans="2:11" ht="12" customHeight="1" x14ac:dyDescent="0.25">
      <c r="B146" s="1460"/>
      <c r="C146" s="1461"/>
      <c r="D146" s="1461"/>
      <c r="E146" s="1461"/>
      <c r="F146" s="1461"/>
      <c r="G146" s="1461"/>
      <c r="H146" s="1461"/>
      <c r="I146" s="1461"/>
      <c r="J146" s="1461"/>
      <c r="K146" s="1462"/>
    </row>
    <row r="147" spans="2:11" ht="12" customHeight="1" x14ac:dyDescent="0.25">
      <c r="B147" s="1460"/>
      <c r="C147" s="1461"/>
      <c r="D147" s="1461"/>
      <c r="E147" s="1461"/>
      <c r="F147" s="1461"/>
      <c r="G147" s="1461"/>
      <c r="H147" s="1461"/>
      <c r="I147" s="1461"/>
      <c r="J147" s="1461"/>
      <c r="K147" s="1462"/>
    </row>
    <row r="148" spans="2:11" ht="12" customHeight="1" x14ac:dyDescent="0.25">
      <c r="B148" s="1460"/>
      <c r="C148" s="1461"/>
      <c r="D148" s="1461"/>
      <c r="E148" s="1461"/>
      <c r="F148" s="1461"/>
      <c r="G148" s="1461"/>
      <c r="H148" s="1461"/>
      <c r="I148" s="1461"/>
      <c r="J148" s="1461"/>
      <c r="K148" s="1462"/>
    </row>
    <row r="149" spans="2:11" ht="12" customHeight="1" x14ac:dyDescent="0.25">
      <c r="B149" s="1460"/>
      <c r="C149" s="1461"/>
      <c r="D149" s="1461"/>
      <c r="E149" s="1461"/>
      <c r="F149" s="1461"/>
      <c r="G149" s="1461"/>
      <c r="H149" s="1461"/>
      <c r="I149" s="1461"/>
      <c r="J149" s="1461"/>
      <c r="K149" s="1462"/>
    </row>
    <row r="150" spans="2:11" ht="12" customHeight="1" x14ac:dyDescent="0.25">
      <c r="B150" s="1051"/>
      <c r="C150" s="1052"/>
      <c r="D150" s="1052"/>
      <c r="E150" s="1052"/>
      <c r="F150" s="1052"/>
      <c r="G150" s="1052"/>
      <c r="H150" s="1052"/>
      <c r="I150" s="1052"/>
      <c r="J150" s="1052"/>
      <c r="K150" s="1053"/>
    </row>
    <row r="151" spans="2:11" ht="12" customHeight="1" thickBot="1" x14ac:dyDescent="0.3">
      <c r="B151" s="1054"/>
      <c r="C151" s="1055"/>
      <c r="D151" s="1055"/>
      <c r="E151" s="1055"/>
      <c r="F151" s="1055"/>
      <c r="G151" s="1055"/>
      <c r="H151" s="1055"/>
      <c r="I151" s="1055"/>
      <c r="J151" s="1055"/>
      <c r="K151" s="2199"/>
    </row>
    <row r="152" spans="2:11" ht="41.25" customHeight="1" thickBot="1" x14ac:dyDescent="0.3">
      <c r="B152" s="4440" t="s">
        <v>2273</v>
      </c>
      <c r="C152" s="4441"/>
      <c r="D152" s="4441"/>
      <c r="E152" s="4441"/>
      <c r="F152" s="4441"/>
      <c r="G152" s="4441"/>
      <c r="H152" s="4441"/>
      <c r="I152" s="4441"/>
      <c r="J152" s="4441"/>
      <c r="K152" s="4442"/>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3.2" x14ac:dyDescent="0.25"/>
  <cols>
    <col min="1" max="1" width="1.88671875" style="110" customWidth="1"/>
    <col min="2" max="2" width="7.88671875" style="110" customWidth="1"/>
    <col min="3" max="3" width="9.109375" style="110" customWidth="1"/>
    <col min="4" max="4" width="28.109375" style="110" bestFit="1" customWidth="1"/>
    <col min="5" max="5" width="5" style="110" customWidth="1"/>
    <col min="6" max="6" width="9.109375" style="110" bestFit="1" customWidth="1"/>
    <col min="7" max="8" width="10.88671875" style="110" customWidth="1"/>
    <col min="9" max="10" width="11" style="110" bestFit="1" customWidth="1"/>
    <col min="11" max="11" width="10.5546875" style="110" bestFit="1" customWidth="1"/>
    <col min="12" max="12" width="11.88671875" style="110" customWidth="1"/>
    <col min="13" max="13" width="6.5546875" style="110" customWidth="1"/>
    <col min="14" max="15" width="12.44140625" style="110" customWidth="1"/>
    <col min="16" max="16" width="8.5546875" style="110" customWidth="1"/>
    <col min="17" max="17" width="11" style="110" bestFit="1" customWidth="1"/>
    <col min="18" max="18" width="11.44140625" style="110" customWidth="1"/>
    <col min="19" max="19" width="11.109375" style="110" customWidth="1"/>
    <col min="20" max="20" width="12.109375" style="110" customWidth="1"/>
    <col min="21" max="21" width="10.88671875" style="110" customWidth="1"/>
    <col min="22" max="16384" width="8" style="110"/>
  </cols>
  <sheetData>
    <row r="1" spans="2:20" ht="16.350000000000001" customHeight="1" x14ac:dyDescent="0.3">
      <c r="B1" s="209" t="s">
        <v>216</v>
      </c>
      <c r="C1" s="209"/>
      <c r="D1" s="209"/>
      <c r="E1" s="209"/>
      <c r="F1" s="209"/>
      <c r="G1" s="209"/>
      <c r="H1" s="209"/>
      <c r="S1" s="28"/>
      <c r="T1" s="14" t="s">
        <v>2521</v>
      </c>
    </row>
    <row r="2" spans="2:20" ht="16.350000000000001" customHeight="1" x14ac:dyDescent="0.4">
      <c r="B2" s="209" t="s">
        <v>217</v>
      </c>
      <c r="C2" s="209"/>
      <c r="D2" s="209"/>
      <c r="E2" s="209"/>
      <c r="F2" s="209"/>
      <c r="G2" s="209"/>
      <c r="H2" s="209"/>
      <c r="I2" s="209"/>
      <c r="J2" s="209"/>
      <c r="S2" s="28"/>
      <c r="T2" s="14" t="s">
        <v>2522</v>
      </c>
    </row>
    <row r="3" spans="2:20" ht="16.350000000000001" customHeight="1" x14ac:dyDescent="0.3">
      <c r="B3" s="209" t="s">
        <v>62</v>
      </c>
      <c r="C3" s="209"/>
      <c r="D3" s="209"/>
      <c r="S3" s="2"/>
      <c r="T3" s="14" t="s">
        <v>2144</v>
      </c>
    </row>
    <row r="4" spans="2:20" ht="12" customHeight="1" x14ac:dyDescent="0.3">
      <c r="B4" s="209"/>
      <c r="C4" s="209"/>
      <c r="D4" s="209"/>
      <c r="S4" s="2"/>
      <c r="T4" s="2"/>
    </row>
    <row r="5" spans="2:20" ht="12" hidden="1" customHeight="1" x14ac:dyDescent="0.3">
      <c r="B5" s="209"/>
      <c r="C5" s="209"/>
      <c r="D5" s="209"/>
      <c r="S5" s="2"/>
      <c r="T5" s="2"/>
    </row>
    <row r="6" spans="2:20" ht="12" hidden="1" customHeight="1" x14ac:dyDescent="0.3">
      <c r="B6" s="209"/>
      <c r="C6" s="209"/>
      <c r="D6" s="209"/>
      <c r="S6" s="2"/>
      <c r="T6" s="2"/>
    </row>
    <row r="7" spans="2:20" ht="12" customHeight="1" thickBot="1" x14ac:dyDescent="0.3">
      <c r="B7" s="2446" t="s">
        <v>64</v>
      </c>
    </row>
    <row r="8" spans="2:20" ht="34.200000000000003" x14ac:dyDescent="0.25">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3">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5">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5">
      <c r="B11" s="1727" t="s">
        <v>240</v>
      </c>
      <c r="C11" s="1567" t="s">
        <v>241</v>
      </c>
      <c r="D11" s="38" t="s">
        <v>242</v>
      </c>
      <c r="E11" s="2575" t="s">
        <v>2150</v>
      </c>
      <c r="F11" s="3361">
        <v>1183778</v>
      </c>
      <c r="G11" s="3361">
        <v>449049.98014200001</v>
      </c>
      <c r="H11" s="3361">
        <v>266474</v>
      </c>
      <c r="I11" s="3381"/>
      <c r="J11" s="3361">
        <v>-12200</v>
      </c>
      <c r="K11" s="3369">
        <f t="shared" ref="K11:K28" si="0">IF((SUM(F11:G11)-SUM(H11:J11))=0,"NO",(SUM(F11:G11)-SUM(H11:J11)))</f>
        <v>1378553.9801420001</v>
      </c>
      <c r="L11" s="2577">
        <f>IF(K11="NO","NA",1)</f>
        <v>1</v>
      </c>
      <c r="M11" s="5" t="s">
        <v>1814</v>
      </c>
      <c r="N11" s="3369">
        <f>K11</f>
        <v>1378553.9801420001</v>
      </c>
      <c r="O11" s="3342">
        <v>18.980716253443529</v>
      </c>
      <c r="P11" s="3369">
        <f>IFERROR(N11*O11/1000,"NA")</f>
        <v>26165.94193713053</v>
      </c>
      <c r="Q11" s="3369" t="str">
        <f>'Table1.A(d)'!G11</f>
        <v>NA</v>
      </c>
      <c r="R11" s="3369">
        <f>IF(SUM(P11,-SUM(Q11))=0,"NO",SUM(P11,-SUM(Q11)))</f>
        <v>26165.94193713053</v>
      </c>
      <c r="S11" s="2577">
        <f>IF(R11="NO","NA",1)</f>
        <v>1</v>
      </c>
      <c r="T11" s="3375">
        <f>IF(R11="NO","NO",R11*S11*44/12)</f>
        <v>95941.787102811955</v>
      </c>
    </row>
    <row r="12" spans="2:20" ht="18" customHeight="1" x14ac:dyDescent="0.25">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5">
      <c r="B13" s="1727"/>
      <c r="C13" s="1568"/>
      <c r="D13" s="38" t="s">
        <v>244</v>
      </c>
      <c r="E13" s="2575" t="s">
        <v>2150</v>
      </c>
      <c r="F13" s="3361">
        <v>108291.5</v>
      </c>
      <c r="G13" s="3361" t="s">
        <v>2146</v>
      </c>
      <c r="H13" s="3361" t="s">
        <v>2146</v>
      </c>
      <c r="I13" s="3381"/>
      <c r="J13" s="3361" t="s">
        <v>2146</v>
      </c>
      <c r="K13" s="3369">
        <f t="shared" si="0"/>
        <v>108291.5</v>
      </c>
      <c r="L13" s="2577">
        <f t="shared" si="1"/>
        <v>1</v>
      </c>
      <c r="M13" s="5" t="s">
        <v>1814</v>
      </c>
      <c r="N13" s="3369">
        <f t="shared" si="2"/>
        <v>108291.5</v>
      </c>
      <c r="O13" s="3342">
        <v>16.315522287697391</v>
      </c>
      <c r="P13" s="3369">
        <f t="shared" si="3"/>
        <v>1766.8323818181821</v>
      </c>
      <c r="Q13" s="3369" t="str">
        <f>'Table1.A(d)'!G13</f>
        <v>NA</v>
      </c>
      <c r="R13" s="3369">
        <f>IF(SUM(P13,-SUM(Q13))=0,"NO",SUM(P13,-SUM(Q13)))</f>
        <v>1766.8323818181821</v>
      </c>
      <c r="S13" s="2577">
        <f t="shared" si="4"/>
        <v>1</v>
      </c>
      <c r="T13" s="3375">
        <f t="shared" si="5"/>
        <v>6478.3854000000001</v>
      </c>
    </row>
    <row r="14" spans="2:20" ht="18" customHeight="1" x14ac:dyDescent="0.25">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5">
      <c r="B15" s="1727"/>
      <c r="C15" s="1567" t="s">
        <v>246</v>
      </c>
      <c r="D15" s="36" t="s">
        <v>167</v>
      </c>
      <c r="E15" s="2575" t="s">
        <v>2150</v>
      </c>
      <c r="F15" s="3381"/>
      <c r="G15" s="3361">
        <v>58533.460849000003</v>
      </c>
      <c r="H15" s="3361">
        <v>9987.44</v>
      </c>
      <c r="I15" s="3361" t="s">
        <v>2146</v>
      </c>
      <c r="J15" s="3361">
        <v>5521.3243243243223</v>
      </c>
      <c r="K15" s="3369">
        <f t="shared" si="0"/>
        <v>43024.696524675681</v>
      </c>
      <c r="L15" s="2577">
        <f>IF(K15="NO","NA",1)</f>
        <v>1</v>
      </c>
      <c r="M15" s="5" t="s">
        <v>1814</v>
      </c>
      <c r="N15" s="3369">
        <f t="shared" si="2"/>
        <v>43024.696524675681</v>
      </c>
      <c r="O15" s="3342">
        <v>18.38924450570898</v>
      </c>
      <c r="P15" s="3369">
        <f t="shared" si="3"/>
        <v>791.19166417618851</v>
      </c>
      <c r="Q15" s="3369" t="str">
        <f>'Table1.A(d)'!G15</f>
        <v>NA</v>
      </c>
      <c r="R15" s="3369">
        <f>IF(SUM(P15,-SUM(Q15))=0,"NO",SUM(P15,-SUM(Q15)))</f>
        <v>791.19166417618851</v>
      </c>
      <c r="S15" s="2577">
        <f>IF(R15="NO","NA",1)</f>
        <v>1</v>
      </c>
      <c r="T15" s="3375">
        <f>IF(R15="NO","NO",R15*S15*44/12)</f>
        <v>2901.0361019793581</v>
      </c>
    </row>
    <row r="16" spans="2:20" ht="18" customHeight="1" x14ac:dyDescent="0.25">
      <c r="B16" s="1727"/>
      <c r="C16" s="1567"/>
      <c r="D16" s="36" t="s">
        <v>178</v>
      </c>
      <c r="E16" s="2575" t="s">
        <v>2150</v>
      </c>
      <c r="F16" s="3382"/>
      <c r="G16" s="3361">
        <v>8607.52</v>
      </c>
      <c r="H16" s="3361">
        <v>19897.760000000002</v>
      </c>
      <c r="I16" s="3361">
        <v>62970</v>
      </c>
      <c r="J16" s="3361">
        <v>698.03783783783877</v>
      </c>
      <c r="K16" s="3369">
        <f t="shared" si="0"/>
        <v>-74958.277837837843</v>
      </c>
      <c r="L16" s="2577">
        <f t="shared" ref="L16:L28" si="6">IF(K16="NO","NA",1)</f>
        <v>1</v>
      </c>
      <c r="M16" s="5" t="s">
        <v>1814</v>
      </c>
      <c r="N16" s="3369">
        <f t="shared" si="2"/>
        <v>-74958.277837837843</v>
      </c>
      <c r="O16" s="3342">
        <v>18.981818181818181</v>
      </c>
      <c r="P16" s="3369">
        <f t="shared" si="3"/>
        <v>-1422.8444011400491</v>
      </c>
      <c r="Q16" s="3369" t="str">
        <f>'Table1.A(d)'!G16</f>
        <v>NA</v>
      </c>
      <c r="R16" s="3369">
        <f t="shared" ref="R16:R44" si="7">IF(SUM(P16,-SUM(Q16))=0,"NO",SUM(P16,-SUM(Q16)))</f>
        <v>-1422.8444011400491</v>
      </c>
      <c r="S16" s="2577">
        <f t="shared" ref="S16:S28" si="8">IF(R16="NO","NA",1)</f>
        <v>1</v>
      </c>
      <c r="T16" s="3375">
        <f t="shared" ref="T16:T28" si="9">IF(R16="NO","NO",R16*S16*44/12)</f>
        <v>-5217.096137513513</v>
      </c>
    </row>
    <row r="17" spans="2:20" ht="18" customHeight="1" x14ac:dyDescent="0.25">
      <c r="B17" s="1727"/>
      <c r="C17" s="1567"/>
      <c r="D17" s="36" t="s">
        <v>247</v>
      </c>
      <c r="E17" s="2575" t="s">
        <v>2150</v>
      </c>
      <c r="F17" s="3381"/>
      <c r="G17" s="3361">
        <v>1416.4200000000003</v>
      </c>
      <c r="H17" s="3361">
        <v>812.52</v>
      </c>
      <c r="I17" s="3361" t="s">
        <v>2146</v>
      </c>
      <c r="J17" s="3361">
        <v>-182.07263513513533</v>
      </c>
      <c r="K17" s="3369">
        <f t="shared" si="0"/>
        <v>785.97263513513565</v>
      </c>
      <c r="L17" s="2577">
        <f t="shared" si="6"/>
        <v>1</v>
      </c>
      <c r="M17" s="5" t="s">
        <v>1814</v>
      </c>
      <c r="N17" s="3369">
        <f t="shared" si="2"/>
        <v>785.97263513513565</v>
      </c>
      <c r="O17" s="3342">
        <v>18.790909090909089</v>
      </c>
      <c r="P17" s="3369">
        <f t="shared" si="3"/>
        <v>14.769140334766593</v>
      </c>
      <c r="Q17" s="3369" t="str">
        <f>'Table1.A(d)'!G17</f>
        <v>NA</v>
      </c>
      <c r="R17" s="3369">
        <f t="shared" si="7"/>
        <v>14.769140334766593</v>
      </c>
      <c r="S17" s="2577">
        <f t="shared" si="8"/>
        <v>1</v>
      </c>
      <c r="T17" s="3375">
        <f t="shared" si="9"/>
        <v>54.153514560810841</v>
      </c>
    </row>
    <row r="18" spans="2:20" ht="18" customHeight="1" x14ac:dyDescent="0.25">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5">
      <c r="B19" s="1727"/>
      <c r="C19" s="1567"/>
      <c r="D19" s="36" t="s">
        <v>191</v>
      </c>
      <c r="E19" s="2575" t="s">
        <v>2150</v>
      </c>
      <c r="F19" s="3381"/>
      <c r="G19" s="3361">
        <v>39684.660000000003</v>
      </c>
      <c r="H19" s="3361">
        <v>29173.880000000005</v>
      </c>
      <c r="I19" s="3361">
        <v>5580</v>
      </c>
      <c r="J19" s="3361">
        <v>29686.062162162161</v>
      </c>
      <c r="K19" s="3369">
        <f t="shared" si="0"/>
        <v>-24755.282162162162</v>
      </c>
      <c r="L19" s="2577">
        <f t="shared" si="6"/>
        <v>1</v>
      </c>
      <c r="M19" s="5" t="s">
        <v>1814</v>
      </c>
      <c r="N19" s="3369">
        <f t="shared" si="2"/>
        <v>-24755.282162162162</v>
      </c>
      <c r="O19" s="3342">
        <v>19.06363636363637</v>
      </c>
      <c r="P19" s="3369">
        <f t="shared" si="3"/>
        <v>-471.92569721867335</v>
      </c>
      <c r="Q19" s="3369" t="str">
        <f>'Table1.A(d)'!G19</f>
        <v>NA</v>
      </c>
      <c r="R19" s="3369">
        <f t="shared" si="7"/>
        <v>-471.92569721867335</v>
      </c>
      <c r="S19" s="2577">
        <f t="shared" si="8"/>
        <v>1</v>
      </c>
      <c r="T19" s="3375">
        <f t="shared" si="9"/>
        <v>-1730.3942231351357</v>
      </c>
    </row>
    <row r="20" spans="2:20" ht="18" customHeight="1" x14ac:dyDescent="0.25">
      <c r="B20" s="1727"/>
      <c r="C20" s="1567"/>
      <c r="D20" s="36" t="s">
        <v>190</v>
      </c>
      <c r="E20" s="2575" t="s">
        <v>2150</v>
      </c>
      <c r="F20" s="3381"/>
      <c r="G20" s="3361">
        <v>39168</v>
      </c>
      <c r="H20" s="3361">
        <v>18090.72</v>
      </c>
      <c r="I20" s="3361">
        <v>22930</v>
      </c>
      <c r="J20" s="3361">
        <v>4804.986486486484</v>
      </c>
      <c r="K20" s="3369">
        <f t="shared" si="0"/>
        <v>-6657.7064864864878</v>
      </c>
      <c r="L20" s="2577">
        <f t="shared" si="6"/>
        <v>1</v>
      </c>
      <c r="M20" s="5" t="s">
        <v>1814</v>
      </c>
      <c r="N20" s="3369">
        <f t="shared" si="2"/>
        <v>-6657.7064864864878</v>
      </c>
      <c r="O20" s="3342">
        <v>20.072727272727271</v>
      </c>
      <c r="P20" s="3369">
        <f t="shared" si="3"/>
        <v>-133.63832656511059</v>
      </c>
      <c r="Q20" s="3369" t="str">
        <f>'Table1.A(d)'!G20</f>
        <v>NA</v>
      </c>
      <c r="R20" s="3369">
        <f t="shared" si="7"/>
        <v>-133.63832656511059</v>
      </c>
      <c r="S20" s="2577">
        <f t="shared" si="8"/>
        <v>1</v>
      </c>
      <c r="T20" s="3375">
        <f t="shared" si="9"/>
        <v>-490.00719740540552</v>
      </c>
    </row>
    <row r="21" spans="2:20" ht="18" customHeight="1" x14ac:dyDescent="0.25">
      <c r="B21" s="1727"/>
      <c r="C21" s="1567"/>
      <c r="D21" s="36" t="s">
        <v>169</v>
      </c>
      <c r="E21" s="2575" t="s">
        <v>2150</v>
      </c>
      <c r="F21" s="3381"/>
      <c r="G21" s="3361">
        <v>2192.2099999999996</v>
      </c>
      <c r="H21" s="3361">
        <v>53546.400000000001</v>
      </c>
      <c r="I21" s="3381"/>
      <c r="J21" s="3361">
        <v>2341.4932432432433</v>
      </c>
      <c r="K21" s="3369">
        <f t="shared" si="0"/>
        <v>-53695.683243243249</v>
      </c>
      <c r="L21" s="2577">
        <f t="shared" si="6"/>
        <v>1</v>
      </c>
      <c r="M21" s="5" t="s">
        <v>1814</v>
      </c>
      <c r="N21" s="3369">
        <f t="shared" si="2"/>
        <v>-53695.683243243249</v>
      </c>
      <c r="O21" s="3342">
        <v>16.418181818181822</v>
      </c>
      <c r="P21" s="3369">
        <f t="shared" si="3"/>
        <v>-881.58549033906661</v>
      </c>
      <c r="Q21" s="3369" t="str">
        <f>'Table1.A(d)'!G21</f>
        <v>NA</v>
      </c>
      <c r="R21" s="3369">
        <f t="shared" si="7"/>
        <v>-881.58549033906661</v>
      </c>
      <c r="S21" s="2577">
        <f t="shared" si="8"/>
        <v>1</v>
      </c>
      <c r="T21" s="3375">
        <f t="shared" si="9"/>
        <v>-3232.4801312432442</v>
      </c>
    </row>
    <row r="22" spans="2:20" ht="18" customHeight="1" x14ac:dyDescent="0.25">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15.40909090909091</v>
      </c>
      <c r="P22" s="3369" t="str">
        <f t="shared" si="3"/>
        <v>NA</v>
      </c>
      <c r="Q22" s="3369">
        <f>'Table1.A(d)'!G22</f>
        <v>260.35402145708582</v>
      </c>
      <c r="R22" s="3369">
        <f t="shared" si="7"/>
        <v>-260.35402145708582</v>
      </c>
      <c r="S22" s="2577">
        <f t="shared" si="8"/>
        <v>1</v>
      </c>
      <c r="T22" s="3375">
        <f t="shared" si="9"/>
        <v>-954.63141200931466</v>
      </c>
    </row>
    <row r="23" spans="2:20" ht="18" customHeight="1" x14ac:dyDescent="0.25">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5">
      <c r="B24" s="1727"/>
      <c r="C24" s="1567"/>
      <c r="D24" s="36" t="s">
        <v>251</v>
      </c>
      <c r="E24" s="2575" t="s">
        <v>2150</v>
      </c>
      <c r="F24" s="3381"/>
      <c r="G24" s="3361">
        <v>2925.9999999999995</v>
      </c>
      <c r="H24" s="3361">
        <v>35.200000000000003</v>
      </c>
      <c r="I24" s="3381"/>
      <c r="J24" s="3361">
        <v>-149.59425675675701</v>
      </c>
      <c r="K24" s="3369">
        <f t="shared" si="0"/>
        <v>3040.3942567567565</v>
      </c>
      <c r="L24" s="2577">
        <f t="shared" si="6"/>
        <v>1</v>
      </c>
      <c r="M24" s="5" t="s">
        <v>1814</v>
      </c>
      <c r="N24" s="3369">
        <f t="shared" si="2"/>
        <v>3040.3942567567565</v>
      </c>
      <c r="O24" s="3342">
        <v>22.009090909090911</v>
      </c>
      <c r="P24" s="3369">
        <f t="shared" si="3"/>
        <v>66.916313596437348</v>
      </c>
      <c r="Q24" s="3369">
        <f>'Table1.A(d)'!G24</f>
        <v>622.85727272727274</v>
      </c>
      <c r="R24" s="3369">
        <f t="shared" si="7"/>
        <v>-555.94095913083538</v>
      </c>
      <c r="S24" s="2577">
        <f t="shared" si="8"/>
        <v>1</v>
      </c>
      <c r="T24" s="3375">
        <f t="shared" si="9"/>
        <v>-2038.4501834797295</v>
      </c>
    </row>
    <row r="25" spans="2:20" ht="18" customHeight="1" x14ac:dyDescent="0.25">
      <c r="B25" s="1727"/>
      <c r="C25" s="1567"/>
      <c r="D25" s="36" t="s">
        <v>252</v>
      </c>
      <c r="E25" s="2575" t="s">
        <v>2150</v>
      </c>
      <c r="F25" s="3381"/>
      <c r="G25" s="3361">
        <v>2141.7599999999998</v>
      </c>
      <c r="H25" s="3361">
        <v>9785.3599999999988</v>
      </c>
      <c r="I25" s="3361" t="s">
        <v>2146</v>
      </c>
      <c r="J25" s="3361">
        <v>-813.89662162162097</v>
      </c>
      <c r="K25" s="3369">
        <f t="shared" si="0"/>
        <v>-6829.7033783783772</v>
      </c>
      <c r="L25" s="2577">
        <f t="shared" si="6"/>
        <v>1</v>
      </c>
      <c r="M25" s="5" t="s">
        <v>1814</v>
      </c>
      <c r="N25" s="3369">
        <f t="shared" si="2"/>
        <v>-6829.7033783783772</v>
      </c>
      <c r="O25" s="3342">
        <v>18.991363636363641</v>
      </c>
      <c r="P25" s="3369">
        <f t="shared" si="3"/>
        <v>-129.70538038728503</v>
      </c>
      <c r="Q25" s="3369">
        <f>'Table1.A(d)'!G25</f>
        <v>381.7264090909091</v>
      </c>
      <c r="R25" s="3369">
        <f t="shared" si="7"/>
        <v>-511.4317894781941</v>
      </c>
      <c r="S25" s="2577">
        <f t="shared" si="8"/>
        <v>1</v>
      </c>
      <c r="T25" s="3375">
        <f t="shared" si="9"/>
        <v>-1875.2498947533784</v>
      </c>
    </row>
    <row r="26" spans="2:20" ht="18" customHeight="1" x14ac:dyDescent="0.25">
      <c r="B26" s="1727"/>
      <c r="C26" s="1567"/>
      <c r="D26" s="36" t="s">
        <v>253</v>
      </c>
      <c r="E26" s="2575" t="s">
        <v>2150</v>
      </c>
      <c r="F26" s="3381"/>
      <c r="G26" s="3361">
        <v>8822.5840837296601</v>
      </c>
      <c r="H26" s="3361" t="s">
        <v>2146</v>
      </c>
      <c r="I26" s="3381"/>
      <c r="J26" s="3361" t="s">
        <v>2146</v>
      </c>
      <c r="K26" s="3369">
        <f t="shared" si="0"/>
        <v>8822.5840837296601</v>
      </c>
      <c r="L26" s="2577">
        <f t="shared" si="6"/>
        <v>1</v>
      </c>
      <c r="M26" s="5" t="s">
        <v>1814</v>
      </c>
      <c r="N26" s="3369">
        <f t="shared" si="2"/>
        <v>8822.5840837296601</v>
      </c>
      <c r="O26" s="3342">
        <v>25.26136363636364</v>
      </c>
      <c r="P26" s="3369">
        <f t="shared" si="3"/>
        <v>222.87050475148905</v>
      </c>
      <c r="Q26" s="3369">
        <f>'Table1.A(d)'!G26</f>
        <v>222.87050475148905</v>
      </c>
      <c r="R26" s="3369" t="str">
        <f t="shared" si="7"/>
        <v>NO</v>
      </c>
      <c r="S26" s="2577" t="str">
        <f t="shared" si="8"/>
        <v>NA</v>
      </c>
      <c r="T26" s="3375" t="str">
        <f t="shared" si="9"/>
        <v>NO</v>
      </c>
    </row>
    <row r="27" spans="2:20" ht="18" customHeight="1" x14ac:dyDescent="0.25">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5">
      <c r="B28" s="1727"/>
      <c r="C28" s="1568"/>
      <c r="D28" s="36" t="s">
        <v>255</v>
      </c>
      <c r="E28" s="2575" t="s">
        <v>2150</v>
      </c>
      <c r="F28" s="3381"/>
      <c r="G28" s="3361">
        <v>17714.000000000004</v>
      </c>
      <c r="H28" s="3361">
        <v>8632.6</v>
      </c>
      <c r="I28" s="3381"/>
      <c r="J28" s="3361">
        <v>19102.685810810814</v>
      </c>
      <c r="K28" s="3369">
        <f t="shared" si="0"/>
        <v>-10021.285810810808</v>
      </c>
      <c r="L28" s="2577">
        <f t="shared" si="6"/>
        <v>1</v>
      </c>
      <c r="M28" s="5" t="s">
        <v>1814</v>
      </c>
      <c r="N28" s="3369">
        <f t="shared" si="2"/>
        <v>-10021.285810810808</v>
      </c>
      <c r="O28" s="3342">
        <v>19.03597497042735</v>
      </c>
      <c r="P28" s="3369">
        <f t="shared" si="3"/>
        <v>-190.76494586609331</v>
      </c>
      <c r="Q28" s="3369">
        <f>'Table1.A(d)'!G28</f>
        <v>563.01325131180784</v>
      </c>
      <c r="R28" s="3369">
        <f t="shared" si="7"/>
        <v>-753.77819717790112</v>
      </c>
      <c r="S28" s="2577">
        <f t="shared" si="8"/>
        <v>1</v>
      </c>
      <c r="T28" s="3375">
        <f t="shared" si="9"/>
        <v>-2763.853389652304</v>
      </c>
    </row>
    <row r="29" spans="2:20" ht="18" customHeight="1" x14ac:dyDescent="0.25">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5">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3">
      <c r="B31" s="1251" t="s">
        <v>257</v>
      </c>
      <c r="C31" s="2343"/>
      <c r="D31" s="2343"/>
      <c r="E31" s="2344"/>
      <c r="F31" s="3385"/>
      <c r="G31" s="3385"/>
      <c r="H31" s="3385"/>
      <c r="I31" s="3385"/>
      <c r="J31" s="3385"/>
      <c r="K31" s="3386"/>
      <c r="L31" s="41"/>
      <c r="M31" s="42"/>
      <c r="N31" s="3371">
        <f>SUM(N11:N29)</f>
        <v>1365601.1887233781</v>
      </c>
      <c r="O31" s="3364"/>
      <c r="P31" s="3371">
        <f>SUM(P11:P29)</f>
        <v>25798.057700291316</v>
      </c>
      <c r="Q31" s="3371">
        <f>SUM(Q11:Q29)</f>
        <v>2050.8214593385646</v>
      </c>
      <c r="R31" s="3369">
        <f t="shared" si="7"/>
        <v>23747.236240952752</v>
      </c>
      <c r="S31" s="2578"/>
      <c r="T31" s="3377">
        <f>SUM(T11:T29)</f>
        <v>87073.19955016012</v>
      </c>
    </row>
    <row r="32" spans="2:20" ht="18" customHeight="1" x14ac:dyDescent="0.25">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5">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5">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t="s">
        <v>2147</v>
      </c>
      <c r="P34" s="3369" t="str">
        <f t="shared" si="13"/>
        <v>NA</v>
      </c>
      <c r="Q34" s="3369" t="str">
        <f>'Table1.A(d)'!G34</f>
        <v>NA</v>
      </c>
      <c r="R34" s="3369" t="str">
        <f t="shared" si="7"/>
        <v>NO</v>
      </c>
      <c r="S34" s="2577" t="str">
        <f t="shared" si="14"/>
        <v>NA</v>
      </c>
      <c r="T34" s="3375" t="str">
        <f t="shared" si="15"/>
        <v>NO</v>
      </c>
    </row>
    <row r="35" spans="2:20" ht="18" customHeight="1" x14ac:dyDescent="0.25">
      <c r="B35" s="1727"/>
      <c r="C35" s="1567"/>
      <c r="D35" s="31" t="s">
        <v>261</v>
      </c>
      <c r="E35" s="2575" t="s">
        <v>2150</v>
      </c>
      <c r="F35" s="3361">
        <v>4231352.654751963</v>
      </c>
      <c r="G35" s="3361" t="s">
        <v>2146</v>
      </c>
      <c r="H35" s="3361">
        <v>2965600</v>
      </c>
      <c r="I35" s="3361" t="s">
        <v>2146</v>
      </c>
      <c r="J35" s="3361">
        <v>136300</v>
      </c>
      <c r="K35" s="3369">
        <f t="shared" si="10"/>
        <v>1129452.654751963</v>
      </c>
      <c r="L35" s="2577">
        <f t="shared" si="11"/>
        <v>1</v>
      </c>
      <c r="M35" s="55" t="s">
        <v>1814</v>
      </c>
      <c r="N35" s="3369">
        <f t="shared" si="12"/>
        <v>1129452.654751963</v>
      </c>
      <c r="O35" s="3342">
        <v>23.813043615722599</v>
      </c>
      <c r="P35" s="3369">
        <f t="shared" si="13"/>
        <v>26895.705329502172</v>
      </c>
      <c r="Q35" s="3369">
        <f>'Table1.A(d)'!G35</f>
        <v>161.62010614842296</v>
      </c>
      <c r="R35" s="3369">
        <f t="shared" si="7"/>
        <v>26734.085223353748</v>
      </c>
      <c r="S35" s="2577">
        <f t="shared" si="14"/>
        <v>1</v>
      </c>
      <c r="T35" s="3375">
        <f t="shared" si="15"/>
        <v>98024.979152297077</v>
      </c>
    </row>
    <row r="36" spans="2:20" ht="18" customHeight="1" x14ac:dyDescent="0.25">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5">
      <c r="B37" s="1727"/>
      <c r="C37" s="1567"/>
      <c r="D37" s="31" t="s">
        <v>263</v>
      </c>
      <c r="E37" s="2575" t="s">
        <v>2150</v>
      </c>
      <c r="F37" s="3361">
        <v>449543.35321326397</v>
      </c>
      <c r="G37" s="3361" t="s">
        <v>2146</v>
      </c>
      <c r="H37" s="3361" t="s">
        <v>2146</v>
      </c>
      <c r="I37" s="3381"/>
      <c r="J37" s="3361" t="s">
        <v>2146</v>
      </c>
      <c r="K37" s="3369">
        <f t="shared" si="10"/>
        <v>449543.35321326397</v>
      </c>
      <c r="L37" s="2577">
        <f t="shared" si="11"/>
        <v>1</v>
      </c>
      <c r="M37" s="55" t="s">
        <v>1814</v>
      </c>
      <c r="N37" s="3369">
        <f t="shared" si="12"/>
        <v>449543.35321326397</v>
      </c>
      <c r="O37" s="3342">
        <v>28.018286045729582</v>
      </c>
      <c r="P37" s="3369">
        <f t="shared" si="13"/>
        <v>12595.434260285678</v>
      </c>
      <c r="Q37" s="3369" t="str">
        <f>'Table1.A(d)'!G37</f>
        <v>NO</v>
      </c>
      <c r="R37" s="3369">
        <f t="shared" si="7"/>
        <v>12595.434260285678</v>
      </c>
      <c r="S37" s="2577">
        <f t="shared" si="14"/>
        <v>1</v>
      </c>
      <c r="T37" s="3375">
        <f t="shared" si="15"/>
        <v>46183.258954380814</v>
      </c>
    </row>
    <row r="38" spans="2:20" ht="18" customHeight="1" x14ac:dyDescent="0.25">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5">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5">
      <c r="B40" s="1727"/>
      <c r="C40" s="1567" t="s">
        <v>246</v>
      </c>
      <c r="D40" s="36" t="s">
        <v>265</v>
      </c>
      <c r="E40" s="2575" t="s">
        <v>2150</v>
      </c>
      <c r="F40" s="3381"/>
      <c r="G40" s="3361" t="s">
        <v>2146</v>
      </c>
      <c r="H40" s="3361">
        <v>700</v>
      </c>
      <c r="I40" s="3381"/>
      <c r="J40" s="3361">
        <v>-900</v>
      </c>
      <c r="K40" s="3369">
        <f t="shared" ref="K40:K42" si="16">IF((SUM(F40:G40)-SUM(H40:J40))=0,"NO",(SUM(F40:G40)-SUM(H40:J40)))</f>
        <v>200</v>
      </c>
      <c r="L40" s="2577">
        <f t="shared" ref="L40:L42" si="17">IF(K40="NO","NA",1)</f>
        <v>1</v>
      </c>
      <c r="M40" s="55" t="s">
        <v>1814</v>
      </c>
      <c r="N40" s="3369">
        <f t="shared" ref="N40:N42" si="18">K40</f>
        <v>200</v>
      </c>
      <c r="O40" s="3342">
        <v>25.90909090909091</v>
      </c>
      <c r="P40" s="3369">
        <f t="shared" ref="P40:P42" si="19">IFERROR(N40*O40/1000,"NA")</f>
        <v>5.1818181818181817</v>
      </c>
      <c r="Q40" s="3369" t="str">
        <f>'Table1.A(d)'!G40</f>
        <v>NA</v>
      </c>
      <c r="R40" s="3369">
        <f t="shared" si="7"/>
        <v>5.1818181818181817</v>
      </c>
      <c r="S40" s="2577">
        <f t="shared" ref="S40:S42" si="20">IF(R40="NO","NA",1)</f>
        <v>1</v>
      </c>
      <c r="T40" s="3375">
        <f t="shared" ref="T40:T42" si="21">IF(R40="NO","NO",R40*S40*44/12)</f>
        <v>19</v>
      </c>
    </row>
    <row r="41" spans="2:20" ht="18" customHeight="1" x14ac:dyDescent="0.25">
      <c r="B41" s="1727"/>
      <c r="C41" s="1567"/>
      <c r="D41" s="31" t="s">
        <v>266</v>
      </c>
      <c r="E41" s="2575" t="s">
        <v>2150</v>
      </c>
      <c r="F41" s="3381"/>
      <c r="G41" s="3361" t="s">
        <v>2146</v>
      </c>
      <c r="H41" s="3361">
        <v>15500</v>
      </c>
      <c r="I41" s="3381"/>
      <c r="J41" s="3361">
        <v>-7900</v>
      </c>
      <c r="K41" s="3369">
        <f t="shared" si="16"/>
        <v>-7600</v>
      </c>
      <c r="L41" s="2577">
        <f t="shared" si="17"/>
        <v>1</v>
      </c>
      <c r="M41" s="55" t="s">
        <v>1814</v>
      </c>
      <c r="N41" s="3369">
        <f t="shared" si="18"/>
        <v>-7600</v>
      </c>
      <c r="O41" s="3342">
        <v>28.88333078833578</v>
      </c>
      <c r="P41" s="3369">
        <f t="shared" si="19"/>
        <v>-219.51331399135194</v>
      </c>
      <c r="Q41" s="3369">
        <f>'Table1.A(d)'!G41</f>
        <v>2551.1345950340442</v>
      </c>
      <c r="R41" s="3369">
        <f t="shared" si="7"/>
        <v>-2770.6479090253961</v>
      </c>
      <c r="S41" s="2577">
        <f t="shared" si="20"/>
        <v>1</v>
      </c>
      <c r="T41" s="3375">
        <f t="shared" si="21"/>
        <v>-10159.042333093119</v>
      </c>
    </row>
    <row r="42" spans="2:20" ht="18" customHeight="1" x14ac:dyDescent="0.25">
      <c r="B42" s="1727"/>
      <c r="C42" s="1568"/>
      <c r="D42" s="31" t="s">
        <v>267</v>
      </c>
      <c r="E42" s="2575" t="s">
        <v>2150</v>
      </c>
      <c r="F42" s="3381"/>
      <c r="G42" s="3361" t="s">
        <v>2146</v>
      </c>
      <c r="H42" s="3361" t="s">
        <v>2146</v>
      </c>
      <c r="I42" s="3381"/>
      <c r="J42" s="3361" t="s">
        <v>2146</v>
      </c>
      <c r="K42" s="3369" t="str">
        <f t="shared" si="16"/>
        <v>NO</v>
      </c>
      <c r="L42" s="2577" t="str">
        <f t="shared" si="17"/>
        <v>NA</v>
      </c>
      <c r="M42" s="55" t="s">
        <v>1814</v>
      </c>
      <c r="N42" s="3369" t="str">
        <f t="shared" si="18"/>
        <v>NO</v>
      </c>
      <c r="O42" s="3342" t="s">
        <v>2147</v>
      </c>
      <c r="P42" s="3369" t="str">
        <f t="shared" si="19"/>
        <v>NA</v>
      </c>
      <c r="Q42" s="3369">
        <f>'Table1.A(d)'!G42</f>
        <v>81.918908314521431</v>
      </c>
      <c r="R42" s="3369">
        <f t="shared" si="7"/>
        <v>-81.918908314521431</v>
      </c>
      <c r="S42" s="2577">
        <f t="shared" si="20"/>
        <v>1</v>
      </c>
      <c r="T42" s="3375">
        <f t="shared" si="21"/>
        <v>-300.36933048657858</v>
      </c>
    </row>
    <row r="43" spans="2:20" ht="18" customHeight="1" x14ac:dyDescent="0.25">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5">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3">
      <c r="B45" s="1251" t="s">
        <v>269</v>
      </c>
      <c r="C45" s="2343"/>
      <c r="D45" s="2343"/>
      <c r="E45" s="2344"/>
      <c r="F45" s="3385"/>
      <c r="G45" s="3385"/>
      <c r="H45" s="3385"/>
      <c r="I45" s="3385"/>
      <c r="J45" s="3385"/>
      <c r="K45" s="3386"/>
      <c r="L45" s="41"/>
      <c r="M45" s="42"/>
      <c r="N45" s="3371">
        <f>SUM(N33:N43)</f>
        <v>1571596.0079652269</v>
      </c>
      <c r="O45" s="3364"/>
      <c r="P45" s="3371">
        <f>SUM(P33:P43)</f>
        <v>39276.808093978318</v>
      </c>
      <c r="Q45" s="3371">
        <f>SUM(Q33:Q43)</f>
        <v>2794.6736094969888</v>
      </c>
      <c r="R45" s="3371">
        <f>SUM(R33:R43)</f>
        <v>36482.134484481321</v>
      </c>
      <c r="S45" s="41"/>
      <c r="T45" s="3377">
        <f>SUM(T33:T43)</f>
        <v>133767.82644309819</v>
      </c>
    </row>
    <row r="46" spans="2:20" ht="18" customHeight="1" x14ac:dyDescent="0.25">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5">
      <c r="B47" s="2173"/>
      <c r="C47" s="96"/>
      <c r="D47" s="2345" t="s">
        <v>271</v>
      </c>
      <c r="E47" s="2575" t="s">
        <v>2150</v>
      </c>
      <c r="F47" s="3361">
        <v>786312.99999999988</v>
      </c>
      <c r="G47" s="3361" t="s">
        <v>2146</v>
      </c>
      <c r="H47" s="3361">
        <v>109300</v>
      </c>
      <c r="I47" s="3361" t="s">
        <v>2146</v>
      </c>
      <c r="J47" s="3361">
        <v>-100.00000000002274</v>
      </c>
      <c r="K47" s="3369">
        <f t="shared" ref="K47" si="22">IF((SUM(F47:G47)-SUM(H47:J47))=0,"NO",(SUM(F47:G47)-SUM(H47:J47)))</f>
        <v>677112.99999999988</v>
      </c>
      <c r="L47" s="2577">
        <f t="shared" ref="L47" si="23">IF(K47="NO","NA",1)</f>
        <v>1</v>
      </c>
      <c r="M47" s="55" t="s">
        <v>1814</v>
      </c>
      <c r="N47" s="3369">
        <f t="shared" ref="N47" si="24">K47</f>
        <v>677112.99999999988</v>
      </c>
      <c r="O47" s="3342">
        <v>14.01783793292334</v>
      </c>
      <c r="P47" s="3369">
        <f t="shared" ref="P47" si="25">IFERROR(N47*O47/1000,"NA")</f>
        <v>9491.6602962755205</v>
      </c>
      <c r="Q47" s="3369">
        <f>'Table1.A(d)'!G47</f>
        <v>312.27939097852033</v>
      </c>
      <c r="R47" s="3369">
        <f t="shared" ref="R47" si="26">IF(SUM(P47,-SUM(Q47))=0,"NO",SUM(P47,-SUM(Q47)))</f>
        <v>9179.3809052970009</v>
      </c>
      <c r="S47" s="2577">
        <f t="shared" ref="S47" si="27">IF(R47="NO","NA",1)</f>
        <v>1</v>
      </c>
      <c r="T47" s="3375">
        <f t="shared" ref="T47" si="28">IF(R47="NO","NO",R47*S47*44/12)</f>
        <v>33657.729986089005</v>
      </c>
    </row>
    <row r="48" spans="2:20" ht="18" customHeight="1" x14ac:dyDescent="0.25">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5">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3">
      <c r="B50" s="68" t="s">
        <v>273</v>
      </c>
      <c r="C50" s="79"/>
      <c r="D50" s="80"/>
      <c r="E50" s="2353"/>
      <c r="F50" s="3389"/>
      <c r="G50" s="3389"/>
      <c r="H50" s="3389"/>
      <c r="I50" s="3385"/>
      <c r="J50" s="3389"/>
      <c r="K50" s="3389"/>
      <c r="L50" s="2354"/>
      <c r="M50" s="2355"/>
      <c r="N50" s="3371">
        <f>SUM(N47:N48)</f>
        <v>677112.99999999988</v>
      </c>
      <c r="O50" s="3366"/>
      <c r="P50" s="3371">
        <f>SUM(P47:P48)</f>
        <v>9491.6602962755205</v>
      </c>
      <c r="Q50" s="3371">
        <f>SUM(Q47:Q48)</f>
        <v>312.27939097852033</v>
      </c>
      <c r="R50" s="3371">
        <f>SUM(R47:R48)</f>
        <v>9179.3809052970009</v>
      </c>
      <c r="S50" s="2354"/>
      <c r="T50" s="3377">
        <f>SUM(T47:T48)</f>
        <v>33657.729986089005</v>
      </c>
    </row>
    <row r="51" spans="2:20" ht="18" customHeight="1" x14ac:dyDescent="0.25">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5">
      <c r="B52" s="50" t="s">
        <v>275</v>
      </c>
      <c r="C52" s="39"/>
      <c r="D52" s="38"/>
      <c r="E52" s="2575" t="s">
        <v>2150</v>
      </c>
      <c r="F52" s="3390" t="s">
        <v>2146</v>
      </c>
      <c r="G52" s="3390" t="s">
        <v>2146</v>
      </c>
      <c r="H52" s="3390" t="s">
        <v>2146</v>
      </c>
      <c r="I52" s="3361" t="s">
        <v>2146</v>
      </c>
      <c r="J52" s="3390" t="s">
        <v>2146</v>
      </c>
      <c r="K52" s="3369" t="str">
        <f t="shared" ref="K52:K53" si="29">IF((SUM(F52:G52)-SUM(H52:J52))=0,"NO",(SUM(F52:G52)-SUM(H52:J52)))</f>
        <v>NO</v>
      </c>
      <c r="L52" s="2577" t="str">
        <f t="shared" ref="L52:L53" si="30">IF(K52="NO","NA",1)</f>
        <v>NA</v>
      </c>
      <c r="M52" s="55" t="s">
        <v>1814</v>
      </c>
      <c r="N52" s="3369" t="str">
        <f t="shared" ref="N52:N53" si="31">K52</f>
        <v>NO</v>
      </c>
      <c r="O52" s="3342" t="s">
        <v>2147</v>
      </c>
      <c r="P52" s="3369" t="str">
        <f t="shared" ref="P52:P53" si="32">IFERROR(N52*O52/1000,"NA")</f>
        <v>NA</v>
      </c>
      <c r="Q52" s="3374" t="str">
        <f>'Table1.A(d)'!G52</f>
        <v>NA</v>
      </c>
      <c r="R52" s="3369" t="str">
        <f t="shared" ref="R52:R53" si="33">IF(SUM(P52,-SUM(Q52))=0,"NO",SUM(P52,-SUM(Q52)))</f>
        <v>NO</v>
      </c>
      <c r="S52" s="2577" t="str">
        <f t="shared" ref="S52:S53" si="34">IF(R52="NO","NA",1)</f>
        <v>NA</v>
      </c>
      <c r="T52" s="3375" t="str">
        <f t="shared" ref="T52:T53" si="35">IF(R52="NO","NO",R52*S52*44/12)</f>
        <v>NO</v>
      </c>
    </row>
    <row r="53" spans="2:20" ht="18" customHeight="1" x14ac:dyDescent="0.25">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3">
      <c r="B54" s="1251" t="s">
        <v>277</v>
      </c>
      <c r="C54" s="2343"/>
      <c r="D54" s="2343"/>
      <c r="E54" s="100"/>
      <c r="F54" s="3391"/>
      <c r="G54" s="3391"/>
      <c r="H54" s="3391"/>
      <c r="I54" s="3391"/>
      <c r="J54" s="3391"/>
      <c r="K54" s="3392"/>
      <c r="L54" s="2372"/>
      <c r="M54" s="2373"/>
      <c r="N54" s="3373">
        <f>SUM(N51:N53)</f>
        <v>0</v>
      </c>
      <c r="O54" s="3367"/>
      <c r="P54" s="3373">
        <f>SUM(P51:P53)</f>
        <v>0</v>
      </c>
      <c r="Q54" s="3373">
        <f>SUM(Q51:Q53)</f>
        <v>0</v>
      </c>
      <c r="R54" s="3373">
        <f>SUM(R51:R53)</f>
        <v>0</v>
      </c>
      <c r="S54" s="2374"/>
      <c r="T54" s="3379">
        <f>SUM(T51:T53)</f>
        <v>0</v>
      </c>
    </row>
    <row r="55" spans="2:20" ht="18" customHeight="1" thickBot="1" x14ac:dyDescent="0.3">
      <c r="B55" s="2370" t="s">
        <v>278</v>
      </c>
      <c r="C55" s="2371"/>
      <c r="D55" s="2371"/>
      <c r="E55" s="100"/>
      <c r="F55" s="3391"/>
      <c r="G55" s="3391"/>
      <c r="H55" s="3391"/>
      <c r="I55" s="3391"/>
      <c r="J55" s="3391"/>
      <c r="K55" s="3392"/>
      <c r="L55" s="2372"/>
      <c r="M55" s="2373"/>
      <c r="N55" s="3373">
        <f>SUM(N31,N45,N50,N54)</f>
        <v>3614310.196688605</v>
      </c>
      <c r="O55" s="3367"/>
      <c r="P55" s="3373">
        <f>SUM(P31,P45,P50,P54)</f>
        <v>74566.526090545143</v>
      </c>
      <c r="Q55" s="3373">
        <f>SUM(Q31,Q45,Q50,Q54)</f>
        <v>5157.7744598140735</v>
      </c>
      <c r="R55" s="3373">
        <f>SUM(R31,R45,R50,R54)</f>
        <v>69408.751630731073</v>
      </c>
      <c r="S55" s="2374"/>
      <c r="T55" s="3379">
        <f>SUM(T31,T45,T50,T54)</f>
        <v>254498.75597934733</v>
      </c>
    </row>
    <row r="56" spans="2:20" ht="18" customHeight="1" x14ac:dyDescent="0.25">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5">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5">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5">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3">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5"/>
    <row r="62" spans="2:20" ht="12" customHeight="1" x14ac:dyDescent="0.25">
      <c r="B62" s="988"/>
      <c r="C62" s="988"/>
      <c r="D62" s="988"/>
      <c r="E62" s="988"/>
      <c r="F62" s="988"/>
      <c r="G62" s="988"/>
      <c r="H62" s="988"/>
      <c r="I62" s="988"/>
      <c r="J62" s="988"/>
      <c r="K62" s="988"/>
      <c r="L62" s="988"/>
      <c r="M62" s="988"/>
      <c r="N62" s="988"/>
      <c r="O62" s="988"/>
      <c r="P62" s="988"/>
    </row>
    <row r="63" spans="2:20" ht="12" customHeight="1" x14ac:dyDescent="0.25">
      <c r="B63" s="989"/>
      <c r="C63" s="989"/>
      <c r="D63" s="989"/>
      <c r="E63" s="989"/>
      <c r="F63" s="989"/>
      <c r="G63" s="989"/>
      <c r="H63" s="989"/>
      <c r="I63" s="989"/>
      <c r="J63" s="989"/>
      <c r="K63" s="989"/>
      <c r="L63" s="989"/>
      <c r="M63" s="989"/>
    </row>
    <row r="64" spans="2:20" ht="12" customHeight="1" x14ac:dyDescent="0.25">
      <c r="B64" s="989"/>
      <c r="C64" s="989"/>
      <c r="D64" s="989"/>
      <c r="E64" s="989"/>
      <c r="F64" s="989"/>
      <c r="G64" s="989"/>
    </row>
    <row r="65" spans="2:20" ht="12" customHeight="1" x14ac:dyDescent="0.25">
      <c r="B65" s="989"/>
      <c r="C65" s="989"/>
      <c r="D65" s="989"/>
      <c r="E65" s="989"/>
      <c r="F65" s="989"/>
      <c r="G65" s="989"/>
    </row>
    <row r="66" spans="2:20" ht="12" customHeight="1" x14ac:dyDescent="0.25">
      <c r="B66" s="989"/>
      <c r="C66" s="989"/>
      <c r="D66" s="989"/>
      <c r="E66" s="989"/>
      <c r="F66" s="989"/>
      <c r="G66" s="989"/>
    </row>
    <row r="67" spans="2:20" ht="12" customHeight="1" x14ac:dyDescent="0.25">
      <c r="B67" s="989"/>
      <c r="C67" s="989"/>
      <c r="D67" s="989"/>
    </row>
    <row r="68" spans="2:20" ht="12" customHeight="1" x14ac:dyDescent="0.25">
      <c r="B68" s="989"/>
      <c r="C68" s="989"/>
      <c r="D68" s="989"/>
    </row>
    <row r="69" spans="2:20" ht="12" customHeight="1" x14ac:dyDescent="0.25">
      <c r="B69" s="989"/>
      <c r="C69" s="989"/>
      <c r="D69" s="989"/>
    </row>
    <row r="70" spans="2:20" ht="12" customHeight="1" x14ac:dyDescent="0.25">
      <c r="B70" s="989"/>
      <c r="C70" s="989"/>
      <c r="D70" s="989"/>
    </row>
    <row r="71" spans="2:20" ht="12" customHeight="1" x14ac:dyDescent="0.25">
      <c r="B71" s="988"/>
      <c r="C71" s="988"/>
      <c r="D71" s="988"/>
      <c r="E71" s="988"/>
      <c r="F71" s="988"/>
      <c r="G71" s="988"/>
      <c r="H71" s="988"/>
      <c r="I71" s="988"/>
      <c r="J71" s="988"/>
      <c r="K71" s="988"/>
      <c r="L71" s="988"/>
      <c r="M71" s="988"/>
      <c r="N71" s="988"/>
      <c r="O71" s="988"/>
    </row>
    <row r="72" spans="2:20" ht="12" customHeight="1" thickBot="1" x14ac:dyDescent="0.3">
      <c r="B72" s="1467"/>
      <c r="C72" s="990"/>
      <c r="D72" s="990"/>
    </row>
    <row r="73" spans="2:20" ht="12" customHeight="1" x14ac:dyDescent="0.25">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5">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5">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5">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3">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5">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09375" defaultRowHeight="12" customHeight="1" x14ac:dyDescent="0.25"/>
  <cols>
    <col min="1" max="1" width="1.88671875" style="110" customWidth="1"/>
    <col min="2" max="2" width="39.109375" style="110" customWidth="1"/>
    <col min="3" max="3" width="18.109375" style="110" customWidth="1"/>
    <col min="4" max="4" width="23.5546875" style="110" customWidth="1"/>
    <col min="5" max="5" width="17.88671875" style="110" customWidth="1"/>
    <col min="6" max="8" width="15.88671875" style="110" customWidth="1"/>
    <col min="9" max="9" width="17.44140625" style="110" customWidth="1"/>
    <col min="10" max="10" width="10.88671875" style="110" customWidth="1"/>
    <col min="11" max="16384" width="9.109375" style="110"/>
  </cols>
  <sheetData>
    <row r="1" spans="2:12" ht="17.25" customHeight="1" x14ac:dyDescent="0.4">
      <c r="B1" s="209" t="s">
        <v>285</v>
      </c>
      <c r="C1" s="209"/>
      <c r="D1" s="209"/>
      <c r="E1" s="209"/>
      <c r="I1" s="14" t="s">
        <v>2521</v>
      </c>
    </row>
    <row r="2" spans="2:12" ht="16.5" customHeight="1" x14ac:dyDescent="0.4">
      <c r="B2" s="210" t="s">
        <v>286</v>
      </c>
      <c r="C2" s="210"/>
      <c r="D2" s="210"/>
      <c r="I2" s="14" t="s">
        <v>2522</v>
      </c>
    </row>
    <row r="3" spans="2:12" ht="15.75" customHeight="1" x14ac:dyDescent="0.3">
      <c r="B3" s="216" t="s">
        <v>62</v>
      </c>
      <c r="H3" s="2"/>
      <c r="I3" s="14" t="s">
        <v>2144</v>
      </c>
    </row>
    <row r="4" spans="2:12" ht="12" customHeight="1" x14ac:dyDescent="0.3">
      <c r="B4" s="216"/>
      <c r="H4" s="2"/>
      <c r="I4" s="2"/>
    </row>
    <row r="5" spans="2:12" ht="12" customHeight="1" x14ac:dyDescent="0.3">
      <c r="B5" s="216"/>
      <c r="H5" s="2"/>
      <c r="I5" s="2"/>
      <c r="L5"/>
    </row>
    <row r="6" spans="2:12" ht="12.75" customHeight="1" thickBot="1" x14ac:dyDescent="0.3">
      <c r="B6" s="2447" t="s">
        <v>64</v>
      </c>
      <c r="C6" s="23"/>
      <c r="D6" s="44"/>
      <c r="E6" s="44"/>
      <c r="F6" s="44"/>
      <c r="G6" s="4"/>
      <c r="H6" s="4"/>
      <c r="I6" s="4"/>
      <c r="L6"/>
    </row>
    <row r="7" spans="2:12" ht="25.5" customHeight="1" x14ac:dyDescent="0.25">
      <c r="B7" s="124" t="s">
        <v>218</v>
      </c>
      <c r="C7" s="217" t="s">
        <v>287</v>
      </c>
      <c r="D7" s="218"/>
      <c r="E7" s="219"/>
      <c r="F7" s="217" t="s">
        <v>288</v>
      </c>
      <c r="G7" s="218"/>
      <c r="H7" s="217" t="s">
        <v>289</v>
      </c>
      <c r="I7" s="220"/>
      <c r="L7"/>
    </row>
    <row r="8" spans="2:12" ht="63" customHeight="1" x14ac:dyDescent="0.25">
      <c r="B8" s="46"/>
      <c r="C8" s="9" t="s">
        <v>290</v>
      </c>
      <c r="D8" s="9" t="s">
        <v>291</v>
      </c>
      <c r="E8" s="47" t="s">
        <v>292</v>
      </c>
      <c r="F8" s="9" t="s">
        <v>293</v>
      </c>
      <c r="G8" s="47" t="s">
        <v>294</v>
      </c>
      <c r="H8" s="9" t="s">
        <v>293</v>
      </c>
      <c r="I8" s="263" t="s">
        <v>295</v>
      </c>
      <c r="L8"/>
    </row>
    <row r="9" spans="2:12" ht="15" customHeight="1" thickBot="1" x14ac:dyDescent="0.3">
      <c r="B9" s="46"/>
      <c r="C9" s="6" t="s">
        <v>296</v>
      </c>
      <c r="D9" s="6" t="s">
        <v>296</v>
      </c>
      <c r="E9" s="6" t="s">
        <v>73</v>
      </c>
      <c r="F9" s="6" t="s">
        <v>296</v>
      </c>
      <c r="G9" s="6" t="s">
        <v>73</v>
      </c>
      <c r="H9" s="12" t="s">
        <v>297</v>
      </c>
      <c r="I9" s="48" t="s">
        <v>297</v>
      </c>
      <c r="L9"/>
    </row>
    <row r="10" spans="2:12" ht="18" customHeight="1" thickTop="1" x14ac:dyDescent="0.25">
      <c r="B10" s="49" t="s">
        <v>298</v>
      </c>
      <c r="C10" s="4135">
        <f>'Table1.A(b)'!N31/1000</f>
        <v>1365.6011887233781</v>
      </c>
      <c r="D10" s="4136">
        <f>C10-'Table1.A(d)'!E31/1000</f>
        <v>1259.3047047251448</v>
      </c>
      <c r="E10" s="4135">
        <f>'Table1.A(b)'!T31</f>
        <v>87073.19955016012</v>
      </c>
      <c r="F10" s="4135">
        <f>'Table1.A(a)s1'!C11/1000</f>
        <v>1268.3105629154622</v>
      </c>
      <c r="G10" s="4135">
        <f>'Table1.A(a)s1'!H11</f>
        <v>86336.674639930527</v>
      </c>
      <c r="H10" s="4135">
        <f>100*((D10-F10)/F10)</f>
        <v>-0.71006727008688597</v>
      </c>
      <c r="I10" s="4137">
        <f>100*((E10-G10)/G10)</f>
        <v>0.85308464021957109</v>
      </c>
      <c r="L10"/>
    </row>
    <row r="11" spans="2:12" ht="18" customHeight="1" x14ac:dyDescent="0.25">
      <c r="B11" s="50" t="s">
        <v>299</v>
      </c>
      <c r="C11" s="4135">
        <f>'Table1.A(b)'!N45/1000</f>
        <v>1571.5960079652268</v>
      </c>
      <c r="D11" s="4135">
        <f>C11-'Table1.A(d)'!E45/1000</f>
        <v>1473.0371425502613</v>
      </c>
      <c r="E11" s="4135">
        <f>'Table1.A(b)'!T45</f>
        <v>133767.82644309819</v>
      </c>
      <c r="F11" s="4135">
        <f>'Table1.A(a)s1'!C12/1000</f>
        <v>1442.8998742920553</v>
      </c>
      <c r="G11" s="4135">
        <f>'Table1.A(a)s1'!H12</f>
        <v>131681.32040912585</v>
      </c>
      <c r="H11" s="4135">
        <f t="shared" ref="H11:H13" si="0">100*((D11-F11)/F11)</f>
        <v>2.0886597050257909</v>
      </c>
      <c r="I11" s="4137">
        <f t="shared" ref="I11:I13" si="1">100*((E11-G11)/G11)</f>
        <v>1.5845117800229334</v>
      </c>
      <c r="L11"/>
    </row>
    <row r="12" spans="2:12" ht="18" customHeight="1" x14ac:dyDescent="0.25">
      <c r="B12" s="50" t="s">
        <v>300</v>
      </c>
      <c r="C12" s="4135">
        <f>'Table1.A(b)'!N50/1000</f>
        <v>677.11299999999983</v>
      </c>
      <c r="D12" s="4135">
        <f>C12-'Table1.A(d)'!E50/1000</f>
        <v>654.84142425307004</v>
      </c>
      <c r="E12" s="4135">
        <f>'Table1.A(b)'!T50</f>
        <v>33657.729986089005</v>
      </c>
      <c r="F12" s="4135">
        <f>'Table1.A(a)s1'!C13/1000</f>
        <v>648.16503492082279</v>
      </c>
      <c r="G12" s="4135">
        <f>'Table1.A(a)s1'!H13</f>
        <v>33346.502345855137</v>
      </c>
      <c r="H12" s="4135">
        <f t="shared" si="0"/>
        <v>1.0300446603175399</v>
      </c>
      <c r="I12" s="4137">
        <f t="shared" si="1"/>
        <v>0.93331419591162323</v>
      </c>
      <c r="L12"/>
    </row>
    <row r="13" spans="2:12" ht="18" customHeight="1" x14ac:dyDescent="0.25">
      <c r="B13" s="50" t="s">
        <v>275</v>
      </c>
      <c r="C13" s="4135">
        <f>'Table1.A(b)'!N54/1000</f>
        <v>0</v>
      </c>
      <c r="D13" s="4135">
        <f>C13-SUM('Table1.A(d)'!E54)/1000</f>
        <v>0</v>
      </c>
      <c r="E13" s="4135">
        <f>'Table1.A(b)'!T54</f>
        <v>0</v>
      </c>
      <c r="F13" s="4135">
        <f>'Table1.A(a)s1'!C14/1000</f>
        <v>3.5017097903584404</v>
      </c>
      <c r="G13" s="4135">
        <f>'Table1.A(a)s1'!H14</f>
        <v>314.79132763327368</v>
      </c>
      <c r="H13" s="4135">
        <f t="shared" si="0"/>
        <v>-100</v>
      </c>
      <c r="I13" s="4137">
        <f t="shared" si="1"/>
        <v>-100</v>
      </c>
      <c r="L13"/>
    </row>
    <row r="14" spans="2:12" ht="18" customHeight="1" x14ac:dyDescent="0.25">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3">
      <c r="B15" s="2297" t="s">
        <v>1514</v>
      </c>
      <c r="C15" s="4138">
        <f>SUM(C10:C14)</f>
        <v>3614.3101966886047</v>
      </c>
      <c r="D15" s="4138">
        <f>SUM(D10:D14)</f>
        <v>3387.1832715284763</v>
      </c>
      <c r="E15" s="4138">
        <f>SUM(E10:E14)</f>
        <v>254498.75597934733</v>
      </c>
      <c r="F15" s="4138">
        <f>SUM(F10:F14)</f>
        <v>3362.8771819186986</v>
      </c>
      <c r="G15" s="4138">
        <f>SUM(G10:G14)</f>
        <v>251679.28872254479</v>
      </c>
      <c r="H15" s="4139">
        <f t="shared" ref="H15" si="2">100*((D15-F15)/F15)</f>
        <v>0.72277660749744643</v>
      </c>
      <c r="I15" s="4140">
        <f t="shared" ref="I15" si="3">100*((E15-G15)/G15)</f>
        <v>1.1202619298208392</v>
      </c>
    </row>
    <row r="16" spans="2:12" ht="12" customHeight="1" x14ac:dyDescent="0.25">
      <c r="B16" s="119"/>
      <c r="C16" s="119"/>
      <c r="D16" s="119"/>
      <c r="E16" s="119"/>
      <c r="F16" s="119"/>
      <c r="G16" s="119"/>
      <c r="H16" s="119"/>
      <c r="I16" s="119"/>
    </row>
    <row r="17" spans="2:9" ht="12" customHeight="1" x14ac:dyDescent="0.25">
      <c r="B17" s="312"/>
      <c r="C17" s="312"/>
      <c r="D17" s="312"/>
      <c r="E17" s="312"/>
      <c r="F17" s="312"/>
      <c r="G17" s="312"/>
      <c r="H17" s="312"/>
      <c r="I17" s="312"/>
    </row>
    <row r="18" spans="2:9" ht="12" customHeight="1" x14ac:dyDescent="0.25">
      <c r="B18" s="312"/>
      <c r="C18" s="312"/>
      <c r="D18" s="312"/>
      <c r="E18" s="312"/>
      <c r="F18" s="312"/>
      <c r="G18" s="312"/>
      <c r="H18" s="312"/>
      <c r="I18" s="312"/>
    </row>
    <row r="19" spans="2:9" ht="12" customHeight="1" x14ac:dyDescent="0.25">
      <c r="B19" s="312"/>
      <c r="C19" s="312"/>
      <c r="D19" s="312"/>
      <c r="E19" s="312"/>
      <c r="F19" s="312"/>
      <c r="G19" s="312"/>
      <c r="H19" s="312"/>
      <c r="I19" s="312"/>
    </row>
    <row r="20" spans="2:9" ht="12" customHeight="1" x14ac:dyDescent="0.25">
      <c r="B20" s="312"/>
      <c r="C20" s="312"/>
      <c r="D20" s="312"/>
      <c r="E20" s="312"/>
      <c r="F20" s="312"/>
      <c r="G20" s="126"/>
      <c r="H20" s="126"/>
      <c r="I20" s="126"/>
    </row>
    <row r="21" spans="2:9" ht="12" customHeight="1" x14ac:dyDescent="0.25">
      <c r="B21" s="1518"/>
      <c r="C21" s="127"/>
      <c r="D21" s="127"/>
      <c r="E21" s="127"/>
      <c r="F21" s="127"/>
      <c r="G21" s="127"/>
      <c r="H21" s="127"/>
      <c r="I21" s="127"/>
    </row>
    <row r="22" spans="2:9" ht="12" customHeight="1" x14ac:dyDescent="0.25">
      <c r="B22" s="312"/>
      <c r="C22" s="312"/>
      <c r="D22" s="312"/>
      <c r="E22" s="312"/>
      <c r="F22" s="127"/>
      <c r="G22" s="127"/>
      <c r="H22" s="127"/>
      <c r="I22" s="127"/>
    </row>
    <row r="23" spans="2:9" ht="12" customHeight="1" x14ac:dyDescent="0.25">
      <c r="B23" s="312"/>
      <c r="C23" s="312"/>
      <c r="D23" s="312"/>
      <c r="E23" s="312"/>
      <c r="F23" s="127"/>
      <c r="G23" s="127"/>
      <c r="H23" s="127"/>
      <c r="I23" s="127"/>
    </row>
    <row r="24" spans="2:9" ht="12" customHeight="1" x14ac:dyDescent="0.25">
      <c r="B24" s="312"/>
      <c r="C24" s="312"/>
      <c r="D24" s="312"/>
      <c r="E24" s="312"/>
      <c r="F24" s="127"/>
      <c r="G24" s="127"/>
      <c r="H24" s="127"/>
      <c r="I24" s="127"/>
    </row>
    <row r="25" spans="2:9" ht="12" customHeight="1" x14ac:dyDescent="0.25">
      <c r="B25" s="312"/>
      <c r="C25" s="312"/>
      <c r="D25" s="312"/>
      <c r="E25" s="312"/>
      <c r="F25" s="127"/>
      <c r="G25" s="127"/>
      <c r="H25" s="127"/>
      <c r="I25" s="127"/>
    </row>
    <row r="26" spans="2:9" ht="12" customHeight="1" x14ac:dyDescent="0.25">
      <c r="B26" s="312"/>
      <c r="C26" s="312"/>
      <c r="D26" s="312"/>
      <c r="E26" s="312"/>
      <c r="F26" s="127"/>
      <c r="G26" s="127"/>
      <c r="H26" s="127"/>
      <c r="I26" s="127"/>
    </row>
    <row r="27" spans="2:9" ht="12" customHeight="1" x14ac:dyDescent="0.25">
      <c r="B27" s="312"/>
      <c r="C27" s="312"/>
      <c r="D27" s="312"/>
      <c r="E27" s="312"/>
      <c r="F27" s="127"/>
      <c r="G27" s="127"/>
      <c r="H27" s="127"/>
      <c r="I27" s="127"/>
    </row>
    <row r="28" spans="2:9" ht="12" customHeight="1" x14ac:dyDescent="0.25">
      <c r="B28" s="988"/>
      <c r="C28" s="1720"/>
      <c r="D28" s="1720"/>
      <c r="E28" s="1720"/>
      <c r="F28" s="1720"/>
      <c r="G28" s="1720"/>
      <c r="H28" s="1720"/>
      <c r="I28" s="1720"/>
    </row>
    <row r="29" spans="2:9" ht="12" customHeight="1" thickBot="1" x14ac:dyDescent="0.3"/>
    <row r="30" spans="2:9" ht="12" customHeight="1" x14ac:dyDescent="0.25">
      <c r="B30" s="1571" t="s">
        <v>118</v>
      </c>
      <c r="C30" s="1572"/>
      <c r="D30" s="1572"/>
      <c r="E30" s="1572"/>
      <c r="F30" s="1572"/>
      <c r="G30" s="1572"/>
      <c r="H30" s="1572"/>
      <c r="I30" s="1573"/>
    </row>
    <row r="31" spans="2:9" ht="12" customHeight="1" x14ac:dyDescent="0.25">
      <c r="B31" s="1717"/>
      <c r="C31" s="1718"/>
      <c r="D31" s="1718"/>
      <c r="E31" s="1718"/>
      <c r="F31" s="1718"/>
      <c r="G31" s="1718"/>
      <c r="H31" s="1718"/>
      <c r="I31" s="1719"/>
    </row>
    <row r="32" spans="2:9" ht="12" customHeight="1" x14ac:dyDescent="0.25">
      <c r="B32" s="1717"/>
      <c r="C32" s="1718"/>
      <c r="D32" s="1718"/>
      <c r="E32" s="1718"/>
      <c r="F32" s="1718"/>
      <c r="G32" s="1718"/>
      <c r="H32" s="1718"/>
      <c r="I32" s="1719"/>
    </row>
    <row r="33" spans="2:9" ht="12" customHeight="1" x14ac:dyDescent="0.25">
      <c r="B33" s="1717"/>
      <c r="C33" s="1718"/>
      <c r="D33" s="1718"/>
      <c r="E33" s="1718"/>
      <c r="F33" s="1718"/>
      <c r="G33" s="1718"/>
      <c r="H33" s="1718"/>
      <c r="I33" s="1719"/>
    </row>
    <row r="34" spans="2:9" ht="12" customHeight="1" x14ac:dyDescent="0.25">
      <c r="B34" s="1716"/>
      <c r="C34" s="997"/>
      <c r="D34" s="997"/>
      <c r="E34" s="997"/>
      <c r="F34" s="997"/>
      <c r="G34" s="997"/>
      <c r="H34" s="997"/>
      <c r="I34" s="998"/>
    </row>
    <row r="35" spans="2:9" ht="27" customHeight="1" thickBot="1" x14ac:dyDescent="0.3">
      <c r="B35" s="4443" t="s">
        <v>2178</v>
      </c>
      <c r="C35" s="4444"/>
      <c r="D35" s="4444"/>
      <c r="E35" s="4444"/>
      <c r="F35" s="4444"/>
      <c r="G35" s="4444"/>
      <c r="H35" s="4444"/>
      <c r="I35" s="4445"/>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AC227246-C837-4938-B958-5C8B37893B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3.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4.xml><?xml version="1.0" encoding="utf-8"?>
<ds:datastoreItem xmlns:ds="http://schemas.openxmlformats.org/officeDocument/2006/customXml" ds:itemID="{D7F9BB66-26BC-4FB5-8B4E-F270C2DFD009}">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Joshua Bourassa</cp:lastModifiedBy>
  <cp:revision/>
  <cp:lastPrinted>2022-02-21T17:57:10Z</cp:lastPrinted>
  <dcterms:created xsi:type="dcterms:W3CDTF">2011-02-23T16:15:13Z</dcterms:created>
  <dcterms:modified xsi:type="dcterms:W3CDTF">2023-04-19T18:53:29Z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