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B3E42309-0EDA-4097-8537-90AACEB73ECA}" xr6:coauthVersionLast="47" xr6:coauthVersionMax="47" xr10:uidLastSave="{00000000-0000-0000-0000-000000000000}"/>
  <bookViews>
    <workbookView xWindow="780" yWindow="78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G86" i="34"/>
  <c r="I78" i="34"/>
  <c r="I86" i="34"/>
  <c r="G78" i="34"/>
  <c r="I87" i="34"/>
  <c r="G56" i="34"/>
  <c r="I79" i="34"/>
  <c r="G57" i="34"/>
  <c r="G82" i="34"/>
  <c r="G58" i="34"/>
  <c r="I82" i="34"/>
  <c r="G60" i="34"/>
  <c r="I83" i="34"/>
  <c r="G31" i="34"/>
  <c r="H32" i="34"/>
  <c r="I33" i="34"/>
  <c r="H71" i="34"/>
  <c r="G30" i="34"/>
  <c r="H31" i="34"/>
  <c r="I32" i="34"/>
  <c r="I71" i="34"/>
  <c r="G29" i="34"/>
  <c r="H30" i="34"/>
  <c r="I31" i="34"/>
  <c r="G37" i="34"/>
  <c r="G59" i="34"/>
  <c r="H65" i="34"/>
  <c r="H67" i="34"/>
  <c r="H69" i="34"/>
  <c r="I72" i="34"/>
  <c r="G79" i="34"/>
  <c r="G83" i="34"/>
  <c r="G87" i="34"/>
  <c r="G28" i="34"/>
  <c r="H29" i="34"/>
  <c r="I30" i="34"/>
  <c r="G36" i="34"/>
  <c r="H37" i="34"/>
  <c r="I65" i="34"/>
  <c r="I67" i="34"/>
  <c r="I69" i="34"/>
  <c r="I73" i="34"/>
  <c r="G27" i="34"/>
  <c r="H28" i="34"/>
  <c r="I29" i="34"/>
  <c r="G35" i="34"/>
  <c r="H36" i="34"/>
  <c r="I37" i="34"/>
  <c r="G53" i="34"/>
  <c r="G61" i="34"/>
  <c r="I74" i="34"/>
  <c r="G80" i="34"/>
  <c r="G84" i="34"/>
  <c r="G88" i="34"/>
  <c r="G26" i="34"/>
  <c r="H27" i="34"/>
  <c r="I28" i="34"/>
  <c r="G34" i="34"/>
  <c r="H35" i="34"/>
  <c r="I36" i="34"/>
  <c r="G54" i="34"/>
  <c r="G62" i="34"/>
  <c r="I75" i="34"/>
  <c r="I80" i="34"/>
  <c r="I84" i="34"/>
  <c r="I88" i="34"/>
  <c r="H26" i="34"/>
  <c r="I27" i="34"/>
  <c r="G33" i="34"/>
  <c r="H34" i="34"/>
  <c r="I35" i="34"/>
  <c r="G55" i="34"/>
  <c r="H66" i="34"/>
  <c r="H68" i="34"/>
  <c r="H70" i="34"/>
  <c r="I76" i="34"/>
  <c r="G81" i="34"/>
  <c r="G85" i="34"/>
  <c r="G89" i="34"/>
  <c r="I26" i="34"/>
  <c r="G32" i="34"/>
  <c r="H33" i="34"/>
  <c r="I34" i="34"/>
  <c r="I66" i="34"/>
  <c r="I68" i="34"/>
  <c r="I81" i="34"/>
  <c r="I85" i="34"/>
  <c r="I89" i="34"/>
  <c r="G128" i="34"/>
  <c r="G135" i="34"/>
  <c r="G143" i="34"/>
  <c r="I151" i="34"/>
  <c r="G118" i="34"/>
  <c r="G120" i="34"/>
  <c r="G122" i="34"/>
  <c r="G124" i="34"/>
  <c r="G126" i="34"/>
  <c r="G138" i="34"/>
  <c r="I152" i="34"/>
  <c r="I45" i="59"/>
  <c r="G133" i="34"/>
  <c r="G141" i="34"/>
  <c r="I153" i="34"/>
  <c r="I15" i="59"/>
  <c r="G129" i="34"/>
  <c r="G136" i="34"/>
  <c r="I154" i="34"/>
  <c r="H16" i="59"/>
  <c r="G139" i="34"/>
  <c r="I147" i="34"/>
  <c r="I155" i="34"/>
  <c r="H15" i="59"/>
  <c r="H45" i="59"/>
  <c r="G119" i="34"/>
  <c r="G121" i="34"/>
  <c r="G123" i="34"/>
  <c r="G125" i="34"/>
  <c r="G127" i="34"/>
  <c r="G134" i="34"/>
  <c r="G142" i="34"/>
  <c r="I148" i="34"/>
  <c r="I156" i="34"/>
  <c r="D16" i="57"/>
  <c r="I22" i="59"/>
  <c r="G137" i="34"/>
  <c r="I149" i="34"/>
  <c r="I157" i="34"/>
  <c r="D18" i="57"/>
  <c r="G132" i="34"/>
  <c r="G140" i="34"/>
  <c r="I150" i="34"/>
  <c r="H22" i="59"/>
  <c r="H147" i="34"/>
  <c r="H148" i="34"/>
  <c r="H149" i="34"/>
  <c r="H150" i="34"/>
  <c r="H151" i="34"/>
  <c r="H152" i="34"/>
  <c r="H153" i="34"/>
  <c r="H154" i="34"/>
  <c r="H155" i="34"/>
  <c r="H156"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7"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79" i="34"/>
  <c r="H80" i="34"/>
  <c r="H81" i="34"/>
  <c r="H82" i="34"/>
  <c r="H83" i="34"/>
  <c r="H84" i="34"/>
  <c r="H85" i="34"/>
  <c r="H86" i="34"/>
  <c r="H87" i="34"/>
  <c r="H88" i="34"/>
  <c r="H89" i="34"/>
  <c r="G65" i="34"/>
  <c r="G66" i="34"/>
  <c r="G67" i="34"/>
  <c r="G68" i="34"/>
  <c r="G69" i="34"/>
  <c r="G70" i="34"/>
  <c r="G71" i="34"/>
  <c r="G72" i="34"/>
  <c r="G73" i="34"/>
  <c r="G74" i="34"/>
  <c r="G75" i="34"/>
  <c r="G76" i="34"/>
  <c r="H72" i="34"/>
  <c r="H73" i="34"/>
  <c r="H74" i="34"/>
  <c r="H75" i="34"/>
  <c r="H76" i="34"/>
  <c r="H52" i="34"/>
  <c r="H53" i="34"/>
  <c r="H54" i="34"/>
  <c r="H55" i="34"/>
  <c r="H56" i="34"/>
  <c r="H57" i="34"/>
  <c r="H58" i="34"/>
  <c r="H59" i="34"/>
  <c r="H60" i="34"/>
  <c r="H61" i="34"/>
  <c r="H62" i="34"/>
  <c r="H63" i="34"/>
  <c r="I52" i="34"/>
  <c r="I53" i="34"/>
  <c r="I54" i="34"/>
  <c r="I55" i="34"/>
  <c r="I56" i="34"/>
  <c r="I57" i="34"/>
  <c r="I58" i="34"/>
  <c r="I59" i="34"/>
  <c r="I60" i="34"/>
  <c r="I61" i="34"/>
  <c r="I62" i="34"/>
  <c r="I63" i="34"/>
  <c r="G63" i="34"/>
  <c r="M51" i="34" l="1"/>
  <c r="L51" i="34"/>
  <c r="K51" i="34"/>
  <c r="J51" i="34"/>
  <c r="L64" i="34"/>
  <c r="K64" i="34"/>
  <c r="M77" i="34"/>
  <c r="L77" i="34"/>
  <c r="K77" i="34"/>
  <c r="J77"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01" i="34"/>
  <c r="D114" i="34"/>
  <c r="G114" i="34" s="1"/>
  <c r="D106" i="34"/>
  <c r="G106" i="34" s="1"/>
  <c r="G93" i="34"/>
  <c r="I16" i="57"/>
  <c r="E16" i="57"/>
  <c r="I18" i="57"/>
  <c r="E18" i="57"/>
  <c r="G100" i="34"/>
  <c r="D113" i="34"/>
  <c r="G113" i="34" s="1"/>
  <c r="D105" i="34"/>
  <c r="G105" i="34" s="1"/>
  <c r="G92" i="34"/>
  <c r="M64" i="34"/>
  <c r="J64" i="34"/>
  <c r="M25" i="34"/>
  <c r="L25" i="34"/>
  <c r="K25" i="34"/>
  <c r="J25"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H22" i="73"/>
  <c r="G22" i="73"/>
  <c r="F23" i="73"/>
  <c r="H23" i="73"/>
  <c r="G23" i="73"/>
  <c r="F24" i="73"/>
  <c r="H24" i="73"/>
  <c r="G24" i="73"/>
  <c r="F25" i="73"/>
  <c r="H25" i="73"/>
  <c r="G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H21" i="73"/>
  <c r="G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F11" i="73" s="1"/>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11" i="73" l="1"/>
  <c r="I34" i="73"/>
  <c r="J34" i="73" s="1"/>
  <c r="G35" i="73"/>
  <c r="H45" i="70"/>
  <c r="T49" i="70"/>
  <c r="H46" i="70"/>
  <c r="H65" i="70"/>
  <c r="T42" i="70"/>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G11" i="73" l="1"/>
  <c r="I35" i="73"/>
  <c r="J35" i="73" s="1"/>
  <c r="G65" i="70"/>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<sst xmlns="http://schemas.openxmlformats.org/spreadsheetml/2006/main" count="19808" uniqueCount="2523">
  <si>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</si>
  <si>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</si>
  <si>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</si>
  <si>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</si>
  <si>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</si>
  <si>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</si>
  <si>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</si>
  <si>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</si>
  <si>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</si>
  <si>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</si>
  <si>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</si>
  <si>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</si>
  <si>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</si>
  <si>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</si>
  <si>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</si>
  <si>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</si>
  <si>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</si>
  <si>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</si>
  <si>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</si>
  <si>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</si>
  <si>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</si>
  <si>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</si>
  <si>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</si>
  <si>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</si>
  <si>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</si>
  <si>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</si>
  <si>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</si>
  <si>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</si>
  <si>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</si>
  <si>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</si>
  <si>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</si>
  <si>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</si>
  <si>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</si>
  <si>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</si>
  <si>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</si>
  <si>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</si>
  <si>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</si>
  <si>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</si>
  <si>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</si>
  <si>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</si>
  <si>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</si>
  <si>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</si>
  <si>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</si>
  <si>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</si>
  <si>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</si>
  <si>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</si>
  <si>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</si>
  <si>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</si>
  <si>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</si>
  <si>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</si>
  <si>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</si>
  <si>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</si>
  <si>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</si>
  <si>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</si>
  <si>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</si>
  <si>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</si>
  <si>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</si>
  <si>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</si>
  <si>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</si>
  <si>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</si>
  <si>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</si>
  <si>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</si>
  <si>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</si>
  <si>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</si>
  <si>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</si>
  <si>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</si>
  <si>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</si>
  <si>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</si>
  <si>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</si>
  <si>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</si>
  <si>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</si>
  <si>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</si>
  <si>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</si>
  <si>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</si>
  <si>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</si>
  <si>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</si>
  <si>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</si>
  <si>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</si>
  <si>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</si>
  <si>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</si>
  <si>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</si>
  <si>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</si>
  <si>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</si>
  <si>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</si>
  <si>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</si>
  <si>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</si>
  <si>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</si>
  <si>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</si>
  <si>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</si>
  <si>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</si>
  <si>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</si>
  <si>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</si>
  <si>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</si>
  <si>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</si>
  <si>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</si>
  <si>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</si>
  <si>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</si>
  <si>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</si>
  <si>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</si>
  <si>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</si>
  <si>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</si>
  <si>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</si>
  <si>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</si>
  <si>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</si>
  <si>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</si>
  <si>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</si>
  <si>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</si>
  <si>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</si>
  <si>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</si>
  <si>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</si>
  <si>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</si>
  <si>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</si>
  <si>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</si>
  <si>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</si>
  <si>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</si>
  <si>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</si>
  <si>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</si>
  <si>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</si>
  <si>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</si>
  <si>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</si>
  <si>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</si>
  <si>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</si>
  <si>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</si>
  <si>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</si>
  <si>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</si>
  <si>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</si>
  <si>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</si>
  <si>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</si>
  <si>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</si>
  <si>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</si>
  <si>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</si>
  <si>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</si>
  <si>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</si>
  <si>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</si>
  <si>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</si>
  <si>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</si>
  <si>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</si>
  <si>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</si>
  <si>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</si>
  <si>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</si>
  <si>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</si>
  <si>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</si>
  <si>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</si>
  <si>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</si>
  <si>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</si>
  <si>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</si>
  <si>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</si>
  <si>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</si>
  <si>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</si>
  <si>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</si>
  <si>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</si>
  <si>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</si>
  <si>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</si>
  <si>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</si>
  <si>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</si>
  <si>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</si>
  <si>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</si>
  <si>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</si>
  <si>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</si>
  <si>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</si>
  <si>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</si>
  <si>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</si>
  <si>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</si>
  <si>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</si>
  <si>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</si>
  <si>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</si>
  <si>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</si>
  <si>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</si>
  <si>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</si>
  <si>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</si>
  <si>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</si>
  <si>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</si>
  <si>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</si>
  <si>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</si>
  <si>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</si>
  <si>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</si>
  <si>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</si>
  <si>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</si>
  <si>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</si>
  <si>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</si>
  <si>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</si>
  <si>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</si>
  <si>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</si>
  <si>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</si>
  <si>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</si>
  <si>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</si>
  <si>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</si>
  <si>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</si>
  <si>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</si>
  <si>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</si>
  <si>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</si>
  <si>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</si>
  <si>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</si>
  <si>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</si>
  <si>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</si>
  <si>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</si>
  <si>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</si>
  <si>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</si>
  <si>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</si>
  <si>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</si>
  <si>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</si>
  <si>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</si>
  <si>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</si>
  <si>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</si>
  <si>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</si>
  <si>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</si>
  <si>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</si>
  <si>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</si>
  <si>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</si>
  <si>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</si>
  <si>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</si>
  <si>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</si>
  <si>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</si>
  <si>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</si>
  <si>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</si>
  <si>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</si>
  <si>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</si>
  <si>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</si>
  <si>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</si>
  <si>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</si>
  <si>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</si>
  <si>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</si>
  <si>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</si>
  <si>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</si>
  <si>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</si>
  <si>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</si>
  <si>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</si>
  <si>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</si>
  <si>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</si>
  <si>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</si>
  <si>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</si>
  <si>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</si>
  <si>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</si>
  <si>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</si>
  <si>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</si>
  <si>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</si>
  <si>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</si>
  <si>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</si>
  <si>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</si>
  <si>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</si>
  <si>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</si>
  <si>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</si>
  <si>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</si>
  <si>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</si>
  <si>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</si>
  <si>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</si>
  <si>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</si>
  <si>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</si>
  <si>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</si>
  <si>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</si>
  <si>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</si>
  <si>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</si>
  <si>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</si>
  <si>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</si>
  <si>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</si>
  <si>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</si>
  <si>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</si>
  <si>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</si>
  <si>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</si>
  <si>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</si>
  <si>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</si>
  <si>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</si>
  <si>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</si>
  <si>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</si>
  <si>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</si>
  <si>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</si>
  <si>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</si>
  <si>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</si>
  <si>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</si>
  <si>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</si>
  <si>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</si>
  <si>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</si>
  <si>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</si>
  <si>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</si>
  <si>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</si>
  <si>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</si>
  <si>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</si>
  <si>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</si>
  <si>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</si>
  <si>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</si>
  <si>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</si>
  <si>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</si>
  <si>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</si>
  <si>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</si>
  <si>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</si>
  <si>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</si>
  <si>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</si>
  <si>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</si>
  <si>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</si>
  <si>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</si>
  <si>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</si>
  <si>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</si>
  <si>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</si>
  <si>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</si>
  <si>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</si>
  <si>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</si>
  <si>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</si>
  <si>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</si>
  <si>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</si>
  <si>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</si>
  <si>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</si>
  <si>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</si>
  <si>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</si>
  <si>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</si>
  <si>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</si>
  <si>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</si>
  <si>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</si>
  <si>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</si>
  <si>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</si>
  <si>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</si>
  <si>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</si>
  <si>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</si>
  <si>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</si>
  <si>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</si>
  <si>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</si>
  <si>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</si>
  <si>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</si>
  <si>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</si>
  <si>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</si>
  <si>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</si>
  <si>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</si>
  <si>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</si>
  <si>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</si>
  <si>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</si>
  <si>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</si>
  <si>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</si>
  <si>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</si>
  <si>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</si>
  <si>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</si>
  <si>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</si>
  <si>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</si>
  <si>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</si>
  <si>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</si>
  <si>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</si>
  <si>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</si>
  <si>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</si>
  <si>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</si>
  <si>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</si>
  <si>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</si>
  <si>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</si>
  <si>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</si>
  <si>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</si>
  <si>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</si>
  <si>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</si>
  <si>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</si>
  <si>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</si>
  <si>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</si>
  <si>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</si>
  <si>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</si>
  <si>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</si>
  <si>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</si>
  <si>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</si>
  <si>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</si>
  <si>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</si>
  <si>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</si>
  <si>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</si>
  <si>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</si>
  <si>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</si>
  <si>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</si>
  <si>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</si>
  <si>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</si>
  <si>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</si>
  <si>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</si>
  <si>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</si>
  <si>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</si>
  <si>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</si>
  <si>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</si>
  <si>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</si>
  <si>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</si>
  <si>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</si>
  <si>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</si>
  <si>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</si>
  <si>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</si>
  <si>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</si>
  <si>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</si>
  <si>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</si>
  <si>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</si>
  <si>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</si>
  <si>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</si>
  <si>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</si>
  <si>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</si>
  <si>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</si>
  <si>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</si>
  <si>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</si>
  <si>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</si>
  <si>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</si>
  <si>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</si>
  <si>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</si>
  <si>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</si>
  <si>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</si>
  <si>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</si>
  <si>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</si>
  <si>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</si>
  <si>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</si>
  <si>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</si>
  <si>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</si>
  <si>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</si>
  <si>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</si>
  <si>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</si>
  <si>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</si>
  <si>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</si>
  <si>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</si>
  <si>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</si>
  <si>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</si>
  <si>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</si>
  <si>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</si>
  <si>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</si>
  <si>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</si>
  <si>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</si>
  <si>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</si>
  <si>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</si>
  <si>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</si>
  <si>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</si>
  <si>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</si>
  <si>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</si>
  <si>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</si>
  <si>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</si>
  <si>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</si>
  <si>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</si>
  <si>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</si>
  <si>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</si>
  <si>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</si>
  <si>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</si>
  <si>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</si>
  <si>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</si>
  <si>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</si>
  <si>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</si>
  <si>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</si>
  <si>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</si>
  <si>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</si>
  <si>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</si>
  <si>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</si>
  <si>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</si>
  <si>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</si>
  <si>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</si>
  <si>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</si>
  <si>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</si>
  <si>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</si>
  <si>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</si>
  <si>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</si>
  <si>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</si>
  <si>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</si>
  <si>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</si>
  <si>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</si>
  <si>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</si>
  <si>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</si>
  <si>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</si>
  <si>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</si>
  <si>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</si>
  <si>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</si>
  <si>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</si>
  <si>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</si>
  <si>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</si>
  <si>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</si>
  <si>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</si>
  <si>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</si>
  <si>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</si>
  <si>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</si>
  <si>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</si>
  <si>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</si>
  <si>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</si>
  <si>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</si>
  <si>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</si>
  <si>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</si>
  <si>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</si>
  <si>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</si>
  <si>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</si>
  <si>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</si>
  <si>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</si>
  <si>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</si>
  <si>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</si>
  <si>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</si>
  <si>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</si>
  <si>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</si>
  <si>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</si>
  <si>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</si>
  <si>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</si>
  <si>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</si>
  <si>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</si>
  <si>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</si>
  <si>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</si>
  <si>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</si>
  <si>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</si>
  <si>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</si>
  <si>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</si>
  <si>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</si>
  <si>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</si>
  <si>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</si>
  <si>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</si>
  <si>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</si>
  <si>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</si>
  <si>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</si>
  <si>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</si>
  <si>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</si>
  <si>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</si>
  <si>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</si>
  <si>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</si>
  <si>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</si>
  <si>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</si>
  <si>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</si>
  <si>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</si>
  <si>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</si>
  <si>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</si>
  <si>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</si>
  <si>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</si>
  <si>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</si>
  <si>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</si>
  <si>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</si>
  <si>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</si>
  <si>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</si>
  <si>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</si>
  <si>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</si>
  <si>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</si>
  <si>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</si>
  <si>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</si>
  <si>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</si>
  <si>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</si>
  <si>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</si>
  <si>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</si>
  <si>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</si>
  <si>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</si>
  <si>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</si>
  <si>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</si>
  <si>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</si>
  <si>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</si>
  <si>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</si>
  <si>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</si>
  <si>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</si>
  <si>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</si>
  <si>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</si>
  <si>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</si>
  <si>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</si>
  <si>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</si>
  <si>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</si>
  <si>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</si>
  <si>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</si>
  <si>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</si>
  <si>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</si>
  <si>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</si>
  <si>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</si>
  <si>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</si>
  <si>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</si>
  <si>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</si>
  <si>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</si>
  <si>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</si>
  <si>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</si>
  <si>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</si>
  <si>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</si>
  <si>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</si>
  <si>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</si>
  <si>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</si>
  <si>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</si>
  <si>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</si>
  <si>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</si>
  <si>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</si>
  <si>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</si>
  <si>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</si>
  <si>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</si>
  <si>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</si>
  <si>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</si>
  <si>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</si>
  <si>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</si>
  <si>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</si>
  <si>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</si>
  <si>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</si>
  <si>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</si>
  <si>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</si>
  <si>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</si>
  <si>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</si>
  <si>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</si>
  <si>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</si>
  <si>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</si>
  <si>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</si>
  <si>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</si>
  <si>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</si>
  <si>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</si>
  <si>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</si>
  <si>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</si>
  <si>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</si>
  <si>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</si>
  <si>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</si>
  <si>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</si>
  <si>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</si>
  <si>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</si>
  <si>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</si>
  <si>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</si>
  <si>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</si>
  <si>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</si>
  <si>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</si>
  <si>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</si>
  <si>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</si>
  <si>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</si>
  <si>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</si>
  <si>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</si>
  <si>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</si>
  <si>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</si>
  <si>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</si>
  <si>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</si>
  <si>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</si>
  <si>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</si>
  <si>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</si>
  <si>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</si>
  <si>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</si>
  <si>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</si>
  <si>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</si>
  <si>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</si>
  <si>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</si>
  <si>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</si>
  <si>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</si>
  <si>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</si>
  <si>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</si>
  <si>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</si>
  <si>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</si>
  <si>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</si>
  <si>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</si>
  <si>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</si>
  <si>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</si>
  <si>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</si>
  <si>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</si>
  <si>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</si>
  <si>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</si>
  <si>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</si>
  <si>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</si>
  <si>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</si>
  <si>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</si>
  <si>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</si>
  <si>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</si>
  <si>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</si>
  <si>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</si>
  <si>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</si>
  <si>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</si>
  <si>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</si>
  <si>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</si>
  <si>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</si>
  <si>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</si>
  <si>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</si>
  <si>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</si>
  <si>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</si>
  <si>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</si>
  <si>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</si>
  <si>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</si>
  <si>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</si>
  <si>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</si>
  <si>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</si>
  <si>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</si>
  <si>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</si>
  <si>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</si>
  <si>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</si>
  <si>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</si>
  <si>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</si>
  <si>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</si>
  <si>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</si>
  <si>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</si>
  <si>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</si>
  <si>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</si>
  <si>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</si>
  <si>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</si>
  <si>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</si>
  <si>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</si>
  <si>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</si>
  <si>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</si>
  <si>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</si>
  <si>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</si>
  <si>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</si>
  <si>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</si>
  <si>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</si>
  <si>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</si>
  <si>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</si>
  <si>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</si>
  <si>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</si>
  <si>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</si>
  <si>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</si>
  <si>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</si>
  <si>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</si>
  <si>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</si>
  <si>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</si>
  <si>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</si>
  <si>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</si>
  <si>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</si>
  <si>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</si>
  <si>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</si>
  <si>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</si>
  <si>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</si>
  <si>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</si>
  <si>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</si>
  <si>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</si>
  <si>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</si>
  <si>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</si>
  <si>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</si>
  <si>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</si>
  <si>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</si>
  <si>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</si>
  <si>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</si>
  <si>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</si>
  <si>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</si>
  <si>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</si>
  <si>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</si>
  <si>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</si>
  <si>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</si>
  <si>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</si>
  <si>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</si>
  <si>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</si>
  <si>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</si>
  <si>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</si>
  <si>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</si>
  <si>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</si>
  <si>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</si>
  <si>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</si>
  <si>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</si>
  <si>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</si>
  <si>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</si>
  <si>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</si>
  <si>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</si>
  <si>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</si>
  <si>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</si>
  <si>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</si>
  <si>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</si>
  <si>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</si>
  <si>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</si>
  <si>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</si>
  <si>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</si>
  <si>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</si>
  <si>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</si>
  <si>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</si>
  <si>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</si>
  <si>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</si>
  <si>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</si>
  <si>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</si>
  <si>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</si>
  <si>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</si>
  <si>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</si>
  <si>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</si>
  <si>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</si>
  <si>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</si>
  <si>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</si>
  <si>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</si>
  <si>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</si>
  <si>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</si>
  <si>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</si>
  <si>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</si>
  <si>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</si>
  <si>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</si>
  <si>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</si>
  <si>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</si>
  <si>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</si>
  <si>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</si>
  <si>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</si>
  <si>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</si>
  <si>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</si>
  <si>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</si>
  <si>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</si>
  <si>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</si>
  <si>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</si>
  <si>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</si>
  <si>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</si>
  <si>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</si>
  <si>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</si>
  <si>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</si>
  <si>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</si>
  <si>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</si>
  <si>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</si>
  <si>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</si>
  <si>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</si>
  <si>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</si>
  <si>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</si>
  <si>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</si>
  <si>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</si>
  <si>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</si>
  <si>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</si>
  <si>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</si>
  <si>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</si>
  <si>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</si>
  <si>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</si>
  <si>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</si>
  <si>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</si>
  <si>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</si>
  <si>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</si>
  <si>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</si>
  <si>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</si>
  <si>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</si>
  <si>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</si>
  <si>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</si>
  <si>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</si>
  <si>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</si>
  <si>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</si>
  <si>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</si>
  <si>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</si>
  <si>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</si>
  <si>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</si>
  <si>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</si>
  <si>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</si>
  <si>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</si>
  <si>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</si>
  <si>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</si>
  <si>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</si>
  <si>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</si>
  <si>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</si>
  <si>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</si>
  <si>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</si>
  <si>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</si>
  <si>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</si>
  <si>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</si>
  <si>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</si>
  <si>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</si>
  <si>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</si>
  <si>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</si>
  <si>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</si>
  <si>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</si>
  <si>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</si>
  <si>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</si>
  <si>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</si>
  <si>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</si>
  <si>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</si>
  <si>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</si>
  <si>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</si>
  <si>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</si>
  <si>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</si>
  <si>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</si>
  <si>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</si>
  <si>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</si>
  <si>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</si>
  <si>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</si>
  <si>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</si>
  <si>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</si>
  <si>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</si>
  <si>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</si>
  <si>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</si>
  <si>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</si>
  <si>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</si>
  <si>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</si>
  <si>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</si>
  <si>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</si>
  <si>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</si>
  <si>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</si>
  <si>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</si>
  <si>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</si>
  <si>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</si>
  <si>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</si>
  <si>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</si>
  <si>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</si>
  <si>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</si>
  <si>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</si>
  <si>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</si>
  <si>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</si>
  <si>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</si>
  <si>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</si>
  <si>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</si>
  <si>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</si>
  <si>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</si>
  <si>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</si>
  <si>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</si>
  <si>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</si>
  <si>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</si>
  <si>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</si>
  <si>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</si>
  <si>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</si>
  <si>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</si>
  <si>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</si>
  <si>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</si>
  <si>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</si>
  <si>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</si>
  <si>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</si>
  <si>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</si>
  <si>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</si>
  <si>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</si>
  <si>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</si>
  <si>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</si>
  <si>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</si>
  <si>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</si>
  <si>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</si>
  <si>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</si>
  <si>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</si>
  <si>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</si>
  <si>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</si>
  <si>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</si>
  <si>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</si>
  <si>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</si>
  <si>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</si>
  <si>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</si>
  <si>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</si>
  <si>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</si>
  <si>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</si>
  <si>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</si>
  <si>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</si>
  <si>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</si>
  <si>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</si>
  <si>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</si>
  <si>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</si>
  <si>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</si>
  <si>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</si>
  <si>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</si>
  <si>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</si>
  <si>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</si>
  <si>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</si>
  <si>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</si>
  <si>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</si>
  <si>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</si>
  <si>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</si>
  <si>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</si>
  <si>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</si>
  <si>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</si>
  <si>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</si>
  <si>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</si>
  <si>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</si>
  <si>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</si>
  <si>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</si>
  <si>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</si>
  <si>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</si>
  <si>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</si>
  <si>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</si>
  <si>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</si>
  <si>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</si>
  <si>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</si>
  <si>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</si>
  <si>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</si>
  <si>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</si>
  <si>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</si>
  <si>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</si>
  <si>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</si>
  <si>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</si>
  <si>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</si>
  <si>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</si>
  <si>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</si>
  <si>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</si>
  <si>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</si>
  <si>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</si>
  <si>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</si>
  <si>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</si>
  <si>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</si>
  <si>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</si>
  <si>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</si>
  <si>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</si>
  <si>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</si>
  <si>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</si>
  <si>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</si>
  <si>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</si>
  <si>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</si>
  <si>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</si>
  <si>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</si>
  <si>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</si>
  <si>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</si>
  <si>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</si>
  <si>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</si>
  <si>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</si>
  <si>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</si>
  <si>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</si>
  <si>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</si>
  <si>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</si>
  <si>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</si>
  <si>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</si>
  <si>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</si>
  <si>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</si>
  <si>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</si>
  <si>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</si>
  <si>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</si>
  <si>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</si>
  <si>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</si>
  <si>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</si>
  <si>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</si>
  <si>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</si>
  <si>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</si>
  <si>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</si>
  <si>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</si>
  <si>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</si>
  <si>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</si>
  <si>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</si>
  <si>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</si>
  <si>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</si>
  <si>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</si>
  <si>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</si>
  <si>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</si>
  <si>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</si>
  <si>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</si>
  <si>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</si>
  <si>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</si>
  <si>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</si>
  <si>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</si>
  <si>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</si>
  <si>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</si>
  <si>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</si>
  <si>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</si>
  <si>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</si>
  <si>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</si>
  <si>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</si>
  <si>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</si>
  <si>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</si>
  <si>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</si>
  <si>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</si>
  <si>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</si>
  <si>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</si>
  <si>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</si>
  <si>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</si>
  <si>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</si>
  <si>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</si>
  <si>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</si>
  <si>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</si>
  <si>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</si>
  <si>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</si>
  <si>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</si>
  <si>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</si>
  <si>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</si>
  <si>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</si>
  <si>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</si>
  <si>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</si>
  <si>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</si>
  <si>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</si>
  <si>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</si>
  <si>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</si>
  <si>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</si>
  <si>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</si>
  <si>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</si>
  <si>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</si>
  <si>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</si>
  <si>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</si>
  <si>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</si>
  <si>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</si>
  <si>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</si>
  <si>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</si>
  <si>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</si>
  <si>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</si>
  <si>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</si>
  <si>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</si>
  <si>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</si>
  <si>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</si>
  <si>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</si>
  <si>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</si>
  <si>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</si>
  <si>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</si>
  <si>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</si>
  <si>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</si>
  <si>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</si>
  <si>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</si>
  <si>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</si>
  <si>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</si>
  <si>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</si>
  <si>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</si>
  <si>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</si>
  <si>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</si>
  <si>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</si>
  <si>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</si>
  <si>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</si>
  <si>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</si>
  <si>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</si>
  <si>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</si>
  <si>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</si>
  <si>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</si>
  <si>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</si>
  <si>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</si>
  <si>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</si>
  <si>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</si>
  <si>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</si>
  <si>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</si>
  <si>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</si>
  <si>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</si>
  <si>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</si>
  <si>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</si>
  <si>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</si>
  <si>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</si>
  <si>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</si>
  <si>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</si>
  <si>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</si>
  <si>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</si>
  <si>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</si>
  <si>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</si>
  <si>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</si>
  <si>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</si>
  <si>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</si>
  <si>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</si>
  <si>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</si>
  <si>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</si>
  <si>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</si>
  <si>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</si>
  <si>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</si>
  <si>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</si>
  <si>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</si>
  <si>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</si>
  <si>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</si>
  <si>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</si>
  <si>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</si>
  <si>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</si>
  <si>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</si>
  <si>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</si>
  <si>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</si>
  <si>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</si>
  <si>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</si>
  <si>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</si>
  <si>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</si>
  <si>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</si>
  <si>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</si>
  <si>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</si>
  <si>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</si>
  <si>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</si>
  <si>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</si>
  <si>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</si>
  <si>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</si>
  <si>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</si>
  <si>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</si>
  <si>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</si>
  <si>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</si>
  <si>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</si>
  <si>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</si>
  <si>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</si>
  <si>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</si>
  <si>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</si>
  <si>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</si>
  <si>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</si>
  <si>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</si>
  <si>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</si>
  <si>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</si>
  <si>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</si>
  <si>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</si>
  <si>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</si>
  <si>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</si>
  <si>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</si>
  <si>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</si>
  <si>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</si>
  <si>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</si>
  <si>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</si>
  <si>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</si>
  <si>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</si>
  <si>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</si>
  <si>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</si>
  <si>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</si>
  <si>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</si>
  <si>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</si>
  <si>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</si>
  <si>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</si>
  <si>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</si>
  <si>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</si>
  <si>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</si>
  <si>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</si>
  <si>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</si>
  <si>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</si>
  <si>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</si>
  <si>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</si>
  <si>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</si>
  <si>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</si>
  <si>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</si>
  <si>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</si>
  <si>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</si>
  <si>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</si>
  <si>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</si>
  <si>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</si>
  <si>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</si>
  <si>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</si>
  <si>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</si>
  <si>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</si>
  <si>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</si>
  <si>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</si>
  <si>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</si>
  <si>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</si>
  <si>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</si>
  <si>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</si>
  <si>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</si>
  <si>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</si>
  <si>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</si>
  <si>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</si>
  <si>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</si>
  <si>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</si>
  <si>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</si>
  <si>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</si>
  <si>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</si>
  <si>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</si>
  <si>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</si>
  <si>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</si>
  <si>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</si>
  <si>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</si>
  <si>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</si>
  <si>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</si>
  <si>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</si>
  <si>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</si>
  <si>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</si>
  <si>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</si>
  <si>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</si>
  <si>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</si>
  <si>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</si>
  <si>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</si>
  <si>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</si>
  <si>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</si>
  <si>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</si>
  <si>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</si>
  <si>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</si>
  <si>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</si>
  <si>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</si>
  <si>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</si>
  <si>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</si>
  <si>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</si>
  <si>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</si>
  <si>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</si>
  <si>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</si>
  <si>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</si>
  <si>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</si>
  <si>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</si>
  <si>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</si>
  <si>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</si>
  <si>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</si>
  <si>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</si>
  <si>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</si>
  <si>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</si>
  <si>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</si>
  <si>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</si>
  <si>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</si>
  <si>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</si>
  <si>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</si>
  <si>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</si>
  <si>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</si>
  <si>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</si>
  <si>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</si>
  <si>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</si>
  <si>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</si>
  <si>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</si>
  <si>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</si>
  <si>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</si>
  <si>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</si>
  <si>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</si>
  <si>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</si>
  <si>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</si>
  <si>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</si>
  <si>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</si>
  <si>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</si>
  <si>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</si>
  <si>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</si>
  <si>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</si>
  <si>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</si>
  <si>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</si>
  <si>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</si>
  <si>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</si>
  <si>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</si>
  <si>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</si>
  <si>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</si>
  <si>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</si>
  <si>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</si>
  <si>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</si>
  <si>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</si>
  <si>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</si>
  <si>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</si>
  <si>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</si>
  <si>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</si>
  <si>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</si>
  <si>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</si>
  <si>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</si>
  <si>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</si>
  <si>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</si>
  <si>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</si>
  <si>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</si>
  <si>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</si>
  <si>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</si>
  <si>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</si>
  <si>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</si>
  <si>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</si>
  <si>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</si>
  <si>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</si>
  <si>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</si>
  <si>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</si>
  <si>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</si>
  <si>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</si>
  <si>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</si>
  <si>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</si>
  <si>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</si>
  <si>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</si>
  <si>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</si>
  <si>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</si>
  <si>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</si>
  <si>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</si>
  <si>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</si>
  <si>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</si>
  <si>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</si>
  <si>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</si>
  <si>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</si>
  <si>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</si>
  <si>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</si>
  <si>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</si>
  <si>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</si>
  <si>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</si>
  <si>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</si>
  <si>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</si>
  <si>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</si>
  <si>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</si>
  <si>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</si>
  <si>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</si>
  <si>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</si>
  <si>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</si>
  <si>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</si>
  <si>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</si>
  <si>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</si>
  <si>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</si>
  <si>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</si>
  <si>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</si>
  <si>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</si>
  <si>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</si>
  <si>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</si>
  <si>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</si>
  <si>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</si>
  <si>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</si>
  <si>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</si>
  <si>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</si>
  <si>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</si>
  <si>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</si>
  <si>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</si>
  <si>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</si>
  <si>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</si>
  <si>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</si>
  <si>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</si>
  <si>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</si>
  <si>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</si>
  <si>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</si>
  <si>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</si>
  <si>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</si>
  <si>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</si>
  <si>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</si>
  <si>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</si>
  <si>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</si>
  <si>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</si>
  <si>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</si>
  <si>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</si>
  <si>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</si>
  <si>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</si>
  <si>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</si>
  <si>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</si>
  <si>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</si>
  <si>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</si>
  <si>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</si>
  <si>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</si>
  <si>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</si>
  <si>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</si>
  <si>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</si>
  <si>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</si>
  <si>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</si>
  <si>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</si>
  <si>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</si>
  <si>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</si>
  <si>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</si>
  <si>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</si>
  <si>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</si>
  <si>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</si>
  <si>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</si>
  <si>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</si>
  <si>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</si>
  <si>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</si>
  <si>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</si>
  <si>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</si>
  <si>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</si>
  <si>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</si>
  <si>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</si>
  <si>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</si>
  <si>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</si>
  <si>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</si>
  <si>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</si>
  <si>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</si>
  <si>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</si>
  <si>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</si>
  <si>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</si>
  <si>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</si>
  <si>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</si>
  <si>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</si>
  <si>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</si>
  <si>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</si>
  <si>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</si>
  <si>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</si>
  <si>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</si>
  <si>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</si>
  <si>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</si>
  <si>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</si>
  <si>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</si>
  <si>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</si>
  <si>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</si>
  <si>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</si>
  <si>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</si>
  <si>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</si>
  <si>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</si>
  <si>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</si>
  <si>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</si>
  <si>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</si>
  <si>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</si>
  <si>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</si>
  <si>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</si>
  <si>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</si>
  <si>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</si>
  <si>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</si>
  <si>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</si>
  <si>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</si>
  <si>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</si>
  <si>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</si>
  <si>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</si>
  <si>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</si>
  <si>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</si>
  <si>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</si>
  <si>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</si>
  <si>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</si>
  <si>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</si>
  <si>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</si>
  <si>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</si>
  <si>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</si>
  <si>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</si>
  <si>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</si>
  <si>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</si>
  <si>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</si>
  <si>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</si>
  <si>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</si>
  <si>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</si>
  <si>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</si>
  <si>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</si>
  <si>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</si>
  <si>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</si>
  <si>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</si>
  <si>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</si>
  <si>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</si>
  <si>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</si>
  <si>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</si>
  <si>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</si>
  <si>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</si>
  <si>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</si>
  <si>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</si>
  <si>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</si>
  <si>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</si>
  <si>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</si>
  <si>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</si>
  <si>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</si>
  <si>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</si>
  <si>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</si>
  <si>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</si>
  <si>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</si>
  <si>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</si>
  <si>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</si>
  <si>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</si>
  <si>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</si>
  <si>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</si>
  <si>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</si>
  <si>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</si>
  <si>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</si>
  <si>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</si>
  <si>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</si>
  <si>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</si>
  <si>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</si>
  <si>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</si>
  <si>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</si>
  <si>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</si>
  <si>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</si>
  <si>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</si>
  <si>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</si>
  <si>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</si>
  <si>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</si>
  <si>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</si>
  <si>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</si>
  <si>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</si>
  <si>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</si>
  <si>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</si>
  <si>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</si>
  <si>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</si>
  <si>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</si>
  <si>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</si>
  <si>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</si>
  <si>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</si>
  <si>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</si>
  <si>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</si>
  <si>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</si>
  <si>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</si>
  <si>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</si>
  <si>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</si>
  <si>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</si>
  <si>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</si>
  <si>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</si>
  <si>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</si>
  <si>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</si>
  <si>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</si>
  <si>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</si>
  <si>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</si>
  <si>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</si>
  <si>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</si>
  <si>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</si>
  <si>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</si>
  <si>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</si>
  <si>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</si>
  <si>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</si>
  <si>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</si>
  <si>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</si>
  <si>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</si>
  <si>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</si>
  <si>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</si>
  <si>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</si>
  <si>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</si>
  <si>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</si>
  <si>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</si>
  <si>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</si>
  <si>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</si>
  <si>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</si>
  <si>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</si>
  <si>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</si>
  <si>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</si>
  <si>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</si>
  <si>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</si>
  <si>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</si>
  <si>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</si>
  <si>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</si>
  <si>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</si>
  <si>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</si>
  <si>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</si>
  <si>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</si>
  <si>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</si>
  <si>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</si>
  <si>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</si>
  <si>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</si>
  <si>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</si>
  <si>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</si>
  <si>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</si>
  <si>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</si>
  <si>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</si>
  <si>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</si>
  <si>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</si>
  <si>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</si>
  <si>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</si>
  <si>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</si>
  <si>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</si>
  <si>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</si>
  <si>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</si>
  <si>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</si>
  <si>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</si>
  <si>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</si>
  <si>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</si>
  <si>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</si>
  <si>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</si>
  <si>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</si>
  <si>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</si>
  <si>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</si>
  <si>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</si>
  <si>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</si>
  <si>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</si>
  <si>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</si>
  <si>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</si>
  <si>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</si>
  <si>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</si>
  <si>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</si>
  <si>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</si>
  <si>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</si>
  <si>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</si>
  <si>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</si>
  <si>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</si>
  <si>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</si>
  <si>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</si>
  <si>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</si>
  <si>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</si>
  <si>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</si>
  <si>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</si>
  <si>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</si>
  <si>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</si>
  <si>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</si>
  <si>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</si>
  <si>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</si>
  <si>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</si>
  <si>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</si>
  <si>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</si>
  <si>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</si>
  <si>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</si>
  <si>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</si>
  <si>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</si>
  <si>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</si>
  <si>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</si>
  <si>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</si>
  <si>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</si>
  <si>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</si>
  <si>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</si>
  <si>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</si>
  <si>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</si>
  <si>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</si>
  <si>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</si>
  <si>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</si>
  <si>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</si>
  <si>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</si>
  <si>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</si>
  <si>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</si>
  <si>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</si>
  <si>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</si>
  <si>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</si>
  <si>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</si>
  <si>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</si>
  <si>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</si>
  <si>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</si>
  <si>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</si>
  <si>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</si>
  <si>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</si>
  <si>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</si>
  <si>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</si>
  <si>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</si>
  <si>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</si>
  <si>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</si>
  <si>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</si>
  <si>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</si>
  <si>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</si>
  <si>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</si>
  <si>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</si>
  <si>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</si>
  <si>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</si>
  <si>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</si>
  <si>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</si>
  <si>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</si>
  <si>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</si>
  <si>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</si>
  <si>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</si>
  <si>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</si>
  <si>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</si>
  <si>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</si>
  <si>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</si>
  <si>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</si>
  <si>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</si>
  <si>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</si>
  <si>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</si>
  <si>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</si>
  <si>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</si>
  <si>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</si>
  <si>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</si>
  <si>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</si>
  <si>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</si>
  <si>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</si>
  <si>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</si>
  <si>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</si>
  <si>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</si>
  <si>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</si>
  <si>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</si>
  <si>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</si>
  <si>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</si>
  <si>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</si>
  <si>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</si>
  <si>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</si>
  <si>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</si>
  <si>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</si>
  <si>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</si>
  <si>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</si>
  <si>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</si>
  <si>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</si>
  <si>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</si>
  <si>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</si>
  <si>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</si>
  <si>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</si>
  <si>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</si>
  <si>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</si>
  <si>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</si>
  <si>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</si>
  <si>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</si>
  <si>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</si>
  <si>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</si>
  <si>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</si>
  <si>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</si>
  <si>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</si>
  <si>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</si>
  <si>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</si>
  <si>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</si>
  <si>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</si>
  <si>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</si>
  <si>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</si>
  <si>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</si>
  <si>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</si>
  <si>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</si>
  <si>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</si>
  <si>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</si>
  <si>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</si>
  <si>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</si>
  <si>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</si>
  <si>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</si>
  <si>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</si>
  <si>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</si>
  <si>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</si>
  <si>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</si>
  <si>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</si>
  <si>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</si>
  <si>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</si>
  <si>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</si>
  <si>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</si>
  <si>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</si>
  <si>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</si>
  <si>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</si>
  <si>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</si>
  <si>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</si>
  <si>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</si>
  <si>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</si>
  <si>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</si>
  <si>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</si>
  <si>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</si>
  <si>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</si>
  <si>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</si>
  <si>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</si>
  <si>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</si>
  <si>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</si>
  <si>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</si>
  <si>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</si>
  <si>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</si>
  <si>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</si>
  <si>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</si>
  <si>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</si>
  <si>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</si>
  <si>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</si>
  <si>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</si>
  <si>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</si>
  <si>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</si>
  <si>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</si>
  <si>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</si>
  <si>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</si>
  <si>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</si>
  <si>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</si>
  <si>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</si>
  <si>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</si>
  <si>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</si>
  <si>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</si>
  <si>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</si>
  <si>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</si>
  <si>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</si>
  <si>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</si>
  <si>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</si>
  <si>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</si>
  <si>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</si>
  <si>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</si>
  <si>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</si>
  <si>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</si>
  <si>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</si>
  <si>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</si>
  <si>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</si>
  <si>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</si>
  <si>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</si>
  <si>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</si>
  <si>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</si>
  <si>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</si>
  <si>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</si>
  <si>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</si>
  <si>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</si>
  <si>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</si>
  <si>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</si>
  <si>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</si>
  <si>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</si>
  <si>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</si>
  <si>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</si>
  <si>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</si>
  <si>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</si>
  <si>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</si>
  <si>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</si>
  <si>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</si>
  <si>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</si>
  <si>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</si>
  <si>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</si>
  <si>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</si>
  <si>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</si>
  <si>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</si>
  <si>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</si>
  <si>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</si>
  <si>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</si>
  <si>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</si>
  <si>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</si>
  <si>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</si>
  <si>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</si>
  <si>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</si>
  <si>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</si>
  <si>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</si>
  <si>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</si>
  <si>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</si>
  <si>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</si>
  <si>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</si>
  <si>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</si>
  <si>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</si>
  <si>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</si>
  <si>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</si>
  <si>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</si>
  <si>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</si>
  <si>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</si>
  <si>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</si>
  <si>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</si>
  <si>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</si>
  <si>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</si>
  <si>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</si>
  <si>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</si>
  <si>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</si>
  <si>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</si>
  <si>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</si>
  <si>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</si>
  <si>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</si>
  <si>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</si>
  <si>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</si>
  <si>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</si>
  <si>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</si>
  <si>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</si>
  <si>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</si>
  <si>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</si>
  <si>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</si>
  <si>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</si>
  <si>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</si>
  <si>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</si>
  <si>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</si>
  <si>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</si>
  <si>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</si>
  <si>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</si>
  <si>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</si>
  <si>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</si>
  <si>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</si>
  <si>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</si>
  <si>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</si>
  <si>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</si>
  <si>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</si>
  <si>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</si>
  <si>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</si>
  <si>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</si>
  <si>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</si>
  <si>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</si>
  <si>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</si>
  <si>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</si>
  <si>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</si>
  <si>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</si>
  <si>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</si>
  <si>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</si>
  <si>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</si>
  <si>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</si>
  <si>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</si>
  <si>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</si>
  <si>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</si>
  <si>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</si>
  <si>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</si>
  <si>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</si>
  <si>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</si>
  <si>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</si>
  <si>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</si>
  <si>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</si>
  <si>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</si>
  <si>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</si>
  <si>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</si>
  <si>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</si>
  <si>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</si>
  <si>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</si>
  <si>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</si>
  <si>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</si>
  <si>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</si>
  <si>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</si>
  <si>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</si>
  <si>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</si>
  <si>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</si>
  <si>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</si>
  <si>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</si>
  <si>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</si>
  <si>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</si>
  <si>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</si>
  <si>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</si>
  <si>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</si>
  <si>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</si>
  <si>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</si>
  <si>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</si>
  <si>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</si>
  <si>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</si>
  <si>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</si>
  <si>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</si>
  <si>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</si>
  <si>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</si>
  <si>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</si>
  <si>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</si>
  <si>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</si>
  <si>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</si>
  <si>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</si>
  <si>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</si>
  <si>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</si>
  <si>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</si>
  <si>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</si>
  <si>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</si>
  <si>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</si>
  <si>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</si>
  <si>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</si>
  <si>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</si>
  <si>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</si>
  <si>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</si>
  <si>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</si>
  <si>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</si>
  <si>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</si>
  <si>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</si>
  <si>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</si>
  <si>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</si>
  <si>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</si>
  <si>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</si>
  <si>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</si>
  <si>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</si>
  <si>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</si>
  <si>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</si>
  <si>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</si>
  <si>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</si>
  <si>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</si>
  <si>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</si>
  <si>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</si>
  <si>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</si>
  <si>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</si>
  <si>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</si>
  <si>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</si>
  <si>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</si>
  <si>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</si>
  <si>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</si>
  <si>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</si>
  <si>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</si>
  <si>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</si>
  <si>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</si>
  <si>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</si>
  <si>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</si>
  <si>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</si>
  <si>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</si>
  <si>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</si>
  <si>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</si>
  <si>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</si>
  <si>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</si>
  <si>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</si>
  <si>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</si>
  <si>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</si>
  <si>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</si>
  <si>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</si>
  <si>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</si>
  <si>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</si>
  <si>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</si>
  <si>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</si>
  <si>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</si>
  <si>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</si>
  <si>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</si>
  <si>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</si>
  <si>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</si>
  <si>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</si>
  <si>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</si>
  <si>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</si>
  <si>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</si>
  <si>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</si>
  <si>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</si>
  <si>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</si>
  <si>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</si>
  <si>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</si>
  <si>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</si>
  <si>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</si>
  <si>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</si>
  <si>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</si>
  <si>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</si>
  <si>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</si>
  <si>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</si>
  <si>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</si>
  <si>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</si>
  <si>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</si>
  <si>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</si>
  <si>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</si>
  <si>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</si>
  <si>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</si>
  <si>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</si>
  <si>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</si>
  <si>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</si>
  <si>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</si>
  <si>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</si>
  <si>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</si>
  <si>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</si>
  <si>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</si>
  <si>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</si>
  <si>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</si>
  <si>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</si>
  <si>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</si>
  <si>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</si>
  <si>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</si>
  <si>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</si>
  <si>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</si>
  <si>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</si>
  <si>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</si>
  <si>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</si>
  <si>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</si>
  <si>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</si>
  <si>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</si>
  <si>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</si>
  <si>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</si>
  <si>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</si>
  <si>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</si>
  <si>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</si>
  <si>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</si>
  <si>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</si>
  <si>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</si>
  <si>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</si>
  <si>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</si>
  <si>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</si>
  <si>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</si>
  <si>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</si>
  <si>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</si>
  <si>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</si>
  <si>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</si>
  <si>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</si>
  <si>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</si>
  <si>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</si>
  <si>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</si>
  <si>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</si>
  <si>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</si>
  <si>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</si>
  <si>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</si>
  <si>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</si>
  <si>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</si>
  <si>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</si>
  <si>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</si>
  <si>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</si>
  <si>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</si>
  <si>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</si>
  <si>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</si>
  <si>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</si>
  <si>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</si>
  <si>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</si>
  <si>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</si>
  <si>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</si>
  <si>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</si>
  <si>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</si>
  <si>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</si>
  <si>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</si>
  <si>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</si>
  <si>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</si>
  <si>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</si>
  <si>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</si>
  <si>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</si>
  <si>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</si>
  <si>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</si>
  <si>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</si>
  <si>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</si>
  <si>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</si>
  <si>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</si>
  <si>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</si>
  <si>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</si>
  <si>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</si>
  <si>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</si>
  <si>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</si>
  <si>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</si>
  <si>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</si>
  <si>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</si>
  <si>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</si>
  <si>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</si>
  <si>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</si>
  <si>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</si>
  <si>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</si>
  <si>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</si>
  <si>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</si>
  <si>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</si>
  <si>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</si>
  <si>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</si>
  <si>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</si>
  <si>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</si>
  <si>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</si>
  <si>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</si>
  <si>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</si>
  <si>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</si>
  <si>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</si>
  <si>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</si>
  <si>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</si>
  <si>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</si>
  <si>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</si>
  <si>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</si>
  <si>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</si>
  <si>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</si>
  <si>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</si>
  <si>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</si>
  <si>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</si>
  <si>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</si>
  <si>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</si>
  <si>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</si>
  <si>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</si>
  <si>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</si>
  <si>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</si>
  <si>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</si>
  <si>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</si>
  <si>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</si>
  <si>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</si>
  <si>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</si>
  <si>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</si>
  <si>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</si>
  <si>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</si>
  <si>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</si>
  <si>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</si>
  <si>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</si>
  <si>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</si>
  <si>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</si>
  <si>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</si>
  <si>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</si>
  <si>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</si>
  <si>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</si>
  <si>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</si>
  <si>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</si>
  <si>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</si>
  <si>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</si>
  <si>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</si>
  <si>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</si>
  <si>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</si>
  <si>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</si>
  <si>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</si>
  <si>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</si>
  <si>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</si>
  <si>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</si>
  <si>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</si>
  <si>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</si>
  <si>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</si>
  <si>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</si>
  <si>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</si>
  <si>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</si>
  <si>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</si>
  <si>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</si>
  <si>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</si>
  <si>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</si>
  <si>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</si>
  <si>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</si>
  <si>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</si>
  <si>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</si>
  <si>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</si>
  <si>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</si>
  <si>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</si>
  <si>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</si>
  <si>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</si>
  <si>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</si>
  <si>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</si>
  <si>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</si>
  <si>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</si>
  <si>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</si>
  <si>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</si>
  <si>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</si>
  <si>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</si>
  <si>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</si>
  <si>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</si>
  <si>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</si>
  <si>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</si>
  <si>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</si>
  <si>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</si>
  <si>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</si>
  <si>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</si>
  <si>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</si>
  <si>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</si>
  <si>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</si>
  <si>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</si>
  <si>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</si>
  <si>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</si>
  <si>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</si>
  <si>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</si>
  <si>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</si>
  <si>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</si>
  <si>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</si>
  <si>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</si>
  <si>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</si>
  <si>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</si>
  <si>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</si>
  <si>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</si>
  <si>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</si>
  <si>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</si>
  <si>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</si>
  <si>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</si>
  <si>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</si>
  <si>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</si>
  <si>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</si>
  <si>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</si>
  <si>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</si>
  <si>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</si>
  <si>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</si>
  <si>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</si>
  <si>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</si>
  <si>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</si>
  <si>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</si>
  <si>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</si>
  <si>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</si>
  <si>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</si>
  <si>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</si>
  <si>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</si>
  <si>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</si>
  <si>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</si>
  <si>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</si>
  <si>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</si>
  <si>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</si>
  <si>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</si>
  <si>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</si>
  <si>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</si>
  <si>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</si>
  <si>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</si>
  <si>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</si>
  <si>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</si>
  <si>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</si>
  <si>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</si>
  <si>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</si>
  <si>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</si>
  <si>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</si>
  <si>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</si>
  <si>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</si>
  <si>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</si>
  <si>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</si>
  <si>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</si>
  <si>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</si>
  <si>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</si>
  <si>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</si>
  <si>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</si>
  <si>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</si>
  <si>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</si>
  <si>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</si>
  <si>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</si>
  <si>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</si>
  <si>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</si>
  <si>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</si>
  <si>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</si>
  <si>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</si>
  <si>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</si>
  <si>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</si>
  <si>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</si>
  <si>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</si>
  <si>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</si>
  <si>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</si>
  <si>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</si>
  <si>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</si>
  <si>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</si>
  <si>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</si>
  <si>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</si>
  <si>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</si>
  <si>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</si>
  <si>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</si>
  <si>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</si>
  <si>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</si>
  <si>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</si>
  <si>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</si>
  <si>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</si>
  <si>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</si>
  <si>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</si>
  <si>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</si>
  <si>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</si>
  <si>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</si>
  <si>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</si>
  <si>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</si>
  <si>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</si>
  <si>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</si>
  <si>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</si>
  <si>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</si>
  <si>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</si>
  <si>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</si>
  <si>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</si>
  <si>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</si>
  <si>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</si>
  <si>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</si>
  <si>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</si>
  <si>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</si>
  <si>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</si>
  <si>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</si>
  <si>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</si>
  <si>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</si>
  <si>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</si>
  <si>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</si>
  <si>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</si>
  <si>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</si>
  <si>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</si>
  <si>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</si>
  <si>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</si>
  <si>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</si>
  <si>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</si>
  <si>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</si>
  <si>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</si>
  <si>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</si>
  <si>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</si>
  <si>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</si>
  <si>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</si>
  <si>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</si>
  <si>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</si>
  <si>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</si>
  <si>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</si>
  <si>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</si>
  <si>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</si>
  <si>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</si>
  <si>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</si>
  <si>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</si>
  <si>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</si>
  <si>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</si>
  <si>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</si>
  <si>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</si>
  <si>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</si>
  <si>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</si>
  <si>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</si>
  <si>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</si>
  <si>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</si>
  <si>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</si>
  <si>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</si>
  <si>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</si>
  <si>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</si>
  <si>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</si>
  <si>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</si>
  <si>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</si>
  <si>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</si>
  <si>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</si>
  <si>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</si>
  <si>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</si>
  <si>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</si>
  <si>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</si>
  <si>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</si>
  <si>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</si>
  <si>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</si>
  <si>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</si>
  <si>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</si>
  <si>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</si>
  <si>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</si>
  <si>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</si>
  <si>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</si>
  <si>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</si>
  <si>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</si>
  <si>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</si>
  <si>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</si>
  <si>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</si>
  <si>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</si>
  <si>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</si>
  <si>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</si>
  <si>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</si>
  <si>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</si>
  <si>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</si>
  <si>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</si>
  <si>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</si>
  <si>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</si>
  <si>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</si>
  <si>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</si>
  <si>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</si>
  <si>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</si>
  <si>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</si>
  <si>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</si>
  <si>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</si>
  <si>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</si>
  <si>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</si>
  <si>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</si>
  <si>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</si>
  <si>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</si>
  <si>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</si>
  <si>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</si>
  <si>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</si>
  <si>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</si>
  <si>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</si>
  <si>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</si>
  <si>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</si>
  <si>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</si>
  <si>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</si>
  <si>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</si>
  <si>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</si>
  <si>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</si>
  <si>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</si>
  <si>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</si>
  <si>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</si>
  <si>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</si>
  <si>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</si>
  <si>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</si>
  <si>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</si>
  <si>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</si>
  <si>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</si>
  <si>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</si>
  <si>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</si>
  <si>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</si>
  <si>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</si>
  <si>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</si>
  <si>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</si>
  <si>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</si>
  <si>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</si>
  <si>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</si>
  <si>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</si>
  <si>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</si>
  <si>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</si>
  <si>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</si>
  <si>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</si>
  <si>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</si>
  <si>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</si>
  <si>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</si>
  <si>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</si>
  <si>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</si>
  <si>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</si>
  <si>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</si>
  <si>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</si>
  <si>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</si>
  <si>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</si>
  <si>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</si>
  <si>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</si>
  <si>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</si>
  <si>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</si>
  <si>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</si>
  <si>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</si>
  <si>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</si>
  <si>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</si>
  <si>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</si>
  <si>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</si>
  <si>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</si>
  <si>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</si>
  <si>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</si>
  <si>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</si>
  <si>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</si>
  <si>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</si>
  <si>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</si>
  <si>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</si>
  <si>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</si>
  <si>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</si>
  <si>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</si>
  <si>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</si>
  <si>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</si>
  <si>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</si>
  <si>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</si>
  <si>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</si>
  <si>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</si>
  <si>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</si>
  <si>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</si>
  <si>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</si>
  <si>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</si>
  <si>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</si>
  <si>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</si>
  <si>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</si>
  <si>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</si>
  <si>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</si>
  <si>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</si>
  <si>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</si>
  <si>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</si>
  <si>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</si>
  <si>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</si>
  <si>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</si>
  <si>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</si>
  <si>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</si>
  <si>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</si>
  <si>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</si>
  <si>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</si>
  <si>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</si>
  <si>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</si>
  <si>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</si>
  <si>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</si>
  <si>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</si>
  <si>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</si>
  <si>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</si>
  <si>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</si>
  <si>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</si>
  <si>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</si>
  <si>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</si>
  <si>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</si>
  <si>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</si>
  <si>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</si>
  <si>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</si>
  <si>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</si>
  <si>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</si>
  <si>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</si>
  <si>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</si>
  <si>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</si>
  <si>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</si>
  <si>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</si>
  <si>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</si>
  <si>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</si>
  <si>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</si>
  <si>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</si>
  <si>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</si>
  <si>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</si>
  <si>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</si>
  <si>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</si>
  <si>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</si>
  <si>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</si>
  <si>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</si>
  <si>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</si>
  <si>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</si>
  <si>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</si>
  <si>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</si>
  <si>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</si>
  <si>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</si>
  <si>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</si>
  <si>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</si>
  <si>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</si>
  <si>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</si>
  <si>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</si>
  <si>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</si>
  <si>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</si>
  <si>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</si>
  <si>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</si>
  <si>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</si>
  <si>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</si>
  <si>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</si>
  <si>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</si>
  <si>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</si>
  <si>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</si>
  <si>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</si>
  <si>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</si>
  <si>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</si>
  <si>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</si>
  <si>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</si>
  <si>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</si>
  <si>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</si>
  <si>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</si>
  <si>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</si>
  <si>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</si>
  <si>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</si>
  <si>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</si>
  <si>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</si>
  <si>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</si>
  <si>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</si>
  <si>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</si>
  <si>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</si>
  <si>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</si>
  <si>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</si>
  <si>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</si>
  <si>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</si>
  <si>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</si>
  <si>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</si>
  <si>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</si>
  <si>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</si>
  <si>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</si>
  <si>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</si>
  <si>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</si>
  <si>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</si>
  <si>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</si>
  <si>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</si>
  <si>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</si>
  <si>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</si>
  <si>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</si>
  <si>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</si>
  <si>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</si>
  <si>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</si>
  <si>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</si>
  <si>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</si>
  <si>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</si>
  <si>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</si>
  <si>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</si>
  <si>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</si>
  <si>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</si>
  <si>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</si>
  <si>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</si>
  <si>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</si>
  <si>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</si>
  <si>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</si>
  <si>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</si>
  <si>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</si>
  <si>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</si>
  <si>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</si>
  <si>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</si>
  <si>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</si>
  <si>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</si>
  <si>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</si>
  <si>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</si>
  <si>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</si>
  <si>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</si>
  <si>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</si>
  <si>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</si>
  <si>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</si>
  <si>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</si>
  <si>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</si>
  <si>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</si>
  <si>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</si>
  <si>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1991</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</si>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</sst>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27400</v>
      </c>
      <c r="F24" s="3419" t="str">
        <f t="shared" si="0"/>
        <v>NA</v>
      </c>
      <c r="G24" s="3395">
        <v>603.04909090909086</v>
      </c>
      <c r="H24" s="3374">
        <f t="shared" si="1"/>
        <v>2211.1799999999998</v>
      </c>
      <c r="I24" s="2579" t="s">
        <v>2147</v>
      </c>
      <c r="J24" s="2580"/>
      <c r="M24" s="125"/>
    </row>
    <row r="25" spans="2:13" ht="18" customHeight="1" x14ac:dyDescent="0.2">
      <c r="B25" s="165"/>
      <c r="C25" s="1563"/>
      <c r="D25" s="1452" t="s">
        <v>1789</v>
      </c>
      <c r="E25" s="3414">
        <v>18600</v>
      </c>
      <c r="F25" s="3419" t="str">
        <f t="shared" si="0"/>
        <v>NA</v>
      </c>
      <c r="G25" s="3395">
        <v>353.23936363636369</v>
      </c>
      <c r="H25" s="3374">
        <f t="shared" si="1"/>
        <v>1295.2110000000002</v>
      </c>
      <c r="I25" s="2579" t="s">
        <v>2147</v>
      </c>
      <c r="J25" s="2580"/>
      <c r="M25" s="125"/>
    </row>
    <row r="26" spans="2:13" ht="18" customHeight="1" x14ac:dyDescent="0.2">
      <c r="B26" s="165"/>
      <c r="C26" s="1563"/>
      <c r="D26" s="1452" t="s">
        <v>1790</v>
      </c>
      <c r="E26" s="3418">
        <v>9050.9217091091286</v>
      </c>
      <c r="F26" s="3419">
        <f t="shared" si="0"/>
        <v>25.261363636363637</v>
      </c>
      <c r="G26" s="3395">
        <v>228.63862453806354</v>
      </c>
      <c r="H26" s="3374">
        <f t="shared" si="1"/>
        <v>838.34162330623303</v>
      </c>
      <c r="I26" s="3395">
        <v>838.34162330623303</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31588.368304769338</v>
      </c>
      <c r="F28" s="3419">
        <f>IF(I28="NA","NA",I28/(44/12)*1000/E28)</f>
        <v>1.1297513815918527</v>
      </c>
      <c r="G28" s="3395">
        <v>550.51696949362599</v>
      </c>
      <c r="H28" s="3374">
        <f>IF(G28="NA","NA",IF(G28="NO","NO",G28*44/12))</f>
        <v>2018.5622214766288</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103535.42119988403</v>
      </c>
      <c r="F31" s="3359">
        <f t="shared" ref="F31" si="3">IF(I31="NA","NA",I31/(44/12)*1000/E31)</f>
        <v>2.5529970729756886</v>
      </c>
      <c r="G31" s="3423">
        <f>SUM(G11:G29)</f>
        <v>1995.7980700342298</v>
      </c>
      <c r="H31" s="3371">
        <f t="shared" ref="H31" si="4">IF(G31="NA","NA",IF(G31="NO","NO",G31*44/12))</f>
        <v>7317.926256792176</v>
      </c>
      <c r="I31" s="3423">
        <f>SUM(I11:I29)</f>
        <v>969.193966666233</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6225.2929455782305</v>
      </c>
      <c r="F35" s="3419">
        <f>IF(I35="NA","NA",I35/(44/12)*1000/E35)</f>
        <v>24.636742779593572</v>
      </c>
      <c r="G35" s="3399">
        <v>153.3709410278293</v>
      </c>
      <c r="H35" s="3396">
        <f t="shared" si="5"/>
        <v>562.36011710204082</v>
      </c>
      <c r="I35" s="3395">
        <v>562.3601171020407</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85992.165333333251</v>
      </c>
      <c r="F41" s="3419">
        <f t="shared" ref="F41" si="8">IF(I41="NA","NA",I41/(44/12)*1000/E41)</f>
        <v>28.542481098665036</v>
      </c>
      <c r="G41" s="3395">
        <v>2485.0282085060257</v>
      </c>
      <c r="H41" s="3396">
        <f t="shared" si="5"/>
        <v>9111.7700978554276</v>
      </c>
      <c r="I41" s="3395">
        <v>8999.5757634197926</v>
      </c>
      <c r="J41" s="3416" t="s">
        <v>2274</v>
      </c>
      <c r="M41" s="125"/>
    </row>
    <row r="42" spans="2:13" ht="18" customHeight="1" x14ac:dyDescent="0.2">
      <c r="B42" s="1434"/>
      <c r="C42" s="1564"/>
      <c r="D42" s="1452" t="s">
        <v>1792</v>
      </c>
      <c r="E42" s="3414">
        <v>3674.9699818992817</v>
      </c>
      <c r="F42" s="3419">
        <f>IF(I42="NA","NA",I42/(44/12)*1000/E42)</f>
        <v>22.309090909090909</v>
      </c>
      <c r="G42" s="3395">
        <v>81.985239414371236</v>
      </c>
      <c r="H42" s="3396">
        <f t="shared" si="5"/>
        <v>300.61254451936117</v>
      </c>
      <c r="I42" s="3395">
        <v>300.61254451936122</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95892.428260810761</v>
      </c>
      <c r="F45" s="3343">
        <f>IF(I45="NA","NA",I45/(44/12)*1000/E45)</f>
        <v>28.05003463658667</v>
      </c>
      <c r="G45" s="3423">
        <f>SUM(G33:G43)</f>
        <v>2720.3843889482264</v>
      </c>
      <c r="H45" s="3371">
        <f t="shared" ref="H45" si="9">IF(G45="NA","NA",IF(G45="NO","NO",G45*44/12))</f>
        <v>9974.7427594768305</v>
      </c>
      <c r="I45" s="3423">
        <f>SUM(I33:I43)</f>
        <v>9862.5484250411937</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20773.823075382537</v>
      </c>
      <c r="F47" s="3419">
        <f t="shared" ref="F47" si="10">IF(I47="NA","NA",I47/(44/12)*1000/E47)</f>
        <v>14.021432274344994</v>
      </c>
      <c r="G47" s="3395">
        <v>291.27875333070148</v>
      </c>
      <c r="H47" s="3374">
        <f t="shared" ref="H47" si="11">IF(G47="NA","NA",IF(G47="NO","NO",G47*44/12))</f>
        <v>1068.0220955459054</v>
      </c>
      <c r="I47" s="3395">
        <v>1068.0220955459054</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20773.823075382537</v>
      </c>
      <c r="F50" s="3343">
        <f>IF(I50="NA","NA",I50/(44/12)*1000/E50)</f>
        <v>14.021432274344994</v>
      </c>
      <c r="G50" s="3423">
        <f>SUM(G47:G48)</f>
        <v>291.27875333070148</v>
      </c>
      <c r="H50" s="3397">
        <f t="shared" ref="H50" si="13">IF(G50="NA","NA",IF(G50="NO","NO",G50*44/12))</f>
        <v>1068.0220955459054</v>
      </c>
      <c r="I50" s="3423">
        <f>SUM(I47:I48)</f>
        <v>1068.0220955459054</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220201.67253607733</v>
      </c>
      <c r="F55" s="3354">
        <f t="shared" si="14"/>
        <v>14.738263689499163</v>
      </c>
      <c r="G55" s="3423">
        <f>SUM(G31,G45,G50,G54)</f>
        <v>5007.4612123131583</v>
      </c>
      <c r="H55" s="3398">
        <f t="shared" si="15"/>
        <v>18360.691111814915</v>
      </c>
      <c r="I55" s="3423">
        <f>SUM(I31,I45,I50,I54)</f>
        <v>11899.764487253331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253.678664</v>
      </c>
      <c r="D10" s="3127"/>
      <c r="E10" s="3127"/>
      <c r="F10" s="3078">
        <f>SUM(F11,F18)</f>
        <v>885.80939128633065</v>
      </c>
      <c r="G10" s="3078">
        <f>SUM(G11,G18)</f>
        <v>1171.7683050721826</v>
      </c>
      <c r="H10" s="3078">
        <f>H11</f>
        <v>-0.13773765786</v>
      </c>
      <c r="I10" s="3128" t="s">
        <v>2146</v>
      </c>
      <c r="L10" s="3750"/>
    </row>
    <row r="11" spans="2:12" ht="18" customHeight="1" x14ac:dyDescent="0.2">
      <c r="B11" s="1252" t="s">
        <v>334</v>
      </c>
      <c r="C11" s="3033">
        <v>59.475524</v>
      </c>
      <c r="D11" s="3078">
        <f>IFERROR(SUM(F11,H11)/$C$11,"NA")</f>
        <v>12.109221708289406</v>
      </c>
      <c r="E11" s="3078">
        <f>IFERROR(SUM(G11,I11)/$C$11,"NA")</f>
        <v>18.603653098766859</v>
      </c>
      <c r="F11" s="3078">
        <f>SUM(F12:F16)</f>
        <v>720.34004399054754</v>
      </c>
      <c r="G11" s="3078">
        <f>SUM(G12:G16)</f>
        <v>1106.4620163633826</v>
      </c>
      <c r="H11" s="3078">
        <f>H12</f>
        <v>-0.13773765786</v>
      </c>
      <c r="I11" s="3128" t="s">
        <v>2146</v>
      </c>
    </row>
    <row r="12" spans="2:12" ht="18" customHeight="1" x14ac:dyDescent="0.2">
      <c r="B12" s="160" t="s">
        <v>335</v>
      </c>
      <c r="C12" s="3046"/>
      <c r="D12" s="3078">
        <f t="shared" ref="D12:D14" si="0">IFERROR(SUM(F12,H12)/$C$11,"NA")</f>
        <v>11.463149300508611</v>
      </c>
      <c r="E12" s="3078">
        <f>IFERROR(SUM(G12,I12)/$C$11,"NA")</f>
        <v>18.5971124033466</v>
      </c>
      <c r="F12" s="3126">
        <v>681.91454899584312</v>
      </c>
      <c r="G12" s="3126">
        <v>1106.0730050759385</v>
      </c>
      <c r="H12" s="3126">
        <v>-0.13773765786</v>
      </c>
      <c r="I12" s="3034" t="s">
        <v>2146</v>
      </c>
    </row>
    <row r="13" spans="2:12" ht="18" customHeight="1" x14ac:dyDescent="0.2">
      <c r="B13" s="160" t="s">
        <v>336</v>
      </c>
      <c r="C13" s="3046"/>
      <c r="D13" s="3078">
        <f t="shared" si="0"/>
        <v>0.39522984573031256</v>
      </c>
      <c r="E13" s="3078" t="s">
        <v>2147</v>
      </c>
      <c r="F13" s="3126">
        <v>23.506502175249501</v>
      </c>
      <c r="G13" s="3126" t="s">
        <v>2154</v>
      </c>
      <c r="H13" s="3126" t="s">
        <v>2146</v>
      </c>
      <c r="I13" s="3034" t="s">
        <v>2146</v>
      </c>
    </row>
    <row r="14" spans="2:12" ht="18" customHeight="1" x14ac:dyDescent="0.2">
      <c r="B14" s="160" t="s">
        <v>337</v>
      </c>
      <c r="C14" s="3046"/>
      <c r="D14" s="3078">
        <f t="shared" si="0"/>
        <v>0.25082177379371978</v>
      </c>
      <c r="E14" s="3078" t="s">
        <v>2147</v>
      </c>
      <c r="F14" s="3126">
        <v>14.917756426990952</v>
      </c>
      <c r="G14" s="3126" t="s">
        <v>2147</v>
      </c>
      <c r="H14" s="3126" t="s">
        <v>2146</v>
      </c>
      <c r="I14" s="3034" t="s">
        <v>2146</v>
      </c>
    </row>
    <row r="15" spans="2:12" ht="18" customHeight="1" x14ac:dyDescent="0.2">
      <c r="B15" s="160" t="s">
        <v>338</v>
      </c>
      <c r="C15" s="3033">
        <v>1.3773765786000001E-4</v>
      </c>
      <c r="D15" s="3078">
        <f>IFERROR(SUM(F15,H15)/$C15,"NA")</f>
        <v>8.9764301439370815</v>
      </c>
      <c r="E15" s="3078">
        <f>IFERROR(SUM(G15,I15)/$C15,"NA")</f>
        <v>2824.2914355314238</v>
      </c>
      <c r="F15" s="3126">
        <v>1.2363924639697964E-3</v>
      </c>
      <c r="G15" s="3126">
        <v>0.38901128744415553</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194.20313999999999</v>
      </c>
      <c r="D18" s="3078">
        <f>IFERROR(SUM(F18,H18)/$C$18,"NA")</f>
        <v>0.85204259465517973</v>
      </c>
      <c r="E18" s="3078">
        <f>IFERROR(SUM(G18,I18)/$C$18,"NA")</f>
        <v>0.33627823272476454</v>
      </c>
      <c r="F18" s="3078">
        <f>SUM(F19:F21)</f>
        <v>165.46934729578311</v>
      </c>
      <c r="G18" s="3131">
        <f t="shared" ref="G18" si="2">SUM(G19:G21)</f>
        <v>65.306288708800025</v>
      </c>
      <c r="H18" s="3078" t="s">
        <v>2146</v>
      </c>
      <c r="I18" s="3128" t="s">
        <v>2146</v>
      </c>
    </row>
    <row r="19" spans="2:9" ht="18" customHeight="1" x14ac:dyDescent="0.2">
      <c r="B19" s="160" t="s">
        <v>341</v>
      </c>
      <c r="C19" s="3046"/>
      <c r="D19" s="3078">
        <f>IFERROR(SUM(F19,H19)/$C$18,"NA")</f>
        <v>0.85204259465517973</v>
      </c>
      <c r="E19" s="3078">
        <f>IFERROR(SUM(G19,I19)/$C$18,"NA")</f>
        <v>0.33627823272476454</v>
      </c>
      <c r="F19" s="3126">
        <v>165.46934729578311</v>
      </c>
      <c r="G19" s="3126">
        <v>65.306288708800025</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402.08005523101002</v>
      </c>
      <c r="J10" s="3145">
        <f>IF(SUM(J11:J16)=0,"NO",SUM(J11:J16))</f>
        <v>3.0825717712754521</v>
      </c>
      <c r="K10" s="1913">
        <f>IF(SUM(K11:K16)=0,"NO",SUM(K11:K16))</f>
        <v>1.2096326738209708E-2</v>
      </c>
      <c r="L10" s="3146" t="s">
        <v>2146</v>
      </c>
    </row>
    <row r="11" spans="2:12" ht="18" customHeight="1" x14ac:dyDescent="0.2">
      <c r="B11" s="1252" t="s">
        <v>363</v>
      </c>
      <c r="C11" s="2165" t="s">
        <v>2159</v>
      </c>
      <c r="D11" s="2165" t="s">
        <v>2275</v>
      </c>
      <c r="E11" s="691">
        <v>89.068926357266093</v>
      </c>
      <c r="F11" s="1913">
        <f>I11*1000000/$E11</f>
        <v>3199.9999999999995</v>
      </c>
      <c r="G11" s="1913">
        <f>J11*1000000/$E11</f>
        <v>0.33333333333333326</v>
      </c>
      <c r="H11" s="1913">
        <f>K11*1000000/$E11</f>
        <v>0.22580645161290322</v>
      </c>
      <c r="I11" s="3141">
        <v>0.28502056434325146</v>
      </c>
      <c r="J11" s="691">
        <v>2.9689642119088691E-5</v>
      </c>
      <c r="K11" s="3142">
        <v>2.0112338209705247E-5</v>
      </c>
      <c r="L11" s="3093" t="s">
        <v>2146</v>
      </c>
    </row>
    <row r="12" spans="2:12" ht="18" customHeight="1" x14ac:dyDescent="0.2">
      <c r="B12" s="1252" t="s">
        <v>364</v>
      </c>
      <c r="C12" s="2165" t="s">
        <v>2160</v>
      </c>
      <c r="D12" s="2165" t="s">
        <v>2161</v>
      </c>
      <c r="E12" s="691">
        <v>1182.3</v>
      </c>
      <c r="F12" s="1913" t="s">
        <v>2147</v>
      </c>
      <c r="G12" s="1913">
        <f>J12*1000000/$E12</f>
        <v>338.32360652964564</v>
      </c>
      <c r="H12" s="3096"/>
      <c r="I12" s="3147" t="s">
        <v>2147</v>
      </c>
      <c r="J12" s="691">
        <v>0.4</v>
      </c>
      <c r="K12" s="3046"/>
      <c r="L12" s="3093" t="s">
        <v>2146</v>
      </c>
    </row>
    <row r="13" spans="2:12" ht="18" customHeight="1" x14ac:dyDescent="0.2">
      <c r="B13" s="1252" t="s">
        <v>365</v>
      </c>
      <c r="C13" s="2165" t="s">
        <v>2162</v>
      </c>
      <c r="D13" s="2165" t="s">
        <v>2161</v>
      </c>
      <c r="E13" s="691">
        <v>822</v>
      </c>
      <c r="F13" s="1913" t="s">
        <v>2147</v>
      </c>
      <c r="G13" s="1913">
        <f>J13*1000000/$E13</f>
        <v>449.17518248175185</v>
      </c>
      <c r="H13" s="3096"/>
      <c r="I13" s="3147" t="s">
        <v>2147</v>
      </c>
      <c r="J13" s="691">
        <v>0.36922199999999999</v>
      </c>
      <c r="K13" s="3046"/>
      <c r="L13" s="3093" t="s">
        <v>2146</v>
      </c>
    </row>
    <row r="14" spans="2:12" ht="18" customHeight="1" x14ac:dyDescent="0.2">
      <c r="B14" s="1252" t="s">
        <v>366</v>
      </c>
      <c r="C14" s="2165" t="s">
        <v>2163</v>
      </c>
      <c r="D14" s="2165" t="s">
        <v>2161</v>
      </c>
      <c r="E14" s="691">
        <v>1421.4</v>
      </c>
      <c r="F14" s="1913">
        <f>I14*1000000/$E14</f>
        <v>282675.55555555562</v>
      </c>
      <c r="G14" s="1913">
        <f>J14*1000000/$E14</f>
        <v>1598.2444444444443</v>
      </c>
      <c r="H14" s="1913">
        <f>K14*1000000/$E14</f>
        <v>8.4960000000000004</v>
      </c>
      <c r="I14" s="3147">
        <v>401.79503466666677</v>
      </c>
      <c r="J14" s="691">
        <v>2.2717446533333332</v>
      </c>
      <c r="K14" s="3142">
        <v>1.2076214400000002E-2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4.1575428299999995E-2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1519</v>
      </c>
      <c r="F18" s="1913" t="s">
        <v>2147</v>
      </c>
      <c r="G18" s="1913">
        <f>J18*1000000/$E18</f>
        <v>27.370262211981562</v>
      </c>
      <c r="H18" s="3148"/>
      <c r="I18" s="3150" t="s">
        <v>2147</v>
      </c>
      <c r="J18" s="2190">
        <v>4.1575428299999995E-2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20.943777308988878</v>
      </c>
      <c r="J21" s="3155">
        <f>IF(SUM(J22:J27)=0,"NO",SUM(J22:J27))</f>
        <v>166.84983089905054</v>
      </c>
      <c r="K21" s="3067">
        <f>IF(SUM(K22:K27)=0,"NO",SUM(K22:K27))</f>
        <v>3.1269559349611514E-4</v>
      </c>
      <c r="L21" s="3068" t="str">
        <f>IF(SUM(L22:L27)=0,"NO",SUM(L22:L27))</f>
        <v>NO</v>
      </c>
    </row>
    <row r="22" spans="2:12" ht="18" customHeight="1" x14ac:dyDescent="0.2">
      <c r="B22" s="1469" t="s">
        <v>371</v>
      </c>
      <c r="C22" s="2165" t="s">
        <v>2164</v>
      </c>
      <c r="D22" s="2165" t="s">
        <v>2147</v>
      </c>
      <c r="E22" s="691">
        <v>114.21572477201553</v>
      </c>
      <c r="F22" s="1913">
        <f>I22*1000000/$E22</f>
        <v>93071.716195541012</v>
      </c>
      <c r="G22" s="1913">
        <f>J22*1000000/$E22</f>
        <v>2498.600343111555</v>
      </c>
      <c r="H22" s="1913">
        <f>K22*1000000/$E22</f>
        <v>2.7377630717686428</v>
      </c>
      <c r="I22" s="3141">
        <v>10.630253521049053</v>
      </c>
      <c r="J22" s="692">
        <v>0.28537944910409296</v>
      </c>
      <c r="K22" s="4141">
        <v>3.1269559349611514E-4</v>
      </c>
      <c r="L22" s="3156" t="s">
        <v>2146</v>
      </c>
    </row>
    <row r="23" spans="2:12" ht="18" customHeight="1" x14ac:dyDescent="0.2">
      <c r="B23" s="1252" t="s">
        <v>372</v>
      </c>
      <c r="C23" s="2165" t="s">
        <v>2165</v>
      </c>
      <c r="D23" s="2165" t="s">
        <v>2161</v>
      </c>
      <c r="E23" s="691">
        <v>1587.5760805534699</v>
      </c>
      <c r="F23" s="1913">
        <f>I23*1000000/$E23</f>
        <v>244.78656535720893</v>
      </c>
      <c r="G23" s="1913">
        <f>J23*1000000/$E23</f>
        <v>3639.5713422436615</v>
      </c>
      <c r="H23" s="3096"/>
      <c r="I23" s="3147">
        <v>0.3886172960019435</v>
      </c>
      <c r="J23" s="691">
        <v>5.7780964064139235</v>
      </c>
      <c r="K23" s="3046"/>
      <c r="L23" s="3156" t="s">
        <v>2146</v>
      </c>
    </row>
    <row r="24" spans="2:12" ht="18" customHeight="1" x14ac:dyDescent="0.2">
      <c r="B24" s="1252" t="s">
        <v>373</v>
      </c>
      <c r="C24" s="2165" t="s">
        <v>2165</v>
      </c>
      <c r="D24" s="2165" t="s">
        <v>2161</v>
      </c>
      <c r="E24" s="691">
        <v>1587.5760805534699</v>
      </c>
      <c r="F24" s="1913">
        <f t="shared" ref="F24:F26" si="0">I24*1000000/$E24</f>
        <v>834.43253159388632</v>
      </c>
      <c r="G24" s="1913">
        <f t="shared" ref="G24:G26" si="1">J24*1000000/$E24</f>
        <v>5513.319193378873</v>
      </c>
      <c r="H24" s="1879"/>
      <c r="I24" s="691">
        <v>1.3247251279941314</v>
      </c>
      <c r="J24" s="691">
        <v>8.7528136758646493</v>
      </c>
      <c r="K24" s="1914"/>
      <c r="L24" s="3093" t="str">
        <f>IF(Table1.C!E21="NO","NO",-Table1.C!E21)</f>
        <v>NO</v>
      </c>
    </row>
    <row r="25" spans="2:12" ht="18" customHeight="1" x14ac:dyDescent="0.2">
      <c r="B25" s="1252" t="s">
        <v>374</v>
      </c>
      <c r="C25" s="2165" t="s">
        <v>2276</v>
      </c>
      <c r="D25" s="2165" t="s">
        <v>2171</v>
      </c>
      <c r="E25" s="691">
        <v>9900</v>
      </c>
      <c r="F25" s="1913">
        <f t="shared" si="0"/>
        <v>20</v>
      </c>
      <c r="G25" s="1913">
        <f t="shared" si="1"/>
        <v>414.28571428571428</v>
      </c>
      <c r="H25" s="3096"/>
      <c r="I25" s="3147">
        <v>0.19800000000000001</v>
      </c>
      <c r="J25" s="691">
        <v>4.1014285714285714</v>
      </c>
      <c r="K25" s="3046"/>
      <c r="L25" s="3093" t="s">
        <v>2146</v>
      </c>
    </row>
    <row r="26" spans="2:12" ht="18" customHeight="1" x14ac:dyDescent="0.2">
      <c r="B26" s="1252" t="s">
        <v>375</v>
      </c>
      <c r="C26" s="2165" t="s">
        <v>2166</v>
      </c>
      <c r="D26" s="2165" t="s">
        <v>2161</v>
      </c>
      <c r="E26" s="691">
        <v>282.08655426865101</v>
      </c>
      <c r="F26" s="1913">
        <f t="shared" si="0"/>
        <v>28735.20693469352</v>
      </c>
      <c r="G26" s="1913">
        <f t="shared" si="1"/>
        <v>492440.77535546193</v>
      </c>
      <c r="H26" s="3096"/>
      <c r="I26" s="3147">
        <v>8.1058155104043408</v>
      </c>
      <c r="J26" s="691">
        <v>138.91092150140508</v>
      </c>
      <c r="K26" s="3046"/>
      <c r="L26" s="3093" t="s">
        <v>2146</v>
      </c>
    </row>
    <row r="27" spans="2:12" ht="18" customHeight="1" x14ac:dyDescent="0.2">
      <c r="B27" s="2414" t="s">
        <v>376</v>
      </c>
      <c r="C27" s="621"/>
      <c r="D27" s="621"/>
      <c r="E27" s="628"/>
      <c r="F27" s="628"/>
      <c r="G27" s="628"/>
      <c r="H27" s="3148"/>
      <c r="I27" s="1913">
        <f>IF(SUM(I29:I31)=0,"NO",SUM(I29:I31))</f>
        <v>0.29636585353941103</v>
      </c>
      <c r="J27" s="1913">
        <f>IF(SUM(J29:J31)=0,"NO",SUM(J29:J31))</f>
        <v>9.0211912948342068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0.29636585353941103</v>
      </c>
      <c r="J29" s="3150">
        <v>5.5761980818342058</v>
      </c>
      <c r="K29" s="3132"/>
      <c r="L29" s="3102" t="s">
        <v>2146</v>
      </c>
    </row>
    <row r="30" spans="2:12" ht="18" customHeight="1" x14ac:dyDescent="0.2">
      <c r="B30" s="2415" t="s">
        <v>378</v>
      </c>
      <c r="C30" s="2165" t="s">
        <v>2156</v>
      </c>
      <c r="D30" s="2165" t="s">
        <v>2155</v>
      </c>
      <c r="E30" s="691">
        <v>5585</v>
      </c>
      <c r="F30" s="1913" t="s">
        <v>2147</v>
      </c>
      <c r="G30" s="1913">
        <f t="shared" ref="G30" si="2">J30*1000000/$E30</f>
        <v>22.201112444046551</v>
      </c>
      <c r="H30" s="3148"/>
      <c r="I30" s="3150" t="s">
        <v>2147</v>
      </c>
      <c r="J30" s="3150">
        <v>0.12399321299999999</v>
      </c>
      <c r="K30" s="3132"/>
      <c r="L30" s="3102" t="s">
        <v>2146</v>
      </c>
    </row>
    <row r="31" spans="2:12" ht="18" customHeight="1" x14ac:dyDescent="0.2">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
      <c r="B35" s="1255" t="s">
        <v>380</v>
      </c>
      <c r="C35" s="2167"/>
      <c r="D35" s="2167"/>
      <c r="E35" s="3216"/>
      <c r="F35" s="3216"/>
      <c r="G35" s="3216"/>
      <c r="H35" s="3216"/>
      <c r="I35" s="3155">
        <f>IF(SUM(I36,I40)=0,"NO",SUM(I36,I40))</f>
        <v>5406.4086756727665</v>
      </c>
      <c r="J35" s="3067">
        <f>IF(SUM(J36,J40)=0,"NO",SUM(J36,J40))</f>
        <v>109.6050487133609</v>
      </c>
      <c r="K35" s="3067">
        <f>IF(SUM(K36,K40)=0,"NO",SUM(K36,K40))</f>
        <v>0.11252554013725326</v>
      </c>
      <c r="L35" s="3068" t="str">
        <f>IF(SUM(L36,L40)=0,"NO",SUM(L36,L40))</f>
        <v>NO</v>
      </c>
    </row>
    <row r="36" spans="2:12" ht="18" customHeight="1" x14ac:dyDescent="0.2">
      <c r="B36" s="1468" t="s">
        <v>381</v>
      </c>
      <c r="C36" s="2170"/>
      <c r="D36" s="2170"/>
      <c r="E36" s="3025"/>
      <c r="F36" s="3025"/>
      <c r="G36" s="3025"/>
      <c r="H36" s="3025"/>
      <c r="I36" s="3162">
        <f>IF(SUM(I37:I39)=0,"NO",SUM(I37:I39))</f>
        <v>1999.4079545197812</v>
      </c>
      <c r="J36" s="1913">
        <f>IF(SUM(J37:J39)=0,"NO",SUM(J37:J39))</f>
        <v>91.105252093760953</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2769.8760805534698</v>
      </c>
      <c r="F39" s="1913">
        <f t="shared" ref="F39" si="5">SUM(I39,L39)*1000000/$E39</f>
        <v>721840.21825274744</v>
      </c>
      <c r="G39" s="1913">
        <f t="shared" ref="G39" si="6">J39*1000000/$E39</f>
        <v>32891.454146048483</v>
      </c>
      <c r="H39" s="1913">
        <f t="shared" ref="H39" si="7">K39*1000000/$E39</f>
        <v>0</v>
      </c>
      <c r="I39" s="691">
        <v>1999.4079545197812</v>
      </c>
      <c r="J39" s="691">
        <v>91.105252093760953</v>
      </c>
      <c r="K39" s="3132"/>
      <c r="L39" s="3093" t="s">
        <v>2146</v>
      </c>
    </row>
    <row r="40" spans="2:12" ht="18" customHeight="1" x14ac:dyDescent="0.2">
      <c r="B40" s="1468" t="s">
        <v>385</v>
      </c>
      <c r="C40" s="2170"/>
      <c r="D40" s="2170"/>
      <c r="E40" s="3025"/>
      <c r="F40" s="3025"/>
      <c r="G40" s="3025"/>
      <c r="H40" s="3025"/>
      <c r="I40" s="3162">
        <f>IF(SUM(I41:I43)=0,"NO",SUM(I41:I43))</f>
        <v>3407.0007211529855</v>
      </c>
      <c r="J40" s="3162">
        <f>IF(SUM(J41:J43)=0,"NO",SUM(J41:J43))</f>
        <v>18.499796619599941</v>
      </c>
      <c r="K40" s="1913">
        <f>IF(SUM(K41:K43)=0,"NO",SUM(K41:K43))</f>
        <v>0.11252554013725326</v>
      </c>
      <c r="L40" s="3065" t="str">
        <f>IF(SUM(L41:L43)=0,"NO",SUM(L41:L43))</f>
        <v>NO</v>
      </c>
    </row>
    <row r="41" spans="2:12" ht="18" customHeight="1" x14ac:dyDescent="0.2">
      <c r="B41" s="1470" t="s">
        <v>386</v>
      </c>
      <c r="C41" s="277" t="s">
        <v>2169</v>
      </c>
      <c r="D41" s="277" t="s">
        <v>2170</v>
      </c>
      <c r="E41" s="691">
        <v>417.96305471585606</v>
      </c>
      <c r="F41" s="1913">
        <f t="shared" ref="F41:F42" si="8">SUM(I41,L41)*1000000/$E41</f>
        <v>2899999.9999999995</v>
      </c>
      <c r="G41" s="1913">
        <f t="shared" ref="G41:H42" si="9">J41*1000000/$E41</f>
        <v>35000</v>
      </c>
      <c r="H41" s="1913">
        <f t="shared" si="9"/>
        <v>81</v>
      </c>
      <c r="I41" s="692">
        <v>1212.0928586759824</v>
      </c>
      <c r="J41" s="692">
        <v>14.628706915054963</v>
      </c>
      <c r="K41" s="692">
        <v>3.3855007431984344E-2</v>
      </c>
      <c r="L41" s="3156" t="s">
        <v>2146</v>
      </c>
    </row>
    <row r="42" spans="2:12" ht="18" customHeight="1" x14ac:dyDescent="0.2">
      <c r="B42" s="1470" t="s">
        <v>387</v>
      </c>
      <c r="C42" s="277" t="s">
        <v>2169</v>
      </c>
      <c r="D42" s="277" t="s">
        <v>2170</v>
      </c>
      <c r="E42" s="691">
        <v>47093.312694000197</v>
      </c>
      <c r="F42" s="1913">
        <f t="shared" si="8"/>
        <v>46607.633587786229</v>
      </c>
      <c r="G42" s="1913">
        <f t="shared" si="9"/>
        <v>82.200411971404279</v>
      </c>
      <c r="H42" s="1913">
        <f t="shared" si="9"/>
        <v>1.6705245013543446</v>
      </c>
      <c r="I42" s="691">
        <v>2194.9078624770032</v>
      </c>
      <c r="J42" s="691">
        <v>3.8710897045449792</v>
      </c>
      <c r="K42" s="691">
        <v>7.8670532705268914E-2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41.655008401722306</v>
      </c>
      <c r="M9" s="3358">
        <f>100*C10/SUM(C10,'Table1.A(a)s3'!C16)</f>
        <v>58.344991598277694</v>
      </c>
    </row>
    <row r="10" spans="1:13" ht="18" customHeight="1" thickTop="1" thickBot="1" x14ac:dyDescent="0.25">
      <c r="B10" s="223" t="s">
        <v>430</v>
      </c>
      <c r="C10" s="3338">
        <f>IF(SUM(C11:C13)=0,"NO",SUM(C11:C13))</f>
        <v>65500</v>
      </c>
      <c r="D10" s="3339"/>
      <c r="E10" s="3340"/>
      <c r="F10" s="3340"/>
      <c r="G10" s="3338">
        <f>IF(SUM(G11:G13)=0,"NO",SUM(G11:G13))</f>
        <v>4558.7999999999993</v>
      </c>
      <c r="H10" s="3338">
        <f>IF(SUM(H11:H13)=0,"NO",SUM(H11:H13))</f>
        <v>8.1556099999999989E-3</v>
      </c>
      <c r="I10" s="1154">
        <f>IF(SUM(I11:I13)=0,"NO",SUM(I11:I13))</f>
        <v>2.3926837384210527E-2</v>
      </c>
      <c r="J10" s="4"/>
      <c r="K10" s="68" t="s">
        <v>431</v>
      </c>
      <c r="L10" s="3359">
        <f>100-M10</f>
        <v>54.313697666306986</v>
      </c>
      <c r="M10" s="3360">
        <f>100*C14/SUM(C14,'Table1.A(a)s3'!C88)</f>
        <v>45.686302333693014</v>
      </c>
    </row>
    <row r="11" spans="1:13" ht="18" customHeight="1" x14ac:dyDescent="0.2">
      <c r="B11" s="1258" t="s">
        <v>178</v>
      </c>
      <c r="C11" s="3341">
        <v>65500</v>
      </c>
      <c r="D11" s="116">
        <f>IF(G11="NO","NA",G11*1000/$C11)</f>
        <v>69.59999999999998</v>
      </c>
      <c r="E11" s="116">
        <f t="shared" ref="E11:F13" si="0">IF(H11="NO","NA",H11*1000000/$C11)</f>
        <v>0.12451312977099235</v>
      </c>
      <c r="F11" s="116">
        <f t="shared" si="0"/>
        <v>0.36529522723985541</v>
      </c>
      <c r="G11" s="3062">
        <v>4558.7999999999993</v>
      </c>
      <c r="H11" s="3062">
        <v>8.1556099999999989E-3</v>
      </c>
      <c r="I11" s="3063">
        <v>2.3926837384210527E-2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25730</v>
      </c>
      <c r="D14" s="3348"/>
      <c r="E14" s="3349"/>
      <c r="F14" s="3350"/>
      <c r="G14" s="3347">
        <f>IF(SUM(G15:G18,G20:G22)=0,"NO",SUM(G15:G18,G20:G22))</f>
        <v>1877.374</v>
      </c>
      <c r="H14" s="3347">
        <f>IF(SUM(H15:H18,H20:H22)=0,"NO",SUM(H15:H18,H20:H22))</f>
        <v>0.18010999999999999</v>
      </c>
      <c r="I14" s="1155">
        <f>IF(SUM(I15:I18,I20:I22)=0,"NO",SUM(I15:I18,I20:I22))</f>
        <v>5.1460000000000006E-2</v>
      </c>
      <c r="J14" s="4"/>
      <c r="K14" s="1047"/>
      <c r="L14" s="1047"/>
      <c r="M14" s="1047"/>
    </row>
    <row r="15" spans="1:13" ht="18" customHeight="1" x14ac:dyDescent="0.2">
      <c r="B15" s="1260" t="s">
        <v>190</v>
      </c>
      <c r="C15" s="143">
        <v>21310</v>
      </c>
      <c r="D15" s="116">
        <f>IF(G15="NO","NA",G15*1000/$C15)</f>
        <v>73.599999999999994</v>
      </c>
      <c r="E15" s="116">
        <f t="shared" ref="E15:F17" si="1">IF(H15="NO","NA",H15*1000000/$C15)</f>
        <v>7</v>
      </c>
      <c r="F15" s="116">
        <f t="shared" si="1"/>
        <v>2.0000000000000004</v>
      </c>
      <c r="G15" s="3064">
        <v>1568.4159999999999</v>
      </c>
      <c r="H15" s="3064">
        <v>0.14917</v>
      </c>
      <c r="I15" s="135">
        <v>4.2620000000000005E-2</v>
      </c>
      <c r="J15" s="4"/>
      <c r="K15" s="1047"/>
      <c r="L15" s="1047"/>
      <c r="M15" s="1047"/>
    </row>
    <row r="16" spans="1:13" ht="18" customHeight="1" x14ac:dyDescent="0.2">
      <c r="B16" s="1260" t="s">
        <v>191</v>
      </c>
      <c r="C16" s="3351">
        <v>4420</v>
      </c>
      <c r="D16" s="116">
        <f>IF(G16="NO","NA",G16*1000/$C16)</f>
        <v>69.900000000000006</v>
      </c>
      <c r="E16" s="116">
        <f t="shared" si="1"/>
        <v>6.9999999999999991</v>
      </c>
      <c r="F16" s="116">
        <f t="shared" si="1"/>
        <v>2</v>
      </c>
      <c r="G16" s="3064">
        <v>308.95800000000003</v>
      </c>
      <c r="H16" s="3064">
        <v>3.0939999999999995E-2</v>
      </c>
      <c r="I16" s="135">
        <v>8.8400000000000006E-3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17887.970274958665</v>
      </c>
      <c r="D10" s="2913">
        <f t="shared" ref="D10:N10" si="0">IF(SUM(D11,D16,D27,D35,D39,D45,D52,D57)=0,"NO",SUM(D11,D16,D27,D35,D39,D45,D52,D57))</f>
        <v>3.0036935116052974</v>
      </c>
      <c r="E10" s="2913">
        <f t="shared" si="0"/>
        <v>2.8344205744859208</v>
      </c>
      <c r="F10" s="2913">
        <f t="shared" si="0"/>
        <v>1193.6537599999999</v>
      </c>
      <c r="G10" s="2913">
        <f t="shared" si="0"/>
        <v>4146.8866252000589</v>
      </c>
      <c r="H10" s="2913" t="str">
        <f t="shared" si="0"/>
        <v>NO</v>
      </c>
      <c r="I10" s="2913">
        <f t="shared" si="0"/>
        <v>1.0497459871920091E-2</v>
      </c>
      <c r="J10" s="2913" t="str">
        <f t="shared" si="0"/>
        <v>NO</v>
      </c>
      <c r="K10" s="2913">
        <f t="shared" si="0"/>
        <v>37.115349448777224</v>
      </c>
      <c r="L10" s="2914">
        <f t="shared" si="0"/>
        <v>9.9138160894991891</v>
      </c>
      <c r="M10" s="2915">
        <f t="shared" si="0"/>
        <v>209.24375373797261</v>
      </c>
      <c r="N10" s="2916">
        <f t="shared" si="0"/>
        <v>1010.2592542221502</v>
      </c>
      <c r="O10" s="3020">
        <f t="shared" ref="O10:O58" si="1">IF(SUM(C10:J10)=0,"NO",SUM(C10,F10:H10)+28*SUM(D10)+265*SUM(E10)+23500*SUM(I10)+16100*SUM(J10))</f>
        <v>24310.425837712566</v>
      </c>
    </row>
    <row r="11" spans="1:15" ht="18" customHeight="1" x14ac:dyDescent="0.2">
      <c r="B11" s="1263" t="s">
        <v>444</v>
      </c>
      <c r="C11" s="2137">
        <f>IF(SUM(C12:C15)=0,"NO",SUM(C12:C15))</f>
        <v>5152.3958590686525</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5152.3958590686525</v>
      </c>
    </row>
    <row r="12" spans="1:15" ht="18" customHeight="1" x14ac:dyDescent="0.2">
      <c r="B12" s="1264" t="s">
        <v>445</v>
      </c>
      <c r="C12" s="2920">
        <f>'Table2(I).A-H'!H11</f>
        <v>3183.0326720000003</v>
      </c>
      <c r="D12" s="2136"/>
      <c r="E12" s="2136"/>
      <c r="F12" s="628"/>
      <c r="G12" s="628"/>
      <c r="H12" s="2135"/>
      <c r="I12" s="628"/>
      <c r="J12" s="2135"/>
      <c r="K12" s="2135"/>
      <c r="L12" s="2135"/>
      <c r="M12" s="2135"/>
      <c r="N12" s="2919" t="s">
        <v>2146</v>
      </c>
      <c r="O12" s="2934">
        <f t="shared" si="1"/>
        <v>3183.0326720000003</v>
      </c>
    </row>
    <row r="13" spans="1:15" ht="18" customHeight="1" x14ac:dyDescent="0.2">
      <c r="B13" s="1264" t="s">
        <v>446</v>
      </c>
      <c r="C13" s="1878">
        <f>'Table2(I).A-H'!H12</f>
        <v>809.45999623021646</v>
      </c>
      <c r="D13" s="2108"/>
      <c r="E13" s="2108"/>
      <c r="F13" s="628"/>
      <c r="G13" s="628"/>
      <c r="H13" s="2135"/>
      <c r="I13" s="628"/>
      <c r="J13" s="2135"/>
      <c r="K13" s="628"/>
      <c r="L13" s="628"/>
      <c r="M13" s="628"/>
      <c r="N13" s="1838"/>
      <c r="O13" s="1880">
        <f t="shared" si="1"/>
        <v>809.45999623021646</v>
      </c>
    </row>
    <row r="14" spans="1:15" ht="18" customHeight="1" x14ac:dyDescent="0.2">
      <c r="B14" s="1264" t="s">
        <v>447</v>
      </c>
      <c r="C14" s="1878">
        <f>'Table2(I).A-H'!H13</f>
        <v>84.788519517897726</v>
      </c>
      <c r="D14" s="2108"/>
      <c r="E14" s="2108"/>
      <c r="F14" s="628"/>
      <c r="G14" s="628"/>
      <c r="H14" s="2135"/>
      <c r="I14" s="628"/>
      <c r="J14" s="2135"/>
      <c r="K14" s="628"/>
      <c r="L14" s="628"/>
      <c r="M14" s="628"/>
      <c r="N14" s="1838"/>
      <c r="O14" s="1880">
        <f t="shared" si="1"/>
        <v>84.788519517897726</v>
      </c>
    </row>
    <row r="15" spans="1:15" ht="18" customHeight="1" thickBot="1" x14ac:dyDescent="0.25">
      <c r="B15" s="1264" t="s">
        <v>448</v>
      </c>
      <c r="C15" s="1878">
        <f>'Table2(I).A-H'!H14</f>
        <v>1075.1146713205385</v>
      </c>
      <c r="D15" s="1879"/>
      <c r="E15" s="1879"/>
      <c r="F15" s="3021"/>
      <c r="G15" s="3021"/>
      <c r="H15" s="3021"/>
      <c r="I15" s="3021"/>
      <c r="J15" s="3021"/>
      <c r="K15" s="2606" t="s">
        <v>2146</v>
      </c>
      <c r="L15" s="2606" t="s">
        <v>2146</v>
      </c>
      <c r="M15" s="2606" t="s">
        <v>2146</v>
      </c>
      <c r="N15" s="2607" t="s">
        <v>2146</v>
      </c>
      <c r="O15" s="1880">
        <f t="shared" si="1"/>
        <v>1075.1146713205385</v>
      </c>
    </row>
    <row r="16" spans="1:15" ht="18" customHeight="1" x14ac:dyDescent="0.2">
      <c r="B16" s="1265" t="s">
        <v>449</v>
      </c>
      <c r="C16" s="2137">
        <f>IF(SUM(C17:C26)=0,"NO",SUM(C17:C26))</f>
        <v>1061.0764716256642</v>
      </c>
      <c r="D16" s="2137">
        <f t="shared" ref="D16:N16" si="3">IF(SUM(D17:D26)=0,"NO",SUM(D17:D26))</f>
        <v>0.40365533799999997</v>
      </c>
      <c r="E16" s="2137">
        <f t="shared" si="3"/>
        <v>2.7620996099999999</v>
      </c>
      <c r="F16" s="2138">
        <f t="shared" si="3"/>
        <v>1193.6537599999999</v>
      </c>
      <c r="G16" s="2138" t="str">
        <f t="shared" si="3"/>
        <v>NO</v>
      </c>
      <c r="H16" s="2138" t="str">
        <f t="shared" si="3"/>
        <v>NO</v>
      </c>
      <c r="I16" s="2138" t="str">
        <f t="shared" si="3"/>
        <v>NO</v>
      </c>
      <c r="J16" s="2138" t="str">
        <f t="shared" si="3"/>
        <v>NO</v>
      </c>
      <c r="K16" s="2920" t="str">
        <f t="shared" si="3"/>
        <v>NO</v>
      </c>
      <c r="L16" s="2137" t="str">
        <f t="shared" si="3"/>
        <v>NO</v>
      </c>
      <c r="M16" s="2137">
        <f t="shared" si="3"/>
        <v>4.3554395359999996</v>
      </c>
      <c r="N16" s="2918" t="str">
        <f t="shared" si="3"/>
        <v>NO</v>
      </c>
      <c r="O16" s="2941">
        <f t="shared" si="1"/>
        <v>2997.9889777396643</v>
      </c>
    </row>
    <row r="17" spans="2:15" ht="18" customHeight="1" x14ac:dyDescent="0.2">
      <c r="B17" s="1266" t="s">
        <v>450</v>
      </c>
      <c r="C17" s="2920">
        <f>SUM('Table2(I).A-H'!H23,'Table2(I).A-H'!K23:L23)</f>
        <v>559.99456913714175</v>
      </c>
      <c r="D17" s="2139" t="str">
        <f>'Table2(I).A-H'!I23</f>
        <v>NO</v>
      </c>
      <c r="E17" s="2139" t="str">
        <f>'Table2(I).A-H'!J23</f>
        <v>NO</v>
      </c>
      <c r="F17" s="2135"/>
      <c r="G17" s="2135"/>
      <c r="H17" s="2135"/>
      <c r="I17" s="2135"/>
      <c r="J17" s="2135"/>
      <c r="K17" s="692" t="s">
        <v>2146</v>
      </c>
      <c r="L17" s="692" t="s">
        <v>2146</v>
      </c>
      <c r="M17" s="692" t="s">
        <v>2146</v>
      </c>
      <c r="N17" s="692" t="s">
        <v>2146</v>
      </c>
      <c r="O17" s="2934">
        <f t="shared" si="1"/>
        <v>559.99456913714175</v>
      </c>
    </row>
    <row r="18" spans="2:15" ht="18" customHeight="1" x14ac:dyDescent="0.2">
      <c r="B18" s="1264" t="s">
        <v>451</v>
      </c>
      <c r="C18" s="1910"/>
      <c r="D18" s="2136"/>
      <c r="E18" s="2139">
        <f>'Table2(I).A-H'!J24</f>
        <v>2.7620996099999999</v>
      </c>
      <c r="F18" s="628"/>
      <c r="G18" s="628"/>
      <c r="H18" s="2135"/>
      <c r="I18" s="628"/>
      <c r="J18" s="2135"/>
      <c r="K18" s="692" t="s">
        <v>2146</v>
      </c>
      <c r="L18" s="628"/>
      <c r="M18" s="628"/>
      <c r="N18" s="1838"/>
      <c r="O18" s="2934">
        <f t="shared" si="1"/>
        <v>731.95639664999999</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405.36083384653415</v>
      </c>
      <c r="D22" s="1914"/>
      <c r="E22" s="628"/>
      <c r="F22" s="628"/>
      <c r="G22" s="628"/>
      <c r="H22" s="2135"/>
      <c r="I22" s="628"/>
      <c r="J22" s="2135"/>
      <c r="K22" s="1914"/>
      <c r="L22" s="1914"/>
      <c r="M22" s="1914"/>
      <c r="N22" s="2921"/>
      <c r="O22" s="1880">
        <f t="shared" si="1"/>
        <v>405.36083384653415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t="str">
        <f>'Table2(I).A-H'!H35</f>
        <v>NO</v>
      </c>
      <c r="D24" s="1878">
        <f>'Table2(I).A-H'!I35</f>
        <v>0.40365533799999997</v>
      </c>
      <c r="E24" s="628"/>
      <c r="F24" s="628"/>
      <c r="G24" s="628"/>
      <c r="H24" s="2135"/>
      <c r="I24" s="628"/>
      <c r="J24" s="2135"/>
      <c r="K24" s="692" t="s">
        <v>2146</v>
      </c>
      <c r="L24" s="692" t="s">
        <v>2146</v>
      </c>
      <c r="M24" s="691">
        <v>4.3554395359999996</v>
      </c>
      <c r="N24" s="692" t="s">
        <v>2146</v>
      </c>
      <c r="O24" s="1880">
        <f t="shared" si="1"/>
        <v>11.302349463999999</v>
      </c>
    </row>
    <row r="25" spans="2:15" ht="18" customHeight="1" x14ac:dyDescent="0.2">
      <c r="B25" s="1264" t="s">
        <v>458</v>
      </c>
      <c r="C25" s="1914"/>
      <c r="D25" s="1914"/>
      <c r="E25" s="628"/>
      <c r="F25" s="2140">
        <f>'Table2(II)'!W40</f>
        <v>1193.6537599999999</v>
      </c>
      <c r="G25" s="2140" t="str">
        <f>'Table2(II)'!AH40</f>
        <v>NO</v>
      </c>
      <c r="H25" s="2139" t="str">
        <f>'Table2(II)'!AI40</f>
        <v>NO</v>
      </c>
      <c r="I25" s="2140" t="str">
        <f>'Table2(II)'!AJ40</f>
        <v>NO</v>
      </c>
      <c r="J25" s="2139" t="str">
        <f>'Table2(II)'!AK40</f>
        <v>NO</v>
      </c>
      <c r="K25" s="1914"/>
      <c r="L25" s="1914"/>
      <c r="M25" s="1914"/>
      <c r="N25" s="2921"/>
      <c r="O25" s="1880">
        <f t="shared" si="1"/>
        <v>1193.6537599999999</v>
      </c>
    </row>
    <row r="26" spans="2:15" ht="18" customHeight="1" thickBot="1" x14ac:dyDescent="0.25">
      <c r="B26" s="1264" t="s">
        <v>2110</v>
      </c>
      <c r="C26" s="1878">
        <f>'Table2(I).A-H'!H47</f>
        <v>95.721068641988211</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95.721068641988211</v>
      </c>
    </row>
    <row r="27" spans="2:15" ht="18" customHeight="1" x14ac:dyDescent="0.2">
      <c r="B27" s="1263" t="s">
        <v>459</v>
      </c>
      <c r="C27" s="2137">
        <f>IF(SUM(C28:C34)=0,"NO",SUM(C28:C34))</f>
        <v>11331.682904243107</v>
      </c>
      <c r="D27" s="2137">
        <f t="shared" ref="D27:N27" si="4">IF(SUM(D28:D34)=0,"NO",SUM(D28:D34))</f>
        <v>2.6000381736052973</v>
      </c>
      <c r="E27" s="2137">
        <f t="shared" si="4"/>
        <v>7.2320964485920639E-2</v>
      </c>
      <c r="F27" s="2138" t="str">
        <f t="shared" si="4"/>
        <v>NO</v>
      </c>
      <c r="G27" s="2138">
        <f t="shared" si="4"/>
        <v>4146.8866252000589</v>
      </c>
      <c r="H27" s="2138" t="str">
        <f t="shared" si="4"/>
        <v>NO</v>
      </c>
      <c r="I27" s="2138" t="str">
        <f t="shared" si="4"/>
        <v>NO</v>
      </c>
      <c r="J27" s="2138" t="str">
        <f t="shared" si="4"/>
        <v>NO</v>
      </c>
      <c r="K27" s="2137">
        <f t="shared" si="4"/>
        <v>37.115349448777224</v>
      </c>
      <c r="L27" s="2137">
        <f t="shared" si="4"/>
        <v>9.9138160894991891</v>
      </c>
      <c r="M27" s="2917">
        <f t="shared" si="4"/>
        <v>8.9901956840514552E-2</v>
      </c>
      <c r="N27" s="2918">
        <f t="shared" si="4"/>
        <v>1010.2592542221502</v>
      </c>
      <c r="O27" s="2941">
        <f t="shared" si="1"/>
        <v>15570.535653892883</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2059.7692252748006</v>
      </c>
      <c r="D30" s="1879"/>
      <c r="E30" s="628"/>
      <c r="F30" s="628"/>
      <c r="G30" s="2140">
        <f>SUM('Table2(II)'!X41:Y41)</f>
        <v>4146.8866252000589</v>
      </c>
      <c r="H30" s="2136"/>
      <c r="I30" s="2142" t="s">
        <v>2146</v>
      </c>
      <c r="J30" s="2135"/>
      <c r="K30" s="691" t="s">
        <v>2147</v>
      </c>
      <c r="L30" s="691" t="s">
        <v>2147</v>
      </c>
      <c r="M30" s="691" t="s">
        <v>2147</v>
      </c>
      <c r="N30" s="2911">
        <v>31.567439999999998</v>
      </c>
      <c r="O30" s="1880">
        <f t="shared" si="1"/>
        <v>6206.6558504748591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9271.9136789683071</v>
      </c>
      <c r="D34" s="1881">
        <f>'Table2(I).A-H'!I67</f>
        <v>2.6000381736052973</v>
      </c>
      <c r="E34" s="1881">
        <f>'Table2(I).A-H'!J67</f>
        <v>7.2320964485920639E-2</v>
      </c>
      <c r="F34" s="2146" t="s">
        <v>2146</v>
      </c>
      <c r="G34" s="2146" t="s">
        <v>2146</v>
      </c>
      <c r="H34" s="2146" t="s">
        <v>2146</v>
      </c>
      <c r="I34" s="2146" t="s">
        <v>2146</v>
      </c>
      <c r="J34" s="2146" t="s">
        <v>2146</v>
      </c>
      <c r="K34" s="2606">
        <v>37.115349448777224</v>
      </c>
      <c r="L34" s="2606">
        <v>9.9138160894991891</v>
      </c>
      <c r="M34" s="2606">
        <v>8.9901956840514552E-2</v>
      </c>
      <c r="N34" s="2607">
        <v>978.69181422215013</v>
      </c>
      <c r="O34" s="1882">
        <f t="shared" si="1"/>
        <v>9363.8798034180236</v>
      </c>
    </row>
    <row r="35" spans="2:15" ht="18" customHeight="1" x14ac:dyDescent="0.2">
      <c r="B35" s="2470" t="s">
        <v>2014</v>
      </c>
      <c r="C35" s="2920">
        <f>IF(SUM(C36:C38)=0,"NO",SUM(C36:C38))</f>
        <v>257.74698899999999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167.50026624513208</v>
      </c>
      <c r="N35" s="2048" t="str">
        <f t="shared" ref="N35" si="7">IF(SUM(N36:N38)=0,"NO",SUM(N36:N38))</f>
        <v>NO</v>
      </c>
      <c r="O35" s="2934">
        <f t="shared" si="1"/>
        <v>257.74698899999999</v>
      </c>
    </row>
    <row r="36" spans="2:15" ht="18" customHeight="1" x14ac:dyDescent="0.2">
      <c r="B36" s="1270" t="s">
        <v>466</v>
      </c>
      <c r="C36" s="1878">
        <f>'Table2(I).A-H'!H73</f>
        <v>257.74698899999999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257.74698899999999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167.50026624513208</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t="str">
        <f>IF(SUM(F46:F51)=0,"NO",SUM(F46:F51))</f>
        <v>NO</v>
      </c>
      <c r="G45" s="2137" t="str">
        <f t="shared" ref="G45:J45" si="9">IF(SUM(G46:G51)=0,"NO",SUM(G46:G51))</f>
        <v>NO</v>
      </c>
      <c r="H45" s="2920" t="str">
        <f t="shared" si="9"/>
        <v>NO</v>
      </c>
      <c r="I45" s="2920" t="str">
        <f t="shared" si="9"/>
        <v>NO</v>
      </c>
      <c r="J45" s="2139" t="str">
        <f t="shared" si="9"/>
        <v>NO</v>
      </c>
      <c r="K45" s="1929"/>
      <c r="L45" s="1929"/>
      <c r="M45" s="1929"/>
      <c r="N45" s="2153"/>
      <c r="O45" s="2941" t="str">
        <f t="shared" si="1"/>
        <v>NO</v>
      </c>
    </row>
    <row r="46" spans="2:15" ht="18" customHeight="1" x14ac:dyDescent="0.2">
      <c r="B46" s="1270" t="s">
        <v>474</v>
      </c>
      <c r="C46" s="628"/>
      <c r="D46" s="628"/>
      <c r="E46" s="628"/>
      <c r="F46" s="1878"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78" t="s">
        <v>2146</v>
      </c>
      <c r="H46" s="1878" t="s">
        <v>2146</v>
      </c>
      <c r="I46" s="1878" t="s">
        <v>2146</v>
      </c>
      <c r="J46" s="2139" t="str">
        <f t="shared" ref="J46" si="10">IF(SUM(J47:J52)=0,"NO",SUM(J47:J52))</f>
        <v>NO</v>
      </c>
      <c r="K46" s="628"/>
      <c r="L46" s="628"/>
      <c r="M46" s="628"/>
      <c r="N46" s="1838"/>
      <c r="O46" s="1880" t="str">
        <f t="shared" si="1"/>
        <v>NO</v>
      </c>
    </row>
    <row r="47" spans="2:15" ht="18" customHeight="1" x14ac:dyDescent="0.2">
      <c r="B47" s="1270" t="s">
        <v>475</v>
      </c>
      <c r="C47" s="628"/>
      <c r="D47" s="628"/>
      <c r="E47" s="628"/>
      <c r="F47" s="1878"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78" t="s">
        <v>2146</v>
      </c>
      <c r="H47" s="1878" t="s">
        <v>2146</v>
      </c>
      <c r="I47" s="1878" t="s">
        <v>2146</v>
      </c>
      <c r="J47" s="2139" t="str">
        <f t="shared" ref="J47" si="11">IF(SUM(J48:J53)=0,"NO",SUM(J48:J53))</f>
        <v>NO</v>
      </c>
      <c r="K47" s="628"/>
      <c r="L47" s="628"/>
      <c r="M47" s="628"/>
      <c r="N47" s="1838"/>
      <c r="O47" s="1880" t="str">
        <f t="shared" si="1"/>
        <v>NO</v>
      </c>
    </row>
    <row r="48" spans="2:15" ht="18" customHeight="1" x14ac:dyDescent="0.2">
      <c r="B48" s="1270" t="s">
        <v>476</v>
      </c>
      <c r="C48" s="628"/>
      <c r="D48" s="628"/>
      <c r="E48" s="628"/>
      <c r="F48" s="1878"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78" t="s">
        <v>2146</v>
      </c>
      <c r="H48" s="1878" t="s">
        <v>2146</v>
      </c>
      <c r="I48" s="1878" t="s">
        <v>2146</v>
      </c>
      <c r="J48" s="2139" t="str">
        <f t="shared" ref="J48" si="12">IF(SUM(J49:J54)=0,"NO",SUM(J49:J54))</f>
        <v>NO</v>
      </c>
      <c r="K48" s="628"/>
      <c r="L48" s="628"/>
      <c r="M48" s="628"/>
      <c r="N48" s="1838"/>
      <c r="O48" s="1880" t="str">
        <f t="shared" si="1"/>
        <v>NO</v>
      </c>
    </row>
    <row r="49" spans="2:15" ht="18" customHeight="1" x14ac:dyDescent="0.2">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
      <c r="B50" s="1270" t="s">
        <v>478</v>
      </c>
      <c r="C50" s="628"/>
      <c r="D50" s="628"/>
      <c r="E50" s="628"/>
      <c r="F50" s="1878"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78" t="s">
        <v>2146</v>
      </c>
      <c r="H50" s="1878" t="s">
        <v>2146</v>
      </c>
      <c r="I50" s="1878" t="s">
        <v>2146</v>
      </c>
      <c r="J50" s="2139" t="str">
        <f t="shared" ref="J50" si="14">IF(SUM(J51:J56)=0,"NO",SUM(J51:J56))</f>
        <v>NO</v>
      </c>
      <c r="K50" s="628"/>
      <c r="L50" s="628"/>
      <c r="M50" s="628"/>
      <c r="N50" s="1838"/>
      <c r="O50" s="1880" t="str">
        <f t="shared" si="1"/>
        <v>NO</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1.0497459871920091E-2</v>
      </c>
      <c r="J52" s="2139" t="str">
        <f t="shared" si="16"/>
        <v>NO</v>
      </c>
      <c r="K52" s="2139" t="str">
        <f t="shared" si="16"/>
        <v>NO</v>
      </c>
      <c r="L52" s="2139" t="str">
        <f t="shared" si="16"/>
        <v>NO</v>
      </c>
      <c r="M52" s="2139" t="str">
        <f t="shared" si="16"/>
        <v>NO</v>
      </c>
      <c r="N52" s="2048" t="str">
        <f t="shared" si="16"/>
        <v>NO</v>
      </c>
      <c r="O52" s="2934">
        <f t="shared" si="1"/>
        <v>246.69030699012214</v>
      </c>
    </row>
    <row r="53" spans="2:15" ht="18" customHeight="1" x14ac:dyDescent="0.2">
      <c r="B53" s="1270" t="s">
        <v>481</v>
      </c>
      <c r="C53" s="2135"/>
      <c r="D53" s="2135"/>
      <c r="E53" s="2135"/>
      <c r="F53" s="2920" t="s">
        <v>2146</v>
      </c>
      <c r="G53" s="2920" t="s">
        <v>2146</v>
      </c>
      <c r="H53" s="2920" t="s">
        <v>2146</v>
      </c>
      <c r="I53" s="2920">
        <f>SUM('Table2(II).B-Hs2'!J163:M163)/1000</f>
        <v>9.9080666040314829E-3</v>
      </c>
      <c r="J53" s="2920" t="s">
        <v>2146</v>
      </c>
      <c r="K53" s="2135"/>
      <c r="L53" s="2135"/>
      <c r="M53" s="2135"/>
      <c r="N53" s="2149"/>
      <c r="O53" s="2934">
        <f t="shared" si="1"/>
        <v>232.83956519473986</v>
      </c>
    </row>
    <row r="54" spans="2:15" ht="18" customHeight="1" x14ac:dyDescent="0.2">
      <c r="B54" s="1270" t="s">
        <v>482</v>
      </c>
      <c r="C54" s="2135"/>
      <c r="D54" s="2135"/>
      <c r="E54" s="2135"/>
      <c r="F54" s="2135"/>
      <c r="G54" s="2920" t="s">
        <v>2146</v>
      </c>
      <c r="H54" s="3025"/>
      <c r="I54" s="2920">
        <f>SUM('Table2(II).B-Hs2'!J165:M165)/1000</f>
        <v>5.8939326788860844E-4</v>
      </c>
      <c r="J54" s="2135"/>
      <c r="K54" s="2135"/>
      <c r="L54" s="2135"/>
      <c r="M54" s="2135"/>
      <c r="N54" s="2149"/>
      <c r="O54" s="2934">
        <f t="shared" si="1"/>
        <v>13.850741795382298</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85.06805102123964</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37.29814600000001</v>
      </c>
      <c r="N57" s="2073" t="str">
        <f>N58</f>
        <v>NA</v>
      </c>
      <c r="O57" s="2941">
        <f t="shared" si="1"/>
        <v>85.06805102123964</v>
      </c>
    </row>
    <row r="58" spans="2:15" ht="18" customHeight="1" thickBot="1" x14ac:dyDescent="0.25">
      <c r="B58" s="2596" t="s">
        <v>2180</v>
      </c>
      <c r="C58" s="2500">
        <f>'Table2(I).A-H'!H97</f>
        <v>85.06805102123964</v>
      </c>
      <c r="D58" s="2500" t="str">
        <f>'Table2(I).A-H'!I97</f>
        <v>NO</v>
      </c>
      <c r="E58" s="2500" t="str">
        <f>'Table2(I).A-H'!J97</f>
        <v>NO</v>
      </c>
      <c r="F58" s="2500" t="s">
        <v>2146</v>
      </c>
      <c r="G58" s="2500" t="s">
        <v>2146</v>
      </c>
      <c r="H58" s="2500" t="s">
        <v>2146</v>
      </c>
      <c r="I58" s="2500" t="s">
        <v>2146</v>
      </c>
      <c r="J58" s="2500" t="s">
        <v>2146</v>
      </c>
      <c r="K58" s="2912" t="s">
        <v>2147</v>
      </c>
      <c r="L58" s="2912" t="s">
        <v>2147</v>
      </c>
      <c r="M58" s="2912">
        <v>37.29814600000001</v>
      </c>
      <c r="N58" s="2922" t="s">
        <v>2147</v>
      </c>
      <c r="O58" s="2925">
        <f t="shared" si="1"/>
        <v>85.06805102123964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96.2624</v>
      </c>
      <c r="D10" s="2044" t="str">
        <f t="shared" ref="D10:X10" si="0">IF(SUM(D11,D16,D20,D26,D33,D37)=0,"NO",SUM(D11,D16,D20,D26,D33,D37))</f>
        <v>NO</v>
      </c>
      <c r="E10" s="2044" t="str">
        <f t="shared" si="0"/>
        <v>NO</v>
      </c>
      <c r="F10" s="2044" t="str">
        <f t="shared" si="0"/>
        <v>NO</v>
      </c>
      <c r="G10" s="2044" t="str">
        <f t="shared" si="0"/>
        <v>NO</v>
      </c>
      <c r="H10" s="2044" t="str">
        <f t="shared" si="0"/>
        <v>NO</v>
      </c>
      <c r="I10" s="2044" t="str">
        <f t="shared" si="0"/>
        <v>NO</v>
      </c>
      <c r="J10" s="2044" t="str">
        <f t="shared" si="0"/>
        <v>NO</v>
      </c>
      <c r="K10" s="2044" t="str">
        <f t="shared" si="0"/>
        <v>NO</v>
      </c>
      <c r="L10" s="2044" t="str">
        <f t="shared" si="0"/>
        <v>NO</v>
      </c>
      <c r="M10" s="2044" t="str">
        <f t="shared" si="0"/>
        <v>NO</v>
      </c>
      <c r="N10" s="2044" t="str">
        <f t="shared" si="0"/>
        <v>NO</v>
      </c>
      <c r="O10" s="2044" t="str">
        <f t="shared" si="0"/>
        <v>NO</v>
      </c>
      <c r="P10" s="2044" t="str">
        <f t="shared" si="0"/>
        <v>NO</v>
      </c>
      <c r="Q10" s="2044" t="str">
        <f t="shared" si="0"/>
        <v>NO</v>
      </c>
      <c r="R10" s="2044" t="str">
        <f t="shared" si="0"/>
        <v>NO</v>
      </c>
      <c r="S10" s="2044" t="str">
        <f t="shared" si="0"/>
        <v>NO</v>
      </c>
      <c r="T10" s="2044" t="str">
        <f t="shared" si="0"/>
        <v>NO</v>
      </c>
      <c r="U10" s="2044" t="str">
        <f t="shared" si="0"/>
        <v>NO</v>
      </c>
      <c r="V10" s="2045" t="str">
        <f t="shared" si="0"/>
        <v>NO</v>
      </c>
      <c r="W10" s="2046"/>
      <c r="X10" s="2044">
        <f t="shared" si="0"/>
        <v>513.76529764714792</v>
      </c>
      <c r="Y10" s="2044">
        <f t="shared" ref="Y10" si="1">IF(SUM(Y11,Y16,Y20,Y26,Y33,Y37)=0,"NO",SUM(Y11,Y16,Y20,Y26,Y33,Y37))</f>
        <v>66.72276592787999</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10.497459871920091</v>
      </c>
      <c r="AK10" s="2048" t="str">
        <f t="shared" si="9"/>
        <v>NO</v>
      </c>
    </row>
    <row r="11" spans="2:37" ht="18" customHeight="1" x14ac:dyDescent="0.2">
      <c r="B11" s="1288" t="s">
        <v>595</v>
      </c>
      <c r="C11" s="2049">
        <f>IF(SUM(C12,C15)=0,"NO",SUM(C12,C15))</f>
        <v>96.2624</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f>IF(SUM(C13:C14)=0,"NO",SUM(C13:C14))</f>
        <v>96.2624</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f>'Table2(II).B-Hs1'!G13</f>
        <v>96.2624</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513.76529764714792</v>
      </c>
      <c r="Y16" s="2050">
        <f t="shared" ref="Y16" si="35">IF(SUM(Y17:Y19)=0,"NO",SUM(Y17:Y19))</f>
        <v>66.72276592787999</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513.76529764714792</v>
      </c>
      <c r="Y17" s="2050">
        <f>'Table2(II).B-Hs1'!G26</f>
        <v>66.72276592787999</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t="str">
        <f>IF(SUM(C27:C32)=0,"NO",SUM(C27:C32))</f>
        <v>NO</v>
      </c>
      <c r="D26" s="2069" t="str">
        <f t="shared" ref="D26:AK26" si="58">IF(SUM(D27:D32)=0,"NO",SUM(D27:D32))</f>
        <v>NO</v>
      </c>
      <c r="E26" s="2069" t="str">
        <f t="shared" si="58"/>
        <v>NO</v>
      </c>
      <c r="F26" s="2069" t="str">
        <f t="shared" si="58"/>
        <v>NO</v>
      </c>
      <c r="G26" s="2069" t="str">
        <f t="shared" si="58"/>
        <v>NO</v>
      </c>
      <c r="H26" s="2069" t="str">
        <f t="shared" si="58"/>
        <v>NO</v>
      </c>
      <c r="I26" s="2069" t="str">
        <f t="shared" si="58"/>
        <v>NO</v>
      </c>
      <c r="J26" s="2069" t="str">
        <f t="shared" si="58"/>
        <v>NO</v>
      </c>
      <c r="K26" s="2069" t="str">
        <f t="shared" si="58"/>
        <v>NO</v>
      </c>
      <c r="L26" s="2069" t="str">
        <f t="shared" si="58"/>
        <v>NO</v>
      </c>
      <c r="M26" s="2069" t="str">
        <f t="shared" si="58"/>
        <v>NO</v>
      </c>
      <c r="N26" s="2069" t="str">
        <f t="shared" si="58"/>
        <v>NO</v>
      </c>
      <c r="O26" s="2069" t="str">
        <f t="shared" si="58"/>
        <v>NO</v>
      </c>
      <c r="P26" s="2069" t="str">
        <f t="shared" si="58"/>
        <v>NO</v>
      </c>
      <c r="Q26" s="2069" t="str">
        <f t="shared" si="58"/>
        <v>NO</v>
      </c>
      <c r="R26" s="2069" t="str">
        <f t="shared" si="58"/>
        <v>NO</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t="str">
        <f>IF(SUM('Table2(II).B-Hs2'!J13:M13,'Table2(II).B-Hs2'!J26:M26,'Table2(II).B-Hs2'!J39:M39,'Table2(II).B-Hs2'!J52:M52,'Table2(II).B-Hs2'!J65:M65,'Table2(II).B-Hs2'!J78:M78)=0,"NO",SUM('Table2(II).B-Hs2'!J13:M13,'Table2(II).B-Hs2'!J26:M26,'Table2(II).B-Hs2'!J39:M39,'Table2(II).B-Hs2'!J52:M52,'Table2(II).B-Hs2'!J65:M65,'Table2(II).B-Hs2'!J78:M78))</f>
        <v>NO</v>
      </c>
      <c r="D27" s="2044" t="str">
        <f>IF(SUM('Table2(II).B-Hs2'!J14:M14,'Table2(II).B-Hs2'!J27:M27,'Table2(II).B-Hs2'!J40:M40,'Table2(II).B-Hs2'!J53:M53,'Table2(II).B-Hs2'!J66:M66,'Table2(II).B-Hs2'!J79:M79)=0,"NO",SUM('Table2(II).B-Hs2'!J14:M14,'Table2(II).B-Hs2'!J27:M27,'Table2(II).B-Hs2'!J40:M40,'Table2(II).B-Hs2'!J53:M53,'Table2(II).B-Hs2'!J66:M66,'Table2(II).B-Hs2'!J79:M79))</f>
        <v>NO</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t="str">
        <f>IF(SUM('Table2(II).B-Hs2'!J16:M16,'Table2(II).B-Hs2'!J29:M29,'Table2(II).B-Hs2'!J42:M42,'Table2(II).B-Hs2'!J55:M55,'Table2(II).B-Hs2'!J68:M68,'Table2(II).B-Hs2'!J81:M81)=0,"NO",SUM('Table2(II).B-Hs2'!J16:M16,'Table2(II).B-Hs2'!J29:M29,'Table2(II).B-Hs2'!J42:M42,'Table2(II).B-Hs2'!J55:M55,'Table2(II).B-Hs2'!J68:M68,'Table2(II).B-Hs2'!J81:M81))</f>
        <v>NO</v>
      </c>
      <c r="H27" s="2044" t="str">
        <f>IF(SUM('Table2(II).B-Hs2'!J17:M17,'Table2(II).B-Hs2'!J30:M30,'Table2(II).B-Hs2'!J43:M43,'Table2(II).B-Hs2'!J56:M56,'Table2(II).B-Hs2'!J69:M69,'Table2(II).B-Hs2'!J82:M82)=0,"NO",SUM('Table2(II).B-Hs2'!J17:M17,'Table2(II).B-Hs2'!J30:M30,'Table2(II).B-Hs2'!J43:M43,'Table2(II).B-Hs2'!J56:M56,'Table2(II).B-Hs2'!J69:M69,'Table2(II).B-Hs2'!J82:M82))</f>
        <v>NO</v>
      </c>
      <c r="I27" s="2044" t="str">
        <f>IF(SUM('Table2(II).B-Hs2'!J18:M18,'Table2(II).B-Hs2'!J31:M31,'Table2(II).B-Hs2'!J44:M44,'Table2(II).B-Hs2'!J57:M57,'Table2(II).B-Hs2'!J70:M70,'Table2(II).B-Hs2'!J83:M83)=0,"NO",SUM('Table2(II).B-Hs2'!J18:M18,'Table2(II).B-Hs2'!J31:M31,'Table2(II).B-Hs2'!J44:M44,'Table2(II).B-Hs2'!J57:M57,'Table2(II).B-Hs2'!J70:M70,'Table2(II).B-Hs2'!J83:M83))</f>
        <v>NO</v>
      </c>
      <c r="J27" s="2044" t="s">
        <v>2146</v>
      </c>
      <c r="K27" s="2044" t="str">
        <f>IF(SUM('Table2(II).B-Hs2'!J19:M19,'Table2(II).B-Hs2'!J32:M32,'Table2(II).B-Hs2'!J45:M45,'Table2(II).B-Hs2'!J58:M58,'Table2(II).B-Hs2'!J71:M71,'Table2(II).B-Hs2'!J84:M84)=0,"NO",SUM('Table2(II).B-Hs2'!J19:M19,'Table2(II).B-Hs2'!J32:M32,'Table2(II).B-Hs2'!J45:M45,'Table2(II).B-Hs2'!J58:M58,'Table2(II).B-Hs2'!J71:M71,'Table2(II).B-Hs2'!J84:M84))</f>
        <v>NO</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t="str">
        <f>IF(SUM('Table2(II).B-Hs2'!J21:M21,'Table2(II).B-Hs2'!J34:M34,'Table2(II).B-Hs2'!J47:M47,'Table2(II).B-Hs2'!J60:M60,'Table2(II).B-Hs2'!J73:M73,'Table2(II).B-Hs2'!J86:M86)=0,"NO",SUM('Table2(II).B-Hs2'!J21:M21,'Table2(II).B-Hs2'!J34:M34,'Table2(II).B-Hs2'!J47:M47,'Table2(II).B-Hs2'!J60:M60,'Table2(II).B-Hs2'!J73:M73,'Table2(II).B-Hs2'!J86:M86))</f>
        <v>NO</v>
      </c>
      <c r="P27" s="2044" t="s">
        <v>2146</v>
      </c>
      <c r="Q27" s="2044" t="s">
        <v>2146</v>
      </c>
      <c r="R27" s="2044" t="str">
        <f>IF(SUM('Table2(II).B-Hs2'!J22:M22,'Table2(II).B-Hs2'!J35:M35,'Table2(II).B-Hs2'!J48:M48,'Table2(II).B-Hs2'!J61:M61,'Table2(II).B-Hs2'!J74:M74,'Table2(II).B-Hs2'!J87:M87)=0,"NO",SUM('Table2(II).B-Hs2'!J22:M22,'Table2(II).B-Hs2'!J35:M35,'Table2(II).B-Hs2'!J48:M48,'Table2(II).B-Hs2'!J61:M61,'Table2(II).B-Hs2'!J74:M74,'Table2(II).B-Hs2'!J87:M87))</f>
        <v>NO</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t="str">
        <f>IF(SUM('Table2(II).B-Hs2'!J92:M92,'Table2(II).B-Hs2'!J105:M105)=0,"NO",SUM('Table2(II).B-Hs2'!J92:M92,'Table2(II).B-Hs2'!J105:M105))</f>
        <v>NO</v>
      </c>
      <c r="D28" s="2044" t="str">
        <f>IF(SUM('Table2(II).B-Hs2'!J93:M93,'Table2(II).B-Hs2'!J106:M106)=0,"NO",SUM('Table2(II).B-Hs2'!J93:M93,'Table2(II).B-Hs2'!J106:M106))</f>
        <v>NO</v>
      </c>
      <c r="E28" s="2044" t="s">
        <v>2146</v>
      </c>
      <c r="F28" s="2044" t="str">
        <f>IF(SUM('Table2(II).B-Hs2'!J94:M94,'Table2(II).B-Hs2'!J107:M107)=0,"NO",SUM('Table2(II).B-Hs2'!J94:M94,'Table2(II).B-Hs2'!J107:M107))</f>
        <v>NO</v>
      </c>
      <c r="G28" s="2044" t="str">
        <f>IF(SUM('Table2(II).B-Hs2'!J95:M95,'Table2(II).B-Hs2'!J108:M108)=0,"NO",SUM('Table2(II).B-Hs2'!J95:M95,'Table2(II).B-Hs2'!J108:M108))</f>
        <v>NO</v>
      </c>
      <c r="H28" s="2044" t="str">
        <f>IF(SUM('Table2(II).B-Hs2'!J96:M96,'Table2(II).B-Hs2'!J109:M109)=0,"NO",SUM('Table2(II).B-Hs2'!J96:M96,'Table2(II).B-Hs2'!J109:M109))</f>
        <v>NO</v>
      </c>
      <c r="I28" s="2044" t="str">
        <f>IF(SUM('Table2(II).B-Hs2'!J97:M97,'Table2(II).B-Hs2'!J110:M110)=0,"NO",SUM('Table2(II).B-Hs2'!J97:M97,'Table2(II).B-Hs2'!J110:M110))</f>
        <v>NO</v>
      </c>
      <c r="J28" s="2044" t="s">
        <v>2146</v>
      </c>
      <c r="K28" s="2044" t="str">
        <f>IF(SUM('Table2(II).B-Hs2'!J98:M98,'Table2(II).B-Hs2'!J111:M111)=0,"NO",SUM('Table2(II).B-Hs2'!J98:M98,'Table2(II).B-Hs2'!J111:M111))</f>
        <v>NO</v>
      </c>
      <c r="L28" s="2044" t="s">
        <v>2146</v>
      </c>
      <c r="M28" s="2044" t="str">
        <f>IF(SUM('Table2(II).B-Hs2'!J99:M99,'Table2(II).B-Hs2'!J112:M112)=0,"NO",SUM('Table2(II).B-Hs2'!J99:M99,'Table2(II).B-Hs2'!J112:M112))</f>
        <v>NO</v>
      </c>
      <c r="N28" s="2044" t="s">
        <v>2146</v>
      </c>
      <c r="O28" s="2044" t="str">
        <f>IF(SUM('Table2(II).B-Hs2'!J100:M100,'Table2(II).B-Hs2'!J113:M113)=0,"NO",SUM('Table2(II).B-Hs2'!J100:M100,'Table2(II).B-Hs2'!J113:M113))</f>
        <v>NO</v>
      </c>
      <c r="P28" s="2044" t="s">
        <v>2146</v>
      </c>
      <c r="Q28" s="2044" t="s">
        <v>2146</v>
      </c>
      <c r="R28" s="2044" t="str">
        <f>IF(SUM('Table2(II).B-Hs2'!J101:M101,'Table2(II).B-Hs2'!J114:M114)=0,"NO",SUM('Table2(II).B-Hs2'!J101:M101,'Table2(II).B-Hs2'!J114:M114))</f>
        <v>NO</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t="str">
        <f>IF(SUM('Table2(II).B-Hs2'!J118:M118)=0,"NO",SUM('Table2(II).B-Hs2'!J118:M118))</f>
        <v>NO</v>
      </c>
      <c r="D29" s="2044" t="str">
        <f>IF(SUM('Table2(II).B-Hs2'!J119:M119)=0,"NO",SUM('Table2(II).B-Hs2'!J119:M119))</f>
        <v>NO</v>
      </c>
      <c r="E29" s="2044" t="s">
        <v>2146</v>
      </c>
      <c r="F29" s="2044" t="str">
        <f>IF(SUM('Table2(II).B-Hs2'!J120:M120)=0,"NO",SUM('Table2(II).B-Hs2'!J120:M120))</f>
        <v>NO</v>
      </c>
      <c r="G29" s="2044" t="str">
        <f>IF(SUM('Table2(II).B-Hs2'!J121:M121)=0,"NO",SUM('Table2(II).B-Hs2'!J121:M121))</f>
        <v>NO</v>
      </c>
      <c r="H29" s="2044" t="str">
        <f>IF(SUM('Table2(II).B-Hs2'!J122:M122)=0,"NO",SUM('Table2(II).B-Hs2'!J122:M122))</f>
        <v>NO</v>
      </c>
      <c r="I29" s="2044" t="str">
        <f>IF(SUM('Table2(II).B-Hs2'!J123:M123)=0,"NO",SUM('Table2(II).B-Hs2'!J123:M123))</f>
        <v>NO</v>
      </c>
      <c r="J29" s="2044" t="s">
        <v>2146</v>
      </c>
      <c r="K29" s="2044" t="str">
        <f>IF(SUM('Table2(II).B-Hs2'!J124:M124)=0,"NO",SUM('Table2(II).B-Hs2'!J124:M124))</f>
        <v>NO</v>
      </c>
      <c r="L29" s="2044" t="s">
        <v>2146</v>
      </c>
      <c r="M29" s="2044" t="str">
        <f>IF(SUM('Table2(II).B-Hs2'!J125:M125)=0,"NO",SUM('Table2(II).B-Hs2'!J125:M125))</f>
        <v>NO</v>
      </c>
      <c r="N29" s="2044" t="s">
        <v>2146</v>
      </c>
      <c r="O29" s="2044" t="str">
        <f>IF(SUM('Table2(II).B-Hs2'!J126:M126)=0,"NO",SUM('Table2(II).B-Hs2'!J126:M126))</f>
        <v>NO</v>
      </c>
      <c r="P29" s="2044" t="s">
        <v>2146</v>
      </c>
      <c r="Q29" s="2044" t="s">
        <v>2146</v>
      </c>
      <c r="R29" s="2044" t="str">
        <f>IF(SUM('Table2(II).B-Hs2'!J127:M127)=0,"NO",SUM('Table2(II).B-Hs2'!J127:M127))</f>
        <v>NO</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t="str">
        <f>IF(SUM('Table2(II).B-Hs2'!J147:M147)=0,"NO",SUM('Table2(II).B-Hs2'!J147:M147))</f>
        <v>NO</v>
      </c>
      <c r="D31" s="2044" t="str">
        <f>IF(SUM('Table2(II).B-Hs2'!J148:M148)=0,"NO",SUM('Table2(II).B-Hs2'!J148:M148))</f>
        <v>NO</v>
      </c>
      <c r="E31" s="2044" t="s">
        <v>2146</v>
      </c>
      <c r="F31" s="2044" t="str">
        <f>IF(SUM('Table2(II).B-Hs2'!J149:M149)=0,"NO",SUM('Table2(II).B-Hs2'!J149:M149))</f>
        <v>NO</v>
      </c>
      <c r="G31" s="2044" t="str">
        <f>IF(SUM('Table2(II).B-Hs2'!J150:M150)=0,"NO",SUM('Table2(II).B-Hs2'!J150:M150))</f>
        <v>NO</v>
      </c>
      <c r="H31" s="2044" t="str">
        <f>IF(SUM('Table2(II).B-Hs2'!J151:M151)=0,"NO",SUM('Table2(II).B-Hs2'!J151:M151))</f>
        <v>NO</v>
      </c>
      <c r="I31" s="2044" t="str">
        <f>IF(SUM('Table2(II).B-Hs2'!J152:M152)=0,"NO",SUM('Table2(II).B-Hs2'!J152:M152))</f>
        <v>NO</v>
      </c>
      <c r="J31" s="2044" t="s">
        <v>2146</v>
      </c>
      <c r="K31" s="2044" t="str">
        <f>IF(SUM('Table2(II).B-Hs2'!J153:M153)=0,"NO",SUM('Table2(II).B-Hs2'!J153:M153))</f>
        <v>NO</v>
      </c>
      <c r="L31" s="2044" t="s">
        <v>2146</v>
      </c>
      <c r="M31" s="2044" t="str">
        <f>IF(SUM('Table2(II).B-Hs2'!J154:M154)=0,"NO",SUM('Table2(II).B-Hs2'!J154:M154))</f>
        <v>NO</v>
      </c>
      <c r="N31" s="2044" t="s">
        <v>2146</v>
      </c>
      <c r="O31" s="2044" t="str">
        <f>IF(SUM('Table2(II).B-Hs2'!J155:M155)=0,"NO",SUM('Table2(II).B-Hs2'!J155:M155))</f>
        <v>NO</v>
      </c>
      <c r="P31" s="2044" t="s">
        <v>2146</v>
      </c>
      <c r="Q31" s="2044" t="s">
        <v>2146</v>
      </c>
      <c r="R31" s="2044" t="str">
        <f>IF(SUM('Table2(II).B-Hs2'!J156:M156)=0,"NO",SUM('Table2(II).B-Hs2'!J156:M156))</f>
        <v>NO</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10.497459871920091</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9.9080666040314824</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0.58939326788860846</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1193.6537599999999</v>
      </c>
      <c r="D39" s="4196" t="str">
        <f t="shared" ref="D39:AK39" si="72">IF(SUM(D40:D45)=0,"NO",SUM(D40:D45))</f>
        <v>NO</v>
      </c>
      <c r="E39" s="4196" t="str">
        <f t="shared" si="72"/>
        <v>NO</v>
      </c>
      <c r="F39" s="4196" t="str">
        <f t="shared" si="72"/>
        <v>NO</v>
      </c>
      <c r="G39" s="4196" t="str">
        <f t="shared" si="72"/>
        <v>NO</v>
      </c>
      <c r="H39" s="4196" t="str">
        <f t="shared" si="72"/>
        <v>NO</v>
      </c>
      <c r="I39" s="4196" t="str">
        <f t="shared" si="72"/>
        <v>NO</v>
      </c>
      <c r="J39" s="4196" t="str">
        <f t="shared" si="72"/>
        <v>NO</v>
      </c>
      <c r="K39" s="4196" t="str">
        <f t="shared" si="72"/>
        <v>NO</v>
      </c>
      <c r="L39" s="4196" t="str">
        <f t="shared" si="72"/>
        <v>NO</v>
      </c>
      <c r="M39" s="4196" t="str">
        <f t="shared" si="72"/>
        <v>NO</v>
      </c>
      <c r="N39" s="4196" t="str">
        <f t="shared" si="72"/>
        <v>NO</v>
      </c>
      <c r="O39" s="4196" t="str">
        <f t="shared" si="72"/>
        <v>NO</v>
      </c>
      <c r="P39" s="4196" t="str">
        <f t="shared" si="72"/>
        <v>NO</v>
      </c>
      <c r="Q39" s="4196" t="str">
        <f t="shared" si="72"/>
        <v>NO</v>
      </c>
      <c r="R39" s="4196" t="str">
        <f t="shared" si="72"/>
        <v>NO</v>
      </c>
      <c r="S39" s="4196" t="str">
        <f t="shared" si="72"/>
        <v>NO</v>
      </c>
      <c r="T39" s="4196" t="str">
        <f t="shared" si="72"/>
        <v>NO</v>
      </c>
      <c r="U39" s="4196" t="str">
        <f t="shared" si="72"/>
        <v>NO</v>
      </c>
      <c r="V39" s="4196" t="str">
        <f t="shared" si="72"/>
        <v>NO</v>
      </c>
      <c r="W39" s="4196">
        <f t="shared" si="72"/>
        <v>1193.6537599999999</v>
      </c>
      <c r="X39" s="4196">
        <f t="shared" si="72"/>
        <v>3406.2639234005906</v>
      </c>
      <c r="Y39" s="4196">
        <f t="shared" si="72"/>
        <v>740.6227017994679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4146.8866252000589</v>
      </c>
      <c r="AI39" s="4197" t="str">
        <f t="shared" si="72"/>
        <v>NO</v>
      </c>
      <c r="AJ39" s="4197">
        <f t="shared" si="72"/>
        <v>246.69030699012214</v>
      </c>
      <c r="AK39" s="2918" t="str">
        <f t="shared" si="72"/>
        <v>NO</v>
      </c>
    </row>
    <row r="40" spans="2:37" ht="18" customHeight="1" x14ac:dyDescent="0.2">
      <c r="B40" s="1292" t="s">
        <v>595</v>
      </c>
      <c r="C40" s="4198">
        <f>IF(SUM(C11)=0,"NO",C11*12400/1000)</f>
        <v>1193.6537599999999</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1193.6537599999999</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3406.2639234005906</v>
      </c>
      <c r="Y41" s="4199">
        <f>IF(SUM(Y16)=0,"NO",Y16*11100/1000)</f>
        <v>740.6227017994679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4146.8866252000589</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t="str">
        <f>IF(SUM(C26)=0,"NO",C26*12400/1000)</f>
        <v>NO</v>
      </c>
      <c r="D43" s="4199" t="str">
        <f>IF(SUM(D26)=0,"NO",D26*677/1000)</f>
        <v>NO</v>
      </c>
      <c r="E43" s="4199" t="str">
        <f>IF(SUM(E26)=0,"NO",E26*116/1000)</f>
        <v>NO</v>
      </c>
      <c r="F43" s="4199" t="str">
        <f>IF(SUM(F26)=0,"NO",F26*1650/1000)</f>
        <v>NO</v>
      </c>
      <c r="G43" s="4199" t="str">
        <f>IF(SUM(G26)=0,"NO",G26*3170/1000)</f>
        <v>NO</v>
      </c>
      <c r="H43" s="4199" t="str">
        <f>IF(SUM(H26)=0,"NO",H26*1120/1000)</f>
        <v>NO</v>
      </c>
      <c r="I43" s="4199" t="str">
        <f>IF(SUM(I26)=0,"NO",I26*1300/1000)</f>
        <v>NO</v>
      </c>
      <c r="J43" s="4199" t="str">
        <f>IF(SUM(J26)=0,"NO",J26*328/1000)</f>
        <v>NO</v>
      </c>
      <c r="K43" s="4199" t="str">
        <f>IF(SUM(K26)=0,"NO",K26*4800/1000)</f>
        <v>NO</v>
      </c>
      <c r="L43" s="4199" t="str">
        <f>IF(SUM(L26)=0,"NO",L26*16/1000)</f>
        <v>NO</v>
      </c>
      <c r="M43" s="4199" t="str">
        <f>IF(SUM(M26)=0,"NO",M26*138/1000)</f>
        <v>NO</v>
      </c>
      <c r="N43" s="4199" t="str">
        <f>IF(SUM(N26)=0,"NO",N26*4/1000)</f>
        <v>NO</v>
      </c>
      <c r="O43" s="4199" t="str">
        <f>IF(SUM(O26)=0,"NO",O26*3350/1000)</f>
        <v>NO</v>
      </c>
      <c r="P43" s="4199" t="str">
        <f>IF(SUM(P26)=0,"NO",P26*1210/1000)</f>
        <v>NO</v>
      </c>
      <c r="Q43" s="4199" t="str">
        <f>IF(SUM(Q26)=0,"NO",Q26*1330/1000)</f>
        <v>NO</v>
      </c>
      <c r="R43" s="4199" t="str">
        <f>IF(SUM(R26)=0,"NO",R26*8060/1000)</f>
        <v>NO</v>
      </c>
      <c r="S43" s="4199" t="str">
        <f>IF(SUM(S26)=0,"NO",S26*716/1000)</f>
        <v>NO</v>
      </c>
      <c r="T43" s="4199" t="str">
        <f>IF(SUM(T26)=0,"NO",T26*858/1000)</f>
        <v>NO</v>
      </c>
      <c r="U43" s="4199" t="str">
        <f>IF(SUM(U26)=0,"NO",U26*804/1000)</f>
        <v>NO</v>
      </c>
      <c r="V43" s="4199" t="str">
        <f>IF(SUM(V26)=0,"NO",V26*1/1000)</f>
        <v>NO</v>
      </c>
      <c r="W43" s="4199" t="str">
        <f t="shared" si="73"/>
        <v>NO</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246.69030699012214</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5152.3958590686525</v>
      </c>
      <c r="I10" s="628"/>
      <c r="J10" s="628"/>
      <c r="K10" s="3192" t="str">
        <f>IF(SUM(K11:K14)=0,"NO",SUM(K11:K14))</f>
        <v>NO</v>
      </c>
      <c r="L10" s="3192" t="str">
        <f>IF(SUM(L11:L14)=0,"NO",SUM(L11:L14))</f>
        <v>NO</v>
      </c>
      <c r="M10" s="628"/>
      <c r="N10" s="1838"/>
    </row>
    <row r="11" spans="2:14" ht="18" customHeight="1" x14ac:dyDescent="0.2">
      <c r="B11" s="287" t="s">
        <v>491</v>
      </c>
      <c r="C11" s="2099" t="s">
        <v>2181</v>
      </c>
      <c r="D11" s="691">
        <v>5712.0559999999996</v>
      </c>
      <c r="E11" s="1913">
        <f>IF(SUM($D11)=0,"NA",H11/$D11)</f>
        <v>0.5572481558304051</v>
      </c>
      <c r="F11" s="628"/>
      <c r="G11" s="628"/>
      <c r="H11" s="3180">
        <v>3183.0326720000003</v>
      </c>
      <c r="I11" s="628"/>
      <c r="J11" s="628"/>
      <c r="K11" s="3180" t="s">
        <v>2146</v>
      </c>
      <c r="L11" s="691" t="s">
        <v>2146</v>
      </c>
      <c r="M11" s="628"/>
      <c r="N11" s="1838"/>
    </row>
    <row r="12" spans="2:14" ht="18" customHeight="1" x14ac:dyDescent="0.2">
      <c r="B12" s="287" t="s">
        <v>492</v>
      </c>
      <c r="C12" s="2100" t="s">
        <v>2182</v>
      </c>
      <c r="D12" s="691">
        <v>1081.8453034079232</v>
      </c>
      <c r="E12" s="1913">
        <f>IF(SUM($D12)=0,"NA",H12/$D12)</f>
        <v>0.74822157445277504</v>
      </c>
      <c r="F12" s="628"/>
      <c r="G12" s="628"/>
      <c r="H12" s="3180">
        <v>809.45999623021646</v>
      </c>
      <c r="I12" s="628"/>
      <c r="J12" s="628"/>
      <c r="K12" s="3180" t="s">
        <v>2146</v>
      </c>
      <c r="L12" s="691" t="s">
        <v>2146</v>
      </c>
      <c r="M12" s="628"/>
      <c r="N12" s="1838"/>
    </row>
    <row r="13" spans="2:14" ht="18" customHeight="1" x14ac:dyDescent="0.2">
      <c r="B13" s="287" t="s">
        <v>493</v>
      </c>
      <c r="C13" s="2100" t="s">
        <v>2267</v>
      </c>
      <c r="D13" s="691">
        <v>214.25363564848988</v>
      </c>
      <c r="E13" s="1913">
        <f>IF(SUM($D13)=0,"NA",H13/$D13)</f>
        <v>0.39573899999999995</v>
      </c>
      <c r="F13" s="628"/>
      <c r="G13" s="628"/>
      <c r="H13" s="3180">
        <v>84.788519517897726</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1075.1146713205385</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37.45094678433334</v>
      </c>
      <c r="I15" s="628"/>
      <c r="J15" s="628"/>
      <c r="K15" s="3180" t="s">
        <v>2146</v>
      </c>
      <c r="L15" s="691" t="s">
        <v>2146</v>
      </c>
      <c r="M15" s="628"/>
      <c r="N15" s="1838"/>
    </row>
    <row r="16" spans="2:14" ht="18" customHeight="1" x14ac:dyDescent="0.2">
      <c r="B16" s="160" t="s">
        <v>496</v>
      </c>
      <c r="C16" s="484" t="s">
        <v>2316</v>
      </c>
      <c r="D16" s="2905">
        <v>400</v>
      </c>
      <c r="E16" s="1913">
        <f>IF(SUM($D16)=0,"NA",H16/$D16)</f>
        <v>0.41492000000000007</v>
      </c>
      <c r="F16" s="628"/>
      <c r="G16" s="628"/>
      <c r="H16" s="3180">
        <v>165.96800000000002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871.69572453620503</v>
      </c>
      <c r="I18" s="628"/>
      <c r="J18" s="628"/>
      <c r="K18" s="3181" t="str">
        <f>K19</f>
        <v>NO</v>
      </c>
      <c r="L18" s="3193" t="str">
        <f>L19</f>
        <v>NO</v>
      </c>
      <c r="M18" s="628"/>
      <c r="N18" s="1838"/>
    </row>
    <row r="19" spans="2:14" ht="18" customHeight="1" x14ac:dyDescent="0.2">
      <c r="B19" s="3182" t="s">
        <v>2265</v>
      </c>
      <c r="C19" s="484" t="s">
        <v>2267</v>
      </c>
      <c r="D19" s="2905">
        <v>1914.3229391265099</v>
      </c>
      <c r="E19" s="1913">
        <f>IF(SUM($D19)=0,"NA",H19/$D19)</f>
        <v>0.41376698873003254</v>
      </c>
      <c r="F19" s="628"/>
      <c r="G19" s="628"/>
      <c r="H19" s="3180">
        <v>792.0836379792014</v>
      </c>
      <c r="I19" s="628"/>
      <c r="J19" s="628"/>
      <c r="K19" s="3180" t="s">
        <v>2146</v>
      </c>
      <c r="L19" s="3180" t="s">
        <v>2146</v>
      </c>
      <c r="M19" s="628"/>
      <c r="N19" s="1838"/>
    </row>
    <row r="20" spans="2:14" ht="18" customHeight="1" x14ac:dyDescent="0.2">
      <c r="B20" s="3183" t="s">
        <v>2264</v>
      </c>
      <c r="C20" s="484" t="s">
        <v>2267</v>
      </c>
      <c r="D20" s="2905">
        <v>72.33874944537061</v>
      </c>
      <c r="E20" s="1913">
        <f>IF(SUM($D20)=0,"NA",H20/$D20)</f>
        <v>0.47362580471306032</v>
      </c>
      <c r="F20" s="628"/>
      <c r="G20" s="628"/>
      <c r="H20" s="3180">
        <v>34.261498418000102</v>
      </c>
      <c r="I20" s="628"/>
      <c r="J20" s="628"/>
      <c r="K20" s="3180" t="s">
        <v>2146</v>
      </c>
      <c r="L20" s="3180" t="s">
        <v>2146</v>
      </c>
      <c r="M20" s="2135"/>
      <c r="N20" s="2149"/>
    </row>
    <row r="21" spans="2:14" ht="18" customHeight="1" thickBot="1" x14ac:dyDescent="0.25">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1157.5459287728868</v>
      </c>
      <c r="I22" s="3067">
        <f>IF(SUM(I23:I26,I30,I33:I35,I47)=0,"IE",SUM(I23:I26,I30,I33:I35,I47))</f>
        <v>0.40365533799999997</v>
      </c>
      <c r="J22" s="3067">
        <f>IF(SUM(J23:J26,J30,J33:J35,J47)=0,"IE",SUM(J23:J26,J30,J33:J35,J47))</f>
        <v>2.7620996099999999</v>
      </c>
      <c r="K22" s="3067">
        <f>IF(SUM(K23:K26,K30,K33:K35,K47)=0,"NO",SUM(K23:K26,K30,K33:K35,K47))</f>
        <v>-96.469457147222698</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470.12740178600001</v>
      </c>
      <c r="E23" s="1913">
        <f>IF(SUM($D23)=0,"NA",H23/$D23)</f>
        <v>1.3963534645938041</v>
      </c>
      <c r="F23" s="1913" t="str">
        <f>IFERROR(IF(SUM($D23)=0,"NA",I23/$D23),"NA")</f>
        <v>NA</v>
      </c>
      <c r="G23" s="1913" t="str">
        <f>IFERROR(IF(SUM($D23)=0,"NA",J23/$D23),"NA")</f>
        <v>NA</v>
      </c>
      <c r="H23" s="691">
        <v>656.46402628436442</v>
      </c>
      <c r="I23" s="691" t="s">
        <v>2146</v>
      </c>
      <c r="J23" s="691" t="s">
        <v>2146</v>
      </c>
      <c r="K23" s="3180">
        <v>-96.469457147222698</v>
      </c>
      <c r="L23" s="691" t="s">
        <v>2146</v>
      </c>
      <c r="M23" s="691" t="s">
        <v>2146</v>
      </c>
      <c r="N23" s="2911" t="s">
        <v>2146</v>
      </c>
    </row>
    <row r="24" spans="2:14" ht="18" customHeight="1" x14ac:dyDescent="0.2">
      <c r="B24" s="287" t="s">
        <v>500</v>
      </c>
      <c r="C24" s="484" t="s">
        <v>220</v>
      </c>
      <c r="D24" s="691">
        <v>242.61199999999999</v>
      </c>
      <c r="E24" s="2108"/>
      <c r="F24" s="2108"/>
      <c r="G24" s="1913">
        <f>IF(SUM($D24)=0,"NA",J24/$D24)</f>
        <v>1.1384843330090844E-2</v>
      </c>
      <c r="H24" s="2108"/>
      <c r="I24" s="2108"/>
      <c r="J24" s="691">
        <v>2.7620996099999999</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405.36083384653415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t="str">
        <f>H46</f>
        <v>NO</v>
      </c>
      <c r="I35" s="3196">
        <f>I46</f>
        <v>0.40365533799999997</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t="str">
        <f>IF(SUM(H44:H45)=0,"NO",SUM(H44:H45))</f>
        <v>NO</v>
      </c>
      <c r="I42" s="3198">
        <f>IF(SUM(I44:I45)=0,"NO",SUM(I44:I45))</f>
        <v>0.40365533799999997</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t="str">
        <f>H46</f>
        <v>NO</v>
      </c>
      <c r="I45" s="3198">
        <f>I46</f>
        <v>0.40365533799999997</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t="s">
        <v>2146</v>
      </c>
      <c r="I46" s="691">
        <v>0.40365533799999997</v>
      </c>
      <c r="J46" s="628"/>
      <c r="K46" s="691" t="s">
        <v>2146</v>
      </c>
      <c r="L46" s="691" t="s">
        <v>2146</v>
      </c>
      <c r="M46" s="691" t="s">
        <v>2146</v>
      </c>
      <c r="N46" s="1838"/>
    </row>
    <row r="47" spans="2:16" ht="18" customHeight="1" x14ac:dyDescent="0.2">
      <c r="B47" s="287" t="s">
        <v>520</v>
      </c>
      <c r="C47" s="2104"/>
      <c r="D47" s="628"/>
      <c r="E47" s="628"/>
      <c r="F47" s="628"/>
      <c r="G47" s="628"/>
      <c r="H47" s="3198">
        <f>H50</f>
        <v>95.721068641988211</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95.721068641988211</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95.721068641988211</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11331.682904243107</v>
      </c>
      <c r="I52" s="3192">
        <f>IF(SUM(I53,I62:I67)=0,"IE",SUM(I53,I62:I67))</f>
        <v>2.6000381736052973</v>
      </c>
      <c r="J52" s="1909">
        <f>J67</f>
        <v>7.2320964485920639E-2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1236</v>
      </c>
      <c r="E63" s="4130">
        <f>IF(SUM($D63)=0,"NA",H63/$D63)</f>
        <v>1.6664799557239487</v>
      </c>
      <c r="F63" s="1892"/>
      <c r="G63" s="2107"/>
      <c r="H63" s="691">
        <v>2059.7692252748006</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9271.9136789683071</v>
      </c>
      <c r="I67" s="3199">
        <f t="shared" ref="I67:N67" si="8">IF(SUM(I69:I70)=0,I70,SUM(I69:I70))</f>
        <v>2.6000381736052973</v>
      </c>
      <c r="J67" s="3199">
        <f t="shared" si="8"/>
        <v>7.2320964485920639E-2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9271.9136789683071</v>
      </c>
      <c r="I70" s="3095">
        <f t="shared" si="9"/>
        <v>2.6000381736052973</v>
      </c>
      <c r="J70" s="3095">
        <f t="shared" si="9"/>
        <v>7.2320964485920639E-2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9271.9136789683071</v>
      </c>
      <c r="I71" s="3123">
        <v>2.6000381736052973</v>
      </c>
      <c r="J71" s="3123">
        <v>7.2320964485920639E-2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257.74698899999999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479.38144329896915</v>
      </c>
      <c r="E73" s="4130">
        <f t="shared" ref="E73:G74" si="11">IF(SUM($D73)=0,"NA",H73/$D73)</f>
        <v>0.53766576199999994</v>
      </c>
      <c r="F73" s="276" t="s">
        <v>2147</v>
      </c>
      <c r="G73" s="276" t="s">
        <v>2147</v>
      </c>
      <c r="H73" s="3122">
        <v>257.74698899999999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269.391818181818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85.06805102123964</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85.06805102123964</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f t="shared" ref="G10:H12" si="0">G11</f>
        <v>96.2624</v>
      </c>
      <c r="H10" s="2612" t="str">
        <f t="shared" si="0"/>
        <v>NO</v>
      </c>
    </row>
    <row r="11" spans="2:8" ht="18" customHeight="1" x14ac:dyDescent="0.2">
      <c r="B11" s="169" t="s">
        <v>596</v>
      </c>
      <c r="C11" s="2507"/>
      <c r="D11" s="1825"/>
      <c r="E11" s="1826"/>
      <c r="F11" s="4322"/>
      <c r="G11" s="1913">
        <f t="shared" si="0"/>
        <v>96.2624</v>
      </c>
      <c r="H11" s="2611" t="str">
        <f t="shared" si="0"/>
        <v>NO</v>
      </c>
    </row>
    <row r="12" spans="2:8" ht="18" customHeight="1" x14ac:dyDescent="0.2">
      <c r="B12" s="1169" t="s">
        <v>597</v>
      </c>
      <c r="C12" s="2507"/>
      <c r="D12" s="1825"/>
      <c r="E12" s="1826"/>
      <c r="F12" s="4322"/>
      <c r="G12" s="1913">
        <f t="shared" si="0"/>
        <v>96.2624</v>
      </c>
      <c r="H12" s="2611" t="str">
        <f t="shared" si="0"/>
        <v>NO</v>
      </c>
    </row>
    <row r="13" spans="2:8" ht="18" customHeight="1" x14ac:dyDescent="0.2">
      <c r="B13" s="1170" t="s">
        <v>622</v>
      </c>
      <c r="C13" s="2620" t="s">
        <v>559</v>
      </c>
      <c r="D13" s="73" t="s">
        <v>624</v>
      </c>
      <c r="E13" s="2608">
        <v>2406.56</v>
      </c>
      <c r="F13" s="4323">
        <f>IF(SUM(E13)=0,"NA",SUM(G13)*1000/E13)</f>
        <v>40</v>
      </c>
      <c r="G13" s="691">
        <v>96.2624</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580.48806357502792</v>
      </c>
      <c r="H22" s="2611" t="str">
        <f>H23</f>
        <v>NO</v>
      </c>
    </row>
    <row r="23" spans="2:8" ht="18" customHeight="1" x14ac:dyDescent="0.2">
      <c r="B23" s="169" t="s">
        <v>636</v>
      </c>
      <c r="C23" s="2507"/>
      <c r="D23" s="76"/>
      <c r="E23" s="76"/>
      <c r="F23" s="4322"/>
      <c r="G23" s="3188">
        <f>IF(SUM(G24,G27)=0,"NO",SUM(G24,G27))</f>
        <v>580.48806357502792</v>
      </c>
      <c r="H23" s="2611" t="str">
        <f>H24</f>
        <v>NO</v>
      </c>
    </row>
    <row r="24" spans="2:8" ht="18" customHeight="1" x14ac:dyDescent="0.2">
      <c r="B24" s="171" t="s">
        <v>637</v>
      </c>
      <c r="C24" s="2507"/>
      <c r="D24" s="76"/>
      <c r="E24" s="76"/>
      <c r="F24" s="4322"/>
      <c r="G24" s="3188">
        <f>IF(SUM(G25:G26)=0,"NO",SUM(G25:G26))</f>
        <v>580.48806357502792</v>
      </c>
      <c r="H24" s="2611" t="str">
        <f>H25</f>
        <v>NO</v>
      </c>
    </row>
    <row r="25" spans="2:8" ht="18" customHeight="1" x14ac:dyDescent="0.25">
      <c r="B25" s="2609" t="s">
        <v>1741</v>
      </c>
      <c r="C25" s="2620" t="s">
        <v>1741</v>
      </c>
      <c r="D25" s="73" t="s">
        <v>638</v>
      </c>
      <c r="E25" s="691">
        <v>1236000</v>
      </c>
      <c r="F25" s="4320">
        <f t="shared" ref="F25:F28" si="2">IF(SUM(E25)=0,"NA",G25*1000/E25)</f>
        <v>0.41566771654299994</v>
      </c>
      <c r="G25" s="691">
        <v>513.76529764714792</v>
      </c>
      <c r="H25" s="2610" t="s">
        <v>2146</v>
      </c>
    </row>
    <row r="26" spans="2:8" ht="18" customHeight="1" x14ac:dyDescent="0.25">
      <c r="B26" s="2609" t="s">
        <v>1742</v>
      </c>
      <c r="C26" s="2620" t="s">
        <v>1742</v>
      </c>
      <c r="D26" s="73" t="s">
        <v>638</v>
      </c>
      <c r="E26" s="691">
        <v>1236000</v>
      </c>
      <c r="F26" s="4320">
        <f t="shared" si="2"/>
        <v>5.3982820329999986E-2</v>
      </c>
      <c r="G26" s="691">
        <v>66.72276592787999</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t="str">
        <f>IF(SUM(J11,J90,J117,J130,J146,J159)=0,"NO",SUM(J11,J90,J117,J130,J146,J159))</f>
        <v>NO</v>
      </c>
      <c r="K10" s="3224" t="str">
        <f>IF(SUM(K11,K90,K117,K130,K146,K159)=0,"NO",SUM(K11,K90,K117,K130,K146,K159))</f>
        <v>NO</v>
      </c>
      <c r="L10" s="3225" t="str">
        <f>IF(SUM(L11,L90,L117,L130,L146,L159)=0,"NO",SUM(L11,L90,L117,L130,L146,L159))</f>
        <v>NO</v>
      </c>
      <c r="M10" s="3498" t="str">
        <f>IF(SUM(M11,M90,M117,M130,M146,M159)=0,"NO",SUM(M11,M90,M117,M130,M146,M159))</f>
        <v>NO</v>
      </c>
    </row>
    <row r="11" spans="1:13" ht="18" customHeight="1" x14ac:dyDescent="0.2">
      <c r="B11" s="147" t="s">
        <v>667</v>
      </c>
      <c r="C11" s="2508"/>
      <c r="D11" s="2108"/>
      <c r="E11" s="2108"/>
      <c r="F11" s="2108"/>
      <c r="G11" s="2108"/>
      <c r="H11" s="2108"/>
      <c r="I11" s="2108"/>
      <c r="J11" s="3103" t="str">
        <f>IF(SUM(J12,J25,J38,J51,J64,J77)=0,"NO",SUM(J12,J25,J38,J51,J64,J77))</f>
        <v>NO</v>
      </c>
      <c r="K11" s="3103" t="str">
        <f t="shared" ref="K11:M11" si="0">IF(SUM(K12,K25,K38,K51,K64,K77)=0,"NO",SUM(K12,K25,K38,K51,K64,K77))</f>
        <v>NO</v>
      </c>
      <c r="L11" s="3103" t="str">
        <f t="shared" si="0"/>
        <v>NO</v>
      </c>
      <c r="M11" s="3226" t="str">
        <f t="shared" si="0"/>
        <v>NO</v>
      </c>
    </row>
    <row r="12" spans="1:13" ht="18" customHeight="1" x14ac:dyDescent="0.2">
      <c r="B12" s="104" t="s">
        <v>668</v>
      </c>
      <c r="C12" s="2508"/>
      <c r="D12" s="2108"/>
      <c r="E12" s="2108"/>
      <c r="F12" s="2108"/>
      <c r="G12" s="2108"/>
      <c r="H12" s="2108"/>
      <c r="I12" s="2108"/>
      <c r="J12" s="3103" t="str">
        <f>IF(SUM(J13:J24)=0,"NO",SUM(J13:J24))</f>
        <v>NO</v>
      </c>
      <c r="K12" s="3103" t="str">
        <f>IF(SUM(K13:K24)=0,"NO",SUM(K13:K24))</f>
        <v>NO</v>
      </c>
      <c r="L12" s="3103" t="str">
        <f>IF(SUM(L13:L24)=0,"NO",SUM(L13:L24))</f>
        <v>NO</v>
      </c>
      <c r="M12" s="3226" t="str">
        <f>IF(SUM(M13:M24)=0,"NO",SUM(M13:M24))</f>
        <v>NO</v>
      </c>
    </row>
    <row r="13" spans="1:13" ht="18" customHeight="1" x14ac:dyDescent="0.2">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
      <c r="B14" s="2616" t="s">
        <v>560</v>
      </c>
      <c r="C14" s="2618" t="s">
        <v>560</v>
      </c>
      <c r="D14" s="3227" t="s">
        <v>2146</v>
      </c>
      <c r="E14" s="3227" t="s">
        <v>2146</v>
      </c>
      <c r="F14" s="3227" t="s">
        <v>2146</v>
      </c>
      <c r="G14" s="3103" t="str">
        <f t="shared" ref="G14:G24" si="1">IF(SUM(D14)=0,"NA",J14/D14)</f>
        <v>NA</v>
      </c>
      <c r="H14" s="3103" t="str">
        <f t="shared" ref="H14:H24" si="2">IF(SUM(E14)=0,"NA",K14/E14)</f>
        <v>NA</v>
      </c>
      <c r="I14" s="3103" t="str">
        <f t="shared" ref="I14:I78" si="3">IF(SUM(F14)=0,"NA",(SUM(L14:M14))/F14)</f>
        <v>NA</v>
      </c>
      <c r="J14" s="3227" t="s">
        <v>2146</v>
      </c>
      <c r="K14" s="3227" t="s">
        <v>2146</v>
      </c>
      <c r="L14" s="3227" t="s">
        <v>2146</v>
      </c>
      <c r="M14" s="3497" t="s">
        <v>2146</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t="s">
        <v>2146</v>
      </c>
      <c r="E16" s="3227" t="s">
        <v>2146</v>
      </c>
      <c r="F16" s="3227" t="s">
        <v>2146</v>
      </c>
      <c r="G16" s="3103" t="str">
        <f t="shared" si="1"/>
        <v>NA</v>
      </c>
      <c r="H16" s="3103" t="str">
        <f t="shared" si="2"/>
        <v>NA</v>
      </c>
      <c r="I16" s="3103" t="str">
        <f t="shared" si="3"/>
        <v>NA</v>
      </c>
      <c r="J16" s="3227" t="s">
        <v>2146</v>
      </c>
      <c r="K16" s="3227" t="s">
        <v>2146</v>
      </c>
      <c r="L16" s="3227" t="s">
        <v>2146</v>
      </c>
      <c r="M16" s="3497" t="s">
        <v>2146</v>
      </c>
    </row>
    <row r="17" spans="2:13" ht="18" customHeight="1" x14ac:dyDescent="0.2">
      <c r="B17" s="2616" t="s">
        <v>564</v>
      </c>
      <c r="C17" s="2618" t="s">
        <v>564</v>
      </c>
      <c r="D17" s="3227" t="s">
        <v>2146</v>
      </c>
      <c r="E17" s="3227" t="s">
        <v>2146</v>
      </c>
      <c r="F17" s="3227" t="s">
        <v>2146</v>
      </c>
      <c r="G17" s="3103" t="str">
        <f t="shared" si="1"/>
        <v>NA</v>
      </c>
      <c r="H17" s="3103" t="str">
        <f t="shared" si="2"/>
        <v>NA</v>
      </c>
      <c r="I17" s="3103" t="str">
        <f t="shared" si="3"/>
        <v>NA</v>
      </c>
      <c r="J17" s="3227" t="s">
        <v>2146</v>
      </c>
      <c r="K17" s="3227" t="s">
        <v>2146</v>
      </c>
      <c r="L17" s="3227" t="s">
        <v>2146</v>
      </c>
      <c r="M17" s="3497" t="s">
        <v>2146</v>
      </c>
    </row>
    <row r="18" spans="2:13" ht="18" customHeight="1" x14ac:dyDescent="0.2">
      <c r="B18" s="2616" t="s">
        <v>565</v>
      </c>
      <c r="C18" s="2618" t="s">
        <v>565</v>
      </c>
      <c r="D18" s="3227" t="s">
        <v>2146</v>
      </c>
      <c r="E18" s="3227" t="s">
        <v>2146</v>
      </c>
      <c r="F18" s="3227" t="s">
        <v>2146</v>
      </c>
      <c r="G18" s="3103" t="str">
        <f t="shared" si="1"/>
        <v>NA</v>
      </c>
      <c r="H18" s="3103" t="str">
        <f t="shared" si="2"/>
        <v>NA</v>
      </c>
      <c r="I18" s="3103" t="str">
        <f t="shared" si="3"/>
        <v>NA</v>
      </c>
      <c r="J18" s="3227" t="s">
        <v>2146</v>
      </c>
      <c r="K18" s="3227" t="s">
        <v>2146</v>
      </c>
      <c r="L18" s="3227" t="s">
        <v>2146</v>
      </c>
      <c r="M18" s="3497" t="s">
        <v>2146</v>
      </c>
    </row>
    <row r="19" spans="2:13" ht="18" customHeight="1" x14ac:dyDescent="0.2">
      <c r="B19" s="2616" t="s">
        <v>567</v>
      </c>
      <c r="C19" s="2618" t="s">
        <v>567</v>
      </c>
      <c r="D19" s="3227" t="s">
        <v>2146</v>
      </c>
      <c r="E19" s="3227" t="s">
        <v>2146</v>
      </c>
      <c r="F19" s="3227" t="s">
        <v>2146</v>
      </c>
      <c r="G19" s="3103" t="str">
        <f t="shared" si="1"/>
        <v>NA</v>
      </c>
      <c r="H19" s="3103" t="str">
        <f t="shared" si="2"/>
        <v>NA</v>
      </c>
      <c r="I19" s="3103" t="str">
        <f t="shared" si="3"/>
        <v>NA</v>
      </c>
      <c r="J19" s="3227" t="s">
        <v>2146</v>
      </c>
      <c r="K19" s="3227" t="s">
        <v>2146</v>
      </c>
      <c r="L19" s="3227" t="s">
        <v>2146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t="s">
        <v>2146</v>
      </c>
      <c r="E21" s="3227" t="s">
        <v>2146</v>
      </c>
      <c r="F21" s="3227" t="s">
        <v>2146</v>
      </c>
      <c r="G21" s="3103" t="str">
        <f t="shared" si="1"/>
        <v>NA</v>
      </c>
      <c r="H21" s="3103" t="str">
        <f t="shared" si="2"/>
        <v>NA</v>
      </c>
      <c r="I21" s="3103" t="str">
        <f t="shared" si="3"/>
        <v>NA</v>
      </c>
      <c r="J21" s="3227" t="s">
        <v>2146</v>
      </c>
      <c r="K21" s="3227" t="s">
        <v>2146</v>
      </c>
      <c r="L21" s="3227" t="s">
        <v>2146</v>
      </c>
      <c r="M21" s="3497" t="s">
        <v>2146</v>
      </c>
    </row>
    <row r="22" spans="2:13" ht="18" customHeight="1" x14ac:dyDescent="0.2">
      <c r="B22" s="2616" t="s">
        <v>574</v>
      </c>
      <c r="C22" s="2618" t="s">
        <v>574</v>
      </c>
      <c r="D22" s="3227" t="s">
        <v>2146</v>
      </c>
      <c r="E22" s="3227" t="s">
        <v>2146</v>
      </c>
      <c r="F22" s="3227" t="s">
        <v>2146</v>
      </c>
      <c r="G22" s="3103" t="str">
        <f t="shared" si="1"/>
        <v>NA</v>
      </c>
      <c r="H22" s="3103" t="str">
        <f t="shared" si="2"/>
        <v>NA</v>
      </c>
      <c r="I22" s="3103" t="str">
        <f t="shared" si="3"/>
        <v>NA</v>
      </c>
      <c r="J22" s="3227" t="s">
        <v>2146</v>
      </c>
      <c r="K22" s="3227" t="s">
        <v>2146</v>
      </c>
      <c r="L22" s="3227" t="s">
        <v>2146</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t="str">
        <f>IF(SUM(J26:J37)=0,"NO",SUM(J26:J37))</f>
        <v>NO</v>
      </c>
      <c r="K25" s="3103" t="str">
        <f>IF(SUM(K26:K37)=0,"NO",SUM(K26:K37))</f>
        <v>NO</v>
      </c>
      <c r="L25" s="3103" t="str">
        <f>IF(SUM(L26:L37)=0,"NO",SUM(L26:L37))</f>
        <v>NO</v>
      </c>
      <c r="M25" s="3226" t="str">
        <f>IF(SUM(M26:M37)=0,"NO",SUM(M26:M37))</f>
        <v>NO</v>
      </c>
    </row>
    <row r="26" spans="2:13" ht="18" customHeight="1" x14ac:dyDescent="0.2">
      <c r="B26" s="2616" t="s">
        <v>559</v>
      </c>
      <c r="C26" s="2618" t="s">
        <v>559</v>
      </c>
      <c r="D26" s="3227" t="s">
        <v>2146</v>
      </c>
      <c r="E26" s="3227" t="s">
        <v>2146</v>
      </c>
      <c r="F26" s="3227" t="s">
        <v>2146</v>
      </c>
      <c r="G26" s="3103" t="str">
        <f>IF(SUM(D26)=0,"NA",J26/D26)</f>
        <v>NA</v>
      </c>
      <c r="H26" s="3103" t="str">
        <f>IF(SUM(E26)=0,"NA",K26/E26)</f>
        <v>NA</v>
      </c>
      <c r="I26" s="3103" t="str">
        <f t="shared" si="3"/>
        <v>NA</v>
      </c>
      <c r="J26" s="3227" t="s">
        <v>2146</v>
      </c>
      <c r="K26" s="3227" t="s">
        <v>2146</v>
      </c>
      <c r="L26" s="3227" t="s">
        <v>2146</v>
      </c>
      <c r="M26" s="3497" t="s">
        <v>2146</v>
      </c>
    </row>
    <row r="27" spans="2:13" ht="18" customHeight="1" x14ac:dyDescent="0.2">
      <c r="B27" s="2616" t="s">
        <v>560</v>
      </c>
      <c r="C27" s="2618" t="s">
        <v>560</v>
      </c>
      <c r="D27" s="3227" t="s">
        <v>2146</v>
      </c>
      <c r="E27" s="3227" t="s">
        <v>2146</v>
      </c>
      <c r="F27" s="3227" t="s">
        <v>2146</v>
      </c>
      <c r="G27" s="3103" t="str">
        <f t="shared" ref="G27:G37" si="6">IF(SUM(D27)=0,"NA",J27/D27)</f>
        <v>NA</v>
      </c>
      <c r="H27" s="3103" t="str">
        <f t="shared" ref="H27:H37" si="7">IF(SUM(E27)=0,"NA",K27/E27)</f>
        <v>NA</v>
      </c>
      <c r="I27" s="3103" t="str">
        <f t="shared" si="3"/>
        <v>NA</v>
      </c>
      <c r="J27" s="3227" t="s">
        <v>2146</v>
      </c>
      <c r="K27" s="3227" t="s">
        <v>2146</v>
      </c>
      <c r="L27" s="3227" t="s">
        <v>2146</v>
      </c>
      <c r="M27" s="3497" t="s">
        <v>2146</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t="s">
        <v>2146</v>
      </c>
      <c r="E29" s="3227" t="s">
        <v>2146</v>
      </c>
      <c r="F29" s="3227" t="s">
        <v>2146</v>
      </c>
      <c r="G29" s="3103" t="str">
        <f t="shared" si="6"/>
        <v>NA</v>
      </c>
      <c r="H29" s="3103" t="str">
        <f t="shared" si="7"/>
        <v>NA</v>
      </c>
      <c r="I29" s="3103" t="str">
        <f t="shared" si="3"/>
        <v>NA</v>
      </c>
      <c r="J29" s="3227" t="s">
        <v>2146</v>
      </c>
      <c r="K29" s="3227" t="s">
        <v>2146</v>
      </c>
      <c r="L29" s="3227" t="s">
        <v>2146</v>
      </c>
      <c r="M29" s="3497" t="s">
        <v>2146</v>
      </c>
    </row>
    <row r="30" spans="2:13" ht="18" customHeight="1" x14ac:dyDescent="0.2">
      <c r="B30" s="2616" t="s">
        <v>564</v>
      </c>
      <c r="C30" s="2618" t="s">
        <v>564</v>
      </c>
      <c r="D30" s="3227" t="s">
        <v>2146</v>
      </c>
      <c r="E30" s="3227" t="s">
        <v>2146</v>
      </c>
      <c r="F30" s="3227" t="s">
        <v>2146</v>
      </c>
      <c r="G30" s="3103" t="str">
        <f t="shared" si="6"/>
        <v>NA</v>
      </c>
      <c r="H30" s="3103" t="str">
        <f t="shared" si="7"/>
        <v>NA</v>
      </c>
      <c r="I30" s="3103" t="str">
        <f t="shared" si="3"/>
        <v>NA</v>
      </c>
      <c r="J30" s="3227" t="s">
        <v>2146</v>
      </c>
      <c r="K30" s="3227" t="s">
        <v>2146</v>
      </c>
      <c r="L30" s="3227" t="s">
        <v>2146</v>
      </c>
      <c r="M30" s="3497" t="s">
        <v>2146</v>
      </c>
    </row>
    <row r="31" spans="2:13" ht="18" customHeight="1" x14ac:dyDescent="0.2">
      <c r="B31" s="2616" t="s">
        <v>565</v>
      </c>
      <c r="C31" s="2618" t="s">
        <v>565</v>
      </c>
      <c r="D31" s="3227" t="s">
        <v>2146</v>
      </c>
      <c r="E31" s="3227" t="s">
        <v>2146</v>
      </c>
      <c r="F31" s="3227" t="s">
        <v>2146</v>
      </c>
      <c r="G31" s="3103" t="str">
        <f t="shared" si="6"/>
        <v>NA</v>
      </c>
      <c r="H31" s="3103" t="str">
        <f t="shared" si="7"/>
        <v>NA</v>
      </c>
      <c r="I31" s="3103" t="str">
        <f t="shared" si="3"/>
        <v>NA</v>
      </c>
      <c r="J31" s="3227" t="s">
        <v>2146</v>
      </c>
      <c r="K31" s="3227" t="s">
        <v>2146</v>
      </c>
      <c r="L31" s="3227" t="s">
        <v>2146</v>
      </c>
      <c r="M31" s="3497" t="s">
        <v>2146</v>
      </c>
    </row>
    <row r="32" spans="2:13" ht="18" customHeight="1" x14ac:dyDescent="0.2">
      <c r="B32" s="2616" t="s">
        <v>567</v>
      </c>
      <c r="C32" s="2618" t="s">
        <v>567</v>
      </c>
      <c r="D32" s="3227" t="s">
        <v>2146</v>
      </c>
      <c r="E32" s="3227" t="s">
        <v>2146</v>
      </c>
      <c r="F32" s="3227" t="s">
        <v>2146</v>
      </c>
      <c r="G32" s="3103" t="str">
        <f t="shared" si="6"/>
        <v>NA</v>
      </c>
      <c r="H32" s="3103" t="str">
        <f t="shared" si="7"/>
        <v>NA</v>
      </c>
      <c r="I32" s="3103" t="str">
        <f t="shared" si="3"/>
        <v>NA</v>
      </c>
      <c r="J32" s="3227" t="s">
        <v>2146</v>
      </c>
      <c r="K32" s="3227" t="s">
        <v>2146</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t="s">
        <v>2146</v>
      </c>
      <c r="E34" s="3227" t="s">
        <v>2146</v>
      </c>
      <c r="F34" s="3227" t="s">
        <v>2146</v>
      </c>
      <c r="G34" s="3103" t="str">
        <f t="shared" si="6"/>
        <v>NA</v>
      </c>
      <c r="H34" s="3103" t="str">
        <f t="shared" si="7"/>
        <v>NA</v>
      </c>
      <c r="I34" s="3103" t="str">
        <f t="shared" si="3"/>
        <v>NA</v>
      </c>
      <c r="J34" s="3227" t="s">
        <v>2146</v>
      </c>
      <c r="K34" s="3227" t="s">
        <v>2146</v>
      </c>
      <c r="L34" s="3227" t="s">
        <v>2146</v>
      </c>
      <c r="M34" s="3497" t="s">
        <v>2146</v>
      </c>
    </row>
    <row r="35" spans="2:13" ht="18" customHeight="1" x14ac:dyDescent="0.2">
      <c r="B35" s="2616" t="s">
        <v>574</v>
      </c>
      <c r="C35" s="2618" t="s">
        <v>574</v>
      </c>
      <c r="D35" s="3227" t="s">
        <v>2146</v>
      </c>
      <c r="E35" s="3227" t="s">
        <v>2146</v>
      </c>
      <c r="F35" s="3227" t="s">
        <v>2146</v>
      </c>
      <c r="G35" s="3103" t="str">
        <f t="shared" si="6"/>
        <v>NA</v>
      </c>
      <c r="H35" s="3103" t="str">
        <f t="shared" si="7"/>
        <v>NA</v>
      </c>
      <c r="I35" s="3103" t="str">
        <f t="shared" si="3"/>
        <v>NA</v>
      </c>
      <c r="J35" s="3227" t="s">
        <v>2146</v>
      </c>
      <c r="K35" s="3227" t="s">
        <v>2146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
      <c r="B40" s="2616" t="s">
        <v>560</v>
      </c>
      <c r="C40" s="2618" t="s">
        <v>560</v>
      </c>
      <c r="D40" s="3227" t="str">
        <f t="shared" ref="D40:F50" si="11">IF(D14="NO","NO","IE")</f>
        <v>NO</v>
      </c>
      <c r="E40" s="3227" t="str">
        <f t="shared" si="11"/>
        <v>NO</v>
      </c>
      <c r="F40" s="3227" t="str">
        <f t="shared" si="11"/>
        <v>NO</v>
      </c>
      <c r="G40" s="3103" t="str">
        <f t="shared" ref="G40:G50" si="12">IF(SUM(D40)=0,"NA",J40/D40)</f>
        <v>NA</v>
      </c>
      <c r="H40" s="3103" t="str">
        <f t="shared" ref="H40:H50" si="13">IF(SUM(E40)=0,"NA",K40/E40)</f>
        <v>NA</v>
      </c>
      <c r="I40" s="3103" t="str">
        <f t="shared" si="3"/>
        <v>NA</v>
      </c>
      <c r="J40" s="3227" t="str">
        <f t="shared" ref="J40:L40" si="14">IF(J14="NO","NO","IE")</f>
        <v>NO</v>
      </c>
      <c r="K40" s="3227" t="str">
        <f t="shared" si="14"/>
        <v>NO</v>
      </c>
      <c r="L40" s="3227" t="str">
        <f t="shared" si="14"/>
        <v>NO</v>
      </c>
      <c r="M40" s="3497" t="str">
        <f t="shared" ref="M40" si="15">IF(M14="NO","NO","IE")</f>
        <v>NO</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NO</v>
      </c>
      <c r="E42" s="3227" t="str">
        <f t="shared" si="11"/>
        <v>NO</v>
      </c>
      <c r="F42" s="3227" t="str">
        <f t="shared" si="11"/>
        <v>NO</v>
      </c>
      <c r="G42" s="3103" t="str">
        <f t="shared" si="12"/>
        <v>NA</v>
      </c>
      <c r="H42" s="3103" t="str">
        <f t="shared" si="13"/>
        <v>NA</v>
      </c>
      <c r="I42" s="3103" t="str">
        <f t="shared" si="3"/>
        <v>NA</v>
      </c>
      <c r="J42" s="3227" t="str">
        <f t="shared" ref="J42:L42" si="18">IF(J16="NO","NO","IE")</f>
        <v>NO</v>
      </c>
      <c r="K42" s="3227" t="str">
        <f t="shared" si="18"/>
        <v>NO</v>
      </c>
      <c r="L42" s="3227" t="str">
        <f t="shared" si="18"/>
        <v>NO</v>
      </c>
      <c r="M42" s="3497" t="str">
        <f t="shared" ref="M42" si="19">IF(M16="NO","NO","IE")</f>
        <v>NO</v>
      </c>
    </row>
    <row r="43" spans="2:13" ht="18" customHeight="1" x14ac:dyDescent="0.2">
      <c r="B43" s="2616" t="s">
        <v>564</v>
      </c>
      <c r="C43" s="2618" t="s">
        <v>564</v>
      </c>
      <c r="D43" s="3227" t="str">
        <f t="shared" si="11"/>
        <v>NO</v>
      </c>
      <c r="E43" s="3227" t="str">
        <f t="shared" si="11"/>
        <v>NO</v>
      </c>
      <c r="F43" s="3227" t="str">
        <f t="shared" si="11"/>
        <v>NO</v>
      </c>
      <c r="G43" s="3103" t="str">
        <f t="shared" si="12"/>
        <v>NA</v>
      </c>
      <c r="H43" s="3103" t="str">
        <f t="shared" si="13"/>
        <v>NA</v>
      </c>
      <c r="I43" s="3103" t="str">
        <f t="shared" si="3"/>
        <v>NA</v>
      </c>
      <c r="J43" s="3227" t="str">
        <f t="shared" ref="J43:L43" si="20">IF(J17="NO","NO","IE")</f>
        <v>NO</v>
      </c>
      <c r="K43" s="3227" t="str">
        <f t="shared" si="20"/>
        <v>NO</v>
      </c>
      <c r="L43" s="3227" t="str">
        <f t="shared" si="20"/>
        <v>NO</v>
      </c>
      <c r="M43" s="3497" t="str">
        <f t="shared" ref="M43" si="21">IF(M17="NO","NO","IE")</f>
        <v>NO</v>
      </c>
    </row>
    <row r="44" spans="2:13" ht="18" customHeight="1" x14ac:dyDescent="0.2">
      <c r="B44" s="2616" t="s">
        <v>565</v>
      </c>
      <c r="C44" s="2618" t="s">
        <v>565</v>
      </c>
      <c r="D44" s="3227" t="str">
        <f t="shared" si="11"/>
        <v>NO</v>
      </c>
      <c r="E44" s="3227" t="str">
        <f t="shared" si="11"/>
        <v>NO</v>
      </c>
      <c r="F44" s="3227" t="str">
        <f t="shared" si="11"/>
        <v>NO</v>
      </c>
      <c r="G44" s="3103" t="str">
        <f t="shared" si="12"/>
        <v>NA</v>
      </c>
      <c r="H44" s="3103" t="str">
        <f t="shared" si="13"/>
        <v>NA</v>
      </c>
      <c r="I44" s="3103" t="str">
        <f t="shared" si="3"/>
        <v>NA</v>
      </c>
      <c r="J44" s="3227" t="str">
        <f t="shared" ref="J44:L44" si="22">IF(J18="NO","NO","IE")</f>
        <v>NO</v>
      </c>
      <c r="K44" s="3227" t="str">
        <f t="shared" si="22"/>
        <v>NO</v>
      </c>
      <c r="L44" s="3227" t="str">
        <f t="shared" si="22"/>
        <v>NO</v>
      </c>
      <c r="M44" s="3497" t="str">
        <f t="shared" ref="M44" si="23">IF(M18="NO","NO","IE")</f>
        <v>NO</v>
      </c>
    </row>
    <row r="45" spans="2:13" ht="18" customHeight="1" x14ac:dyDescent="0.2">
      <c r="B45" s="2616" t="s">
        <v>567</v>
      </c>
      <c r="C45" s="2618" t="s">
        <v>567</v>
      </c>
      <c r="D45" s="3227" t="str">
        <f t="shared" si="11"/>
        <v>NO</v>
      </c>
      <c r="E45" s="3227" t="str">
        <f t="shared" si="11"/>
        <v>NO</v>
      </c>
      <c r="F45" s="3227" t="str">
        <f t="shared" si="11"/>
        <v>NO</v>
      </c>
      <c r="G45" s="3103" t="str">
        <f t="shared" si="12"/>
        <v>NA</v>
      </c>
      <c r="H45" s="3103" t="str">
        <f t="shared" si="13"/>
        <v>NA</v>
      </c>
      <c r="I45" s="3103" t="str">
        <f t="shared" si="3"/>
        <v>NA</v>
      </c>
      <c r="J45" s="3227" t="str">
        <f t="shared" ref="J45:L45" si="24">IF(J19="NO","NO","IE")</f>
        <v>NO</v>
      </c>
      <c r="K45" s="3227" t="str">
        <f t="shared" si="24"/>
        <v>NO</v>
      </c>
      <c r="L45" s="3227" t="str">
        <f t="shared" si="24"/>
        <v>NO</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NO</v>
      </c>
      <c r="E47" s="3227" t="str">
        <f t="shared" si="11"/>
        <v>NO</v>
      </c>
      <c r="F47" s="3227" t="str">
        <f t="shared" si="11"/>
        <v>NO</v>
      </c>
      <c r="G47" s="3103" t="str">
        <f t="shared" si="12"/>
        <v>NA</v>
      </c>
      <c r="H47" s="3103" t="str">
        <f t="shared" si="13"/>
        <v>NA</v>
      </c>
      <c r="I47" s="3103" t="str">
        <f t="shared" si="3"/>
        <v>NA</v>
      </c>
      <c r="J47" s="3227" t="str">
        <f t="shared" ref="J47:L47" si="28">IF(J21="NO","NO","IE")</f>
        <v>NO</v>
      </c>
      <c r="K47" s="3227" t="str">
        <f t="shared" si="28"/>
        <v>NO</v>
      </c>
      <c r="L47" s="3227" t="str">
        <f t="shared" si="28"/>
        <v>NO</v>
      </c>
      <c r="M47" s="3497" t="str">
        <f t="shared" ref="M47" si="29">IF(M21="NO","NO","IE")</f>
        <v>NO</v>
      </c>
    </row>
    <row r="48" spans="2:13" ht="18" customHeight="1" x14ac:dyDescent="0.2">
      <c r="B48" s="2616" t="s">
        <v>574</v>
      </c>
      <c r="C48" s="2618" t="s">
        <v>574</v>
      </c>
      <c r="D48" s="3227" t="str">
        <f t="shared" si="11"/>
        <v>NO</v>
      </c>
      <c r="E48" s="3227" t="str">
        <f t="shared" si="11"/>
        <v>NO</v>
      </c>
      <c r="F48" s="3227" t="str">
        <f t="shared" si="11"/>
        <v>NO</v>
      </c>
      <c r="G48" s="3103" t="str">
        <f t="shared" si="12"/>
        <v>NA</v>
      </c>
      <c r="H48" s="3103" t="str">
        <f t="shared" si="13"/>
        <v>NA</v>
      </c>
      <c r="I48" s="3103" t="str">
        <f t="shared" si="3"/>
        <v>NA</v>
      </c>
      <c r="J48" s="3227" t="str">
        <f t="shared" ref="J48:L48" si="30">IF(J22="NO","NO","IE")</f>
        <v>NO</v>
      </c>
      <c r="K48" s="3227" t="str">
        <f t="shared" si="30"/>
        <v>NO</v>
      </c>
      <c r="L48" s="3227" t="str">
        <f t="shared" si="30"/>
        <v>NO</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t="str">
        <f>IF(SUM(J52:J63)=0,"NO",SUM(J52:J63))</f>
        <v>NO</v>
      </c>
      <c r="K51" s="3103" t="str">
        <f>IF(SUM(K52:K63)=0,"NO",SUM(K52:K63))</f>
        <v>NO</v>
      </c>
      <c r="L51" s="3103" t="str">
        <f>IF(SUM(L52:L63)=0,"NO",SUM(L52:L63))</f>
        <v>NO</v>
      </c>
      <c r="M51" s="3226" t="str">
        <f>IF(SUM(M52:M63)=0,"NO",SUM(M52:M63))</f>
        <v>NO</v>
      </c>
    </row>
    <row r="52" spans="2:13" ht="18" customHeight="1" x14ac:dyDescent="0.2">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
      <c r="B53" s="2616" t="s">
        <v>560</v>
      </c>
      <c r="C53" s="2618" t="s">
        <v>560</v>
      </c>
      <c r="D53" s="3227" t="s">
        <v>2146</v>
      </c>
      <c r="E53" s="3227" t="s">
        <v>2146</v>
      </c>
      <c r="F53" s="3227" t="s">
        <v>2146</v>
      </c>
      <c r="G53" s="3103" t="str">
        <f t="shared" ref="G53:G63" si="36">IF(SUM(D53)=0,"NA",J53/D53)</f>
        <v>NA</v>
      </c>
      <c r="H53" s="3103" t="str">
        <f t="shared" ref="H53:H63" si="37">IF(SUM(E53)=0,"NA",K53/E53)</f>
        <v>NA</v>
      </c>
      <c r="I53" s="3103" t="str">
        <f t="shared" si="3"/>
        <v>NA</v>
      </c>
      <c r="J53" s="3227" t="s">
        <v>2146</v>
      </c>
      <c r="K53" s="3227" t="s">
        <v>2146</v>
      </c>
      <c r="L53" s="3227" t="s">
        <v>2146</v>
      </c>
      <c r="M53" s="3497" t="s">
        <v>2146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t="s">
        <v>2146</v>
      </c>
      <c r="E55" s="3227" t="s">
        <v>2146</v>
      </c>
      <c r="F55" s="3227" t="s">
        <v>2146</v>
      </c>
      <c r="G55" s="3103" t="str">
        <f t="shared" si="36"/>
        <v>NA</v>
      </c>
      <c r="H55" s="3103" t="str">
        <f t="shared" si="37"/>
        <v>NA</v>
      </c>
      <c r="I55" s="3103" t="str">
        <f t="shared" si="3"/>
        <v>NA</v>
      </c>
      <c r="J55" s="3227" t="s">
        <v>2146</v>
      </c>
      <c r="K55" s="3227" t="s">
        <v>2146</v>
      </c>
      <c r="L55" s="3227" t="s">
        <v>2146</v>
      </c>
      <c r="M55" s="3497" t="s">
        <v>2146</v>
      </c>
    </row>
    <row r="56" spans="2:13" ht="18" customHeight="1" x14ac:dyDescent="0.2">
      <c r="B56" s="2616" t="s">
        <v>564</v>
      </c>
      <c r="C56" s="2618" t="s">
        <v>564</v>
      </c>
      <c r="D56" s="3227" t="s">
        <v>2146</v>
      </c>
      <c r="E56" s="3227" t="s">
        <v>2146</v>
      </c>
      <c r="F56" s="3227" t="s">
        <v>2146</v>
      </c>
      <c r="G56" s="3103" t="str">
        <f t="shared" si="36"/>
        <v>NA</v>
      </c>
      <c r="H56" s="3103" t="str">
        <f t="shared" si="37"/>
        <v>NA</v>
      </c>
      <c r="I56" s="3103" t="str">
        <f t="shared" si="3"/>
        <v>NA</v>
      </c>
      <c r="J56" s="3227" t="s">
        <v>2146</v>
      </c>
      <c r="K56" s="3227" t="s">
        <v>2146</v>
      </c>
      <c r="L56" s="3227" t="s">
        <v>2146</v>
      </c>
      <c r="M56" s="3497" t="s">
        <v>2146</v>
      </c>
    </row>
    <row r="57" spans="2:13" ht="18" customHeight="1" x14ac:dyDescent="0.2">
      <c r="B57" s="2616" t="s">
        <v>565</v>
      </c>
      <c r="C57" s="2618" t="s">
        <v>565</v>
      </c>
      <c r="D57" s="3227" t="s">
        <v>2146</v>
      </c>
      <c r="E57" s="3227" t="s">
        <v>2146</v>
      </c>
      <c r="F57" s="3227" t="s">
        <v>2146</v>
      </c>
      <c r="G57" s="3103" t="str">
        <f t="shared" si="36"/>
        <v>NA</v>
      </c>
      <c r="H57" s="3103" t="str">
        <f t="shared" si="37"/>
        <v>NA</v>
      </c>
      <c r="I57" s="3103" t="str">
        <f t="shared" si="3"/>
        <v>NA</v>
      </c>
      <c r="J57" s="3227" t="s">
        <v>2146</v>
      </c>
      <c r="K57" s="3227" t="s">
        <v>2146</v>
      </c>
      <c r="L57" s="3227" t="s">
        <v>2146</v>
      </c>
      <c r="M57" s="3497" t="s">
        <v>2146</v>
      </c>
    </row>
    <row r="58" spans="2:13" ht="18" customHeight="1" x14ac:dyDescent="0.2">
      <c r="B58" s="2616" t="s">
        <v>567</v>
      </c>
      <c r="C58" s="2618" t="s">
        <v>567</v>
      </c>
      <c r="D58" s="3227" t="s">
        <v>2146</v>
      </c>
      <c r="E58" s="3227" t="s">
        <v>2146</v>
      </c>
      <c r="F58" s="3227" t="s">
        <v>2146</v>
      </c>
      <c r="G58" s="3103" t="str">
        <f t="shared" si="36"/>
        <v>NA</v>
      </c>
      <c r="H58" s="3103" t="str">
        <f t="shared" si="37"/>
        <v>NA</v>
      </c>
      <c r="I58" s="3103" t="str">
        <f t="shared" si="3"/>
        <v>NA</v>
      </c>
      <c r="J58" s="3227" t="s">
        <v>2146</v>
      </c>
      <c r="K58" s="3227" t="s">
        <v>2146</v>
      </c>
      <c r="L58" s="3227" t="s">
        <v>2146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t="s">
        <v>2146</v>
      </c>
      <c r="E60" s="3227" t="s">
        <v>2146</v>
      </c>
      <c r="F60" s="3227" t="s">
        <v>2146</v>
      </c>
      <c r="G60" s="3103" t="str">
        <f t="shared" si="36"/>
        <v>NA</v>
      </c>
      <c r="H60" s="3103" t="str">
        <f t="shared" si="37"/>
        <v>NA</v>
      </c>
      <c r="I60" s="3103" t="str">
        <f t="shared" si="3"/>
        <v>NA</v>
      </c>
      <c r="J60" s="3227" t="s">
        <v>2146</v>
      </c>
      <c r="K60" s="3227" t="s">
        <v>2146</v>
      </c>
      <c r="L60" s="3227" t="s">
        <v>2146</v>
      </c>
      <c r="M60" s="3497" t="s">
        <v>2146</v>
      </c>
    </row>
    <row r="61" spans="2:13" ht="18" customHeight="1" x14ac:dyDescent="0.2">
      <c r="B61" s="2616" t="s">
        <v>574</v>
      </c>
      <c r="C61" s="2618" t="s">
        <v>574</v>
      </c>
      <c r="D61" s="3227" t="s">
        <v>2146</v>
      </c>
      <c r="E61" s="3227" t="s">
        <v>2146</v>
      </c>
      <c r="F61" s="3227" t="s">
        <v>2146</v>
      </c>
      <c r="G61" s="3103" t="str">
        <f t="shared" si="36"/>
        <v>NA</v>
      </c>
      <c r="H61" s="3103" t="str">
        <f t="shared" si="37"/>
        <v>NA</v>
      </c>
      <c r="I61" s="3103" t="str">
        <f t="shared" si="3"/>
        <v>NA</v>
      </c>
      <c r="J61" s="3227" t="s">
        <v>2146</v>
      </c>
      <c r="K61" s="3227" t="s">
        <v>2146</v>
      </c>
      <c r="L61" s="3227" t="s">
        <v>2146</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t="str">
        <f>IF(SUM(J65:J76)=0,"NO",SUM(J65:J76))</f>
        <v>NO</v>
      </c>
      <c r="K64" s="3103" t="str">
        <f>IF(SUM(K65:K76)=0,"NO",SUM(K65:K76))</f>
        <v>NO</v>
      </c>
      <c r="L64" s="3103" t="str">
        <f>IF(SUM(L65:L76)=0,"NO",SUM(L65:L76))</f>
        <v>NO</v>
      </c>
      <c r="M64" s="3226" t="str">
        <f>IF(SUM(M65:M76)=0,"NO",SUM(M65:M76))</f>
        <v>NO</v>
      </c>
    </row>
    <row r="65" spans="2:13" ht="18" customHeight="1" x14ac:dyDescent="0.2">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
      <c r="B66" s="2616" t="s">
        <v>560</v>
      </c>
      <c r="C66" s="2618" t="s">
        <v>560</v>
      </c>
      <c r="D66" s="3227" t="s">
        <v>2146</v>
      </c>
      <c r="E66" s="3227" t="s">
        <v>2146</v>
      </c>
      <c r="F66" s="3227" t="s">
        <v>2146</v>
      </c>
      <c r="G66" s="3103" t="str">
        <f t="shared" ref="G66:G76" si="38">IF(SUM(D66)=0,"NA",J66/D66)</f>
        <v>NA</v>
      </c>
      <c r="H66" s="3103" t="str">
        <f t="shared" ref="H66:H76" si="39">IF(SUM(E66)=0,"NA",K66/E66)</f>
        <v>NA</v>
      </c>
      <c r="I66" s="3103" t="str">
        <f t="shared" si="3"/>
        <v>NA</v>
      </c>
      <c r="J66" s="3227" t="s">
        <v>2146</v>
      </c>
      <c r="K66" s="3227" t="s">
        <v>2146</v>
      </c>
      <c r="L66" s="3227" t="s">
        <v>2146</v>
      </c>
      <c r="M66" s="3497" t="s">
        <v>2146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t="s">
        <v>2146</v>
      </c>
      <c r="E68" s="3227" t="s">
        <v>2146</v>
      </c>
      <c r="F68" s="3227" t="s">
        <v>2146</v>
      </c>
      <c r="G68" s="3103" t="str">
        <f t="shared" si="38"/>
        <v>NA</v>
      </c>
      <c r="H68" s="3103" t="str">
        <f t="shared" si="39"/>
        <v>NA</v>
      </c>
      <c r="I68" s="3103" t="str">
        <f t="shared" si="3"/>
        <v>NA</v>
      </c>
      <c r="J68" s="3227" t="s">
        <v>2146</v>
      </c>
      <c r="K68" s="3227" t="s">
        <v>2146</v>
      </c>
      <c r="L68" s="3227" t="s">
        <v>2146</v>
      </c>
      <c r="M68" s="3497" t="s">
        <v>2146</v>
      </c>
    </row>
    <row r="69" spans="2:13" ht="18" customHeight="1" x14ac:dyDescent="0.2">
      <c r="B69" s="2616" t="s">
        <v>564</v>
      </c>
      <c r="C69" s="2618" t="s">
        <v>564</v>
      </c>
      <c r="D69" s="3227" t="s">
        <v>2146</v>
      </c>
      <c r="E69" s="3227" t="s">
        <v>2146</v>
      </c>
      <c r="F69" s="3227" t="s">
        <v>2146</v>
      </c>
      <c r="G69" s="3103" t="str">
        <f t="shared" si="38"/>
        <v>NA</v>
      </c>
      <c r="H69" s="3103" t="str">
        <f t="shared" si="39"/>
        <v>NA</v>
      </c>
      <c r="I69" s="3103" t="str">
        <f t="shared" si="3"/>
        <v>NA</v>
      </c>
      <c r="J69" s="3227" t="s">
        <v>2146</v>
      </c>
      <c r="K69" s="3227" t="s">
        <v>2146</v>
      </c>
      <c r="L69" s="3227" t="s">
        <v>2146</v>
      </c>
      <c r="M69" s="3497" t="s">
        <v>2146</v>
      </c>
    </row>
    <row r="70" spans="2:13" ht="18" customHeight="1" x14ac:dyDescent="0.2">
      <c r="B70" s="2616" t="s">
        <v>565</v>
      </c>
      <c r="C70" s="2618" t="s">
        <v>565</v>
      </c>
      <c r="D70" s="3227" t="s">
        <v>2146</v>
      </c>
      <c r="E70" s="3227" t="s">
        <v>2146</v>
      </c>
      <c r="F70" s="3227" t="s">
        <v>2146</v>
      </c>
      <c r="G70" s="3103" t="str">
        <f t="shared" si="38"/>
        <v>NA</v>
      </c>
      <c r="H70" s="3103" t="str">
        <f t="shared" si="39"/>
        <v>NA</v>
      </c>
      <c r="I70" s="3103" t="str">
        <f t="shared" si="3"/>
        <v>NA</v>
      </c>
      <c r="J70" s="3227" t="s">
        <v>2146</v>
      </c>
      <c r="K70" s="3227" t="s">
        <v>2146</v>
      </c>
      <c r="L70" s="3227" t="s">
        <v>2146</v>
      </c>
      <c r="M70" s="3497" t="s">
        <v>2146</v>
      </c>
    </row>
    <row r="71" spans="2:13" ht="18" customHeight="1" x14ac:dyDescent="0.2">
      <c r="B71" s="2616" t="s">
        <v>567</v>
      </c>
      <c r="C71" s="2618" t="s">
        <v>567</v>
      </c>
      <c r="D71" s="3227" t="s">
        <v>2146</v>
      </c>
      <c r="E71" s="3227" t="s">
        <v>2146</v>
      </c>
      <c r="F71" s="3227" t="s">
        <v>2146</v>
      </c>
      <c r="G71" s="3103" t="str">
        <f t="shared" si="38"/>
        <v>NA</v>
      </c>
      <c r="H71" s="3103" t="str">
        <f t="shared" si="39"/>
        <v>NA</v>
      </c>
      <c r="I71" s="3103" t="str">
        <f t="shared" si="3"/>
        <v>NA</v>
      </c>
      <c r="J71" s="3227" t="s">
        <v>2146</v>
      </c>
      <c r="K71" s="3227" t="s">
        <v>2146</v>
      </c>
      <c r="L71" s="3227" t="s">
        <v>2146</v>
      </c>
      <c r="M71" s="3497" t="s">
        <v>2146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t="s">
        <v>2146</v>
      </c>
      <c r="E73" s="3227" t="s">
        <v>2146</v>
      </c>
      <c r="F73" s="3227" t="s">
        <v>2146</v>
      </c>
      <c r="G73" s="3103" t="str">
        <f t="shared" si="38"/>
        <v>NA</v>
      </c>
      <c r="H73" s="3103" t="str">
        <f t="shared" si="39"/>
        <v>NA</v>
      </c>
      <c r="I73" s="3103" t="str">
        <f t="shared" si="3"/>
        <v>NA</v>
      </c>
      <c r="J73" s="3227" t="s">
        <v>2146</v>
      </c>
      <c r="K73" s="3227" t="s">
        <v>2146</v>
      </c>
      <c r="L73" s="3227" t="s">
        <v>2146</v>
      </c>
      <c r="M73" s="3497" t="s">
        <v>2146</v>
      </c>
    </row>
    <row r="74" spans="2:13" ht="18" customHeight="1" x14ac:dyDescent="0.2">
      <c r="B74" s="2616" t="s">
        <v>574</v>
      </c>
      <c r="C74" s="2618" t="s">
        <v>574</v>
      </c>
      <c r="D74" s="3227" t="s">
        <v>2146</v>
      </c>
      <c r="E74" s="3227" t="s">
        <v>2146</v>
      </c>
      <c r="F74" s="3227" t="s">
        <v>2146</v>
      </c>
      <c r="G74" s="3103" t="str">
        <f t="shared" si="38"/>
        <v>NA</v>
      </c>
      <c r="H74" s="3103" t="str">
        <f t="shared" si="39"/>
        <v>NA</v>
      </c>
      <c r="I74" s="3103" t="str">
        <f t="shared" si="3"/>
        <v>NA</v>
      </c>
      <c r="J74" s="3227" t="s">
        <v>2146</v>
      </c>
      <c r="K74" s="3227" t="s">
        <v>2146</v>
      </c>
      <c r="L74" s="3227" t="s">
        <v>2146</v>
      </c>
      <c r="M74" s="3497" t="s">
        <v>2146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t="str">
        <f>IF(SUM(J78:J89)=0,"NO",SUM(J78:J89))</f>
        <v>NO</v>
      </c>
      <c r="K77" s="3103" t="str">
        <f>IF(SUM(K78:K89)=0,"NO",SUM(K78:K89))</f>
        <v>NO</v>
      </c>
      <c r="L77" s="3103" t="str">
        <f>IF(SUM(L78:L89)=0,"NO",SUM(L78:L89))</f>
        <v>NO</v>
      </c>
      <c r="M77" s="3226" t="str">
        <f>IF(SUM(M78:M89)=0,"NO",SUM(M78:M89))</f>
        <v>NO</v>
      </c>
    </row>
    <row r="78" spans="2:13" ht="18" customHeight="1" x14ac:dyDescent="0.2">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
      <c r="B79" s="2616" t="s">
        <v>560</v>
      </c>
      <c r="C79" s="2618" t="s">
        <v>560</v>
      </c>
      <c r="D79" s="3227" t="s">
        <v>2146</v>
      </c>
      <c r="E79" s="3227" t="s">
        <v>2146</v>
      </c>
      <c r="F79" s="3227" t="s">
        <v>2146</v>
      </c>
      <c r="G79" s="3103" t="str">
        <f t="shared" ref="G79:G89" si="40">IF(SUM(D79)=0,"NA",J79/D79)</f>
        <v>NA</v>
      </c>
      <c r="H79" s="3103" t="str">
        <f t="shared" ref="H79:H89" si="41">IF(SUM(E79)=0,"NA",K79/E79)</f>
        <v>NA</v>
      </c>
      <c r="I79" s="3103" t="str">
        <f t="shared" ref="I79:I89" si="42">IF(SUM(F79)=0,"NA",(SUM(L79:M79))/F79)</f>
        <v>NA</v>
      </c>
      <c r="J79" s="3227" t="s">
        <v>2146</v>
      </c>
      <c r="K79" s="3227" t="s">
        <v>2146</v>
      </c>
      <c r="L79" s="3227" t="s">
        <v>2146</v>
      </c>
      <c r="M79" s="3497" t="s">
        <v>2146</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t="s">
        <v>2146</v>
      </c>
      <c r="E81" s="3227" t="s">
        <v>2146</v>
      </c>
      <c r="F81" s="3227" t="s">
        <v>2146</v>
      </c>
      <c r="G81" s="3103" t="str">
        <f t="shared" si="40"/>
        <v>NA</v>
      </c>
      <c r="H81" s="3103" t="str">
        <f t="shared" si="41"/>
        <v>NA</v>
      </c>
      <c r="I81" s="3103" t="str">
        <f t="shared" si="42"/>
        <v>NA</v>
      </c>
      <c r="J81" s="3227" t="s">
        <v>2146</v>
      </c>
      <c r="K81" s="3227" t="s">
        <v>2146</v>
      </c>
      <c r="L81" s="3227" t="s">
        <v>2146</v>
      </c>
      <c r="M81" s="3497" t="s">
        <v>2146</v>
      </c>
    </row>
    <row r="82" spans="2:13" ht="18" customHeight="1" x14ac:dyDescent="0.2">
      <c r="B82" s="2616" t="s">
        <v>564</v>
      </c>
      <c r="C82" s="2618" t="s">
        <v>564</v>
      </c>
      <c r="D82" s="3227" t="s">
        <v>2146</v>
      </c>
      <c r="E82" s="3227" t="s">
        <v>2146</v>
      </c>
      <c r="F82" s="3227" t="s">
        <v>2146</v>
      </c>
      <c r="G82" s="3103" t="str">
        <f t="shared" si="40"/>
        <v>NA</v>
      </c>
      <c r="H82" s="3103" t="str">
        <f t="shared" si="41"/>
        <v>NA</v>
      </c>
      <c r="I82" s="3103" t="str">
        <f t="shared" si="42"/>
        <v>NA</v>
      </c>
      <c r="J82" s="3227" t="s">
        <v>2146</v>
      </c>
      <c r="K82" s="3227" t="s">
        <v>2146</v>
      </c>
      <c r="L82" s="3227" t="s">
        <v>2146</v>
      </c>
      <c r="M82" s="3497" t="s">
        <v>2146</v>
      </c>
    </row>
    <row r="83" spans="2:13" ht="18" customHeight="1" x14ac:dyDescent="0.2">
      <c r="B83" s="2616" t="s">
        <v>565</v>
      </c>
      <c r="C83" s="2618" t="s">
        <v>565</v>
      </c>
      <c r="D83" s="3227" t="s">
        <v>2146</v>
      </c>
      <c r="E83" s="3227" t="s">
        <v>2146</v>
      </c>
      <c r="F83" s="3227" t="s">
        <v>2146</v>
      </c>
      <c r="G83" s="3103" t="str">
        <f t="shared" si="40"/>
        <v>NA</v>
      </c>
      <c r="H83" s="3103" t="str">
        <f t="shared" si="41"/>
        <v>NA</v>
      </c>
      <c r="I83" s="3103" t="str">
        <f t="shared" si="42"/>
        <v>NA</v>
      </c>
      <c r="J83" s="3227" t="s">
        <v>2146</v>
      </c>
      <c r="K83" s="3227" t="s">
        <v>2146</v>
      </c>
      <c r="L83" s="3227" t="s">
        <v>2146</v>
      </c>
      <c r="M83" s="3497" t="s">
        <v>2146</v>
      </c>
    </row>
    <row r="84" spans="2:13" ht="18" customHeight="1" x14ac:dyDescent="0.2">
      <c r="B84" s="2616" t="s">
        <v>567</v>
      </c>
      <c r="C84" s="2618" t="s">
        <v>567</v>
      </c>
      <c r="D84" s="3227" t="s">
        <v>2146</v>
      </c>
      <c r="E84" s="3227" t="s">
        <v>2146</v>
      </c>
      <c r="F84" s="3227" t="s">
        <v>2146</v>
      </c>
      <c r="G84" s="3103" t="str">
        <f t="shared" si="40"/>
        <v>NA</v>
      </c>
      <c r="H84" s="3103" t="str">
        <f t="shared" si="41"/>
        <v>NA</v>
      </c>
      <c r="I84" s="3103" t="str">
        <f t="shared" si="42"/>
        <v>NA</v>
      </c>
      <c r="J84" s="3227" t="s">
        <v>2146</v>
      </c>
      <c r="K84" s="3227" t="s">
        <v>2146</v>
      </c>
      <c r="L84" s="3227" t="s">
        <v>2146</v>
      </c>
      <c r="M84" s="3497" t="s">
        <v>2146</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t="s">
        <v>2146</v>
      </c>
      <c r="E86" s="3227" t="s">
        <v>2146</v>
      </c>
      <c r="F86" s="3227" t="s">
        <v>2146</v>
      </c>
      <c r="G86" s="3103" t="str">
        <f t="shared" si="40"/>
        <v>NA</v>
      </c>
      <c r="H86" s="3103" t="str">
        <f t="shared" si="41"/>
        <v>NA</v>
      </c>
      <c r="I86" s="3103" t="str">
        <f t="shared" si="42"/>
        <v>NA</v>
      </c>
      <c r="J86" s="3227" t="s">
        <v>2146</v>
      </c>
      <c r="K86" s="3227" t="s">
        <v>2146</v>
      </c>
      <c r="L86" s="3227" t="s">
        <v>2146</v>
      </c>
      <c r="M86" s="3497" t="s">
        <v>2146</v>
      </c>
    </row>
    <row r="87" spans="2:13" ht="18" customHeight="1" x14ac:dyDescent="0.2">
      <c r="B87" s="2616" t="s">
        <v>574</v>
      </c>
      <c r="C87" s="2618" t="s">
        <v>574</v>
      </c>
      <c r="D87" s="3227" t="s">
        <v>2146</v>
      </c>
      <c r="E87" s="3227" t="s">
        <v>2146</v>
      </c>
      <c r="F87" s="3227" t="s">
        <v>2146</v>
      </c>
      <c r="G87" s="3103" t="str">
        <f t="shared" si="40"/>
        <v>NA</v>
      </c>
      <c r="H87" s="3103" t="str">
        <f t="shared" si="41"/>
        <v>NA</v>
      </c>
      <c r="I87" s="3103" t="str">
        <f t="shared" si="42"/>
        <v>NA</v>
      </c>
      <c r="J87" s="3227" t="s">
        <v>2146</v>
      </c>
      <c r="K87" s="3227" t="s">
        <v>2146</v>
      </c>
      <c r="L87" s="3227" t="s">
        <v>2146</v>
      </c>
      <c r="M87" s="3497" t="s">
        <v>2146</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t="str">
        <f>IF(SUM(J91,J104)=0,"NO",SUM(J91,J104))</f>
        <v>NO</v>
      </c>
      <c r="K90" s="3103" t="str">
        <f t="shared" ref="K90:M90" si="43">IF(SUM(K91,K104)=0,"NO",SUM(K91,K104))</f>
        <v>NO</v>
      </c>
      <c r="L90" s="3103" t="str">
        <f t="shared" si="43"/>
        <v>NO</v>
      </c>
      <c r="M90" s="3226" t="str">
        <f t="shared" si="43"/>
        <v>NO</v>
      </c>
    </row>
    <row r="91" spans="2:13" ht="18" customHeight="1" x14ac:dyDescent="0.2">
      <c r="B91" s="104" t="s">
        <v>674</v>
      </c>
      <c r="C91" s="2508"/>
      <c r="D91" s="2108"/>
      <c r="E91" s="2108"/>
      <c r="F91" s="2108"/>
      <c r="G91" s="2108"/>
      <c r="H91" s="2108"/>
      <c r="I91" s="2108"/>
      <c r="J91" s="3103" t="str">
        <f>IF(SUM(J92:J103)=0,"NO",SUM(J92:J103))</f>
        <v>NO</v>
      </c>
      <c r="K91" s="3103" t="str">
        <f>IF(SUM(K92:K103)=0,"NO",SUM(K92:K103))</f>
        <v>NO</v>
      </c>
      <c r="L91" s="3103" t="str">
        <f>IF(SUM(L92:L103)=0,"NO",SUM(L92:L103))</f>
        <v>NO</v>
      </c>
      <c r="M91" s="3226" t="str">
        <f>IF(SUM(M92:M103)=0,"NO",SUM(M92:M103))</f>
        <v>NO</v>
      </c>
    </row>
    <row r="92" spans="2:13" ht="18" customHeight="1" x14ac:dyDescent="0.2">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
      <c r="B93" s="2616" t="s">
        <v>560</v>
      </c>
      <c r="C93" s="2618" t="s">
        <v>560</v>
      </c>
      <c r="D93" s="3227" t="s">
        <v>2146</v>
      </c>
      <c r="E93" s="3227" t="s">
        <v>2146</v>
      </c>
      <c r="F93" s="3227" t="s">
        <v>2146</v>
      </c>
      <c r="G93" s="3103" t="str">
        <f t="shared" ref="G93:G103" si="45">IF(SUM(D93)=0,"NA",J93/D93)</f>
        <v>NA</v>
      </c>
      <c r="H93" s="3103" t="str">
        <f t="shared" ref="H93:H103" si="46">IF(SUM(E93)=0,"NA",K93/E93)</f>
        <v>NA</v>
      </c>
      <c r="I93" s="3103" t="str">
        <f t="shared" si="44"/>
        <v>NA</v>
      </c>
      <c r="J93" s="3227" t="s">
        <v>2146</v>
      </c>
      <c r="K93" s="3227" t="s">
        <v>2146</v>
      </c>
      <c r="L93" s="3227" t="s">
        <v>2146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t="s">
        <v>2146</v>
      </c>
      <c r="E95" s="3227" t="s">
        <v>2146</v>
      </c>
      <c r="F95" s="3227" t="s">
        <v>2146</v>
      </c>
      <c r="G95" s="3103" t="str">
        <f t="shared" si="45"/>
        <v>NA</v>
      </c>
      <c r="H95" s="3103" t="str">
        <f t="shared" si="46"/>
        <v>NA</v>
      </c>
      <c r="I95" s="3103" t="str">
        <f t="shared" si="44"/>
        <v>NA</v>
      </c>
      <c r="J95" s="3227" t="s">
        <v>2146</v>
      </c>
      <c r="K95" s="3227" t="s">
        <v>2146</v>
      </c>
      <c r="L95" s="3227" t="s">
        <v>2146</v>
      </c>
      <c r="M95" s="3497" t="s">
        <v>2146</v>
      </c>
    </row>
    <row r="96" spans="2:13" ht="18" customHeight="1" x14ac:dyDescent="0.2">
      <c r="B96" s="2616" t="s">
        <v>564</v>
      </c>
      <c r="C96" s="2618" t="s">
        <v>564</v>
      </c>
      <c r="D96" s="3227" t="s">
        <v>2146</v>
      </c>
      <c r="E96" s="3227" t="s">
        <v>2146</v>
      </c>
      <c r="F96" s="3227" t="s">
        <v>2146</v>
      </c>
      <c r="G96" s="3103" t="str">
        <f t="shared" si="45"/>
        <v>NA</v>
      </c>
      <c r="H96" s="3103" t="str">
        <f t="shared" si="46"/>
        <v>NA</v>
      </c>
      <c r="I96" s="3103" t="str">
        <f t="shared" si="44"/>
        <v>NA</v>
      </c>
      <c r="J96" s="3227" t="s">
        <v>2146</v>
      </c>
      <c r="K96" s="3227" t="s">
        <v>2146</v>
      </c>
      <c r="L96" s="3227" t="s">
        <v>2146</v>
      </c>
      <c r="M96" s="3497" t="s">
        <v>2146</v>
      </c>
    </row>
    <row r="97" spans="2:13" ht="18" customHeight="1" x14ac:dyDescent="0.2">
      <c r="B97" s="2616" t="s">
        <v>565</v>
      </c>
      <c r="C97" s="2618" t="s">
        <v>565</v>
      </c>
      <c r="D97" s="3227" t="s">
        <v>2146</v>
      </c>
      <c r="E97" s="3227" t="s">
        <v>2146</v>
      </c>
      <c r="F97" s="3227" t="s">
        <v>2146</v>
      </c>
      <c r="G97" s="3103" t="str">
        <f t="shared" si="45"/>
        <v>NA</v>
      </c>
      <c r="H97" s="3103" t="str">
        <f t="shared" si="46"/>
        <v>NA</v>
      </c>
      <c r="I97" s="3103" t="str">
        <f t="shared" si="44"/>
        <v>NA</v>
      </c>
      <c r="J97" s="3227" t="s">
        <v>2146</v>
      </c>
      <c r="K97" s="3227" t="s">
        <v>2146</v>
      </c>
      <c r="L97" s="3227" t="s">
        <v>2146</v>
      </c>
      <c r="M97" s="3497" t="s">
        <v>2146</v>
      </c>
    </row>
    <row r="98" spans="2:13" ht="18" customHeight="1" x14ac:dyDescent="0.2">
      <c r="B98" s="2616" t="s">
        <v>567</v>
      </c>
      <c r="C98" s="2618" t="s">
        <v>567</v>
      </c>
      <c r="D98" s="3227" t="s">
        <v>2146</v>
      </c>
      <c r="E98" s="3227" t="s">
        <v>2146</v>
      </c>
      <c r="F98" s="3227" t="s">
        <v>2146</v>
      </c>
      <c r="G98" s="3103" t="str">
        <f t="shared" si="45"/>
        <v>NA</v>
      </c>
      <c r="H98" s="3103" t="str">
        <f t="shared" si="46"/>
        <v>NA</v>
      </c>
      <c r="I98" s="3103" t="str">
        <f t="shared" si="44"/>
        <v>NA</v>
      </c>
      <c r="J98" s="3227" t="s">
        <v>2146</v>
      </c>
      <c r="K98" s="3227" t="s">
        <v>2146</v>
      </c>
      <c r="L98" s="3227" t="s">
        <v>2146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t="s">
        <v>2146</v>
      </c>
      <c r="E100" s="3227" t="s">
        <v>2146</v>
      </c>
      <c r="F100" s="3227" t="s">
        <v>2146</v>
      </c>
      <c r="G100" s="3103" t="str">
        <f t="shared" si="45"/>
        <v>NA</v>
      </c>
      <c r="H100" s="3103" t="str">
        <f t="shared" si="46"/>
        <v>NA</v>
      </c>
      <c r="I100" s="3103" t="str">
        <f t="shared" si="44"/>
        <v>NA</v>
      </c>
      <c r="J100" s="3227" t="s">
        <v>2146</v>
      </c>
      <c r="K100" s="3227" t="s">
        <v>2146</v>
      </c>
      <c r="L100" s="3227" t="s">
        <v>2146</v>
      </c>
      <c r="M100" s="3497" t="s">
        <v>2146</v>
      </c>
    </row>
    <row r="101" spans="2:13" ht="18" customHeight="1" x14ac:dyDescent="0.2">
      <c r="B101" s="2616" t="s">
        <v>574</v>
      </c>
      <c r="C101" s="2618" t="s">
        <v>574</v>
      </c>
      <c r="D101" s="3227" t="s">
        <v>2146</v>
      </c>
      <c r="E101" s="3227" t="s">
        <v>2146</v>
      </c>
      <c r="F101" s="3227" t="s">
        <v>2146</v>
      </c>
      <c r="G101" s="3103" t="str">
        <f t="shared" si="45"/>
        <v>NA</v>
      </c>
      <c r="H101" s="3103" t="str">
        <f t="shared" si="46"/>
        <v>NA</v>
      </c>
      <c r="I101" s="3103" t="str">
        <f t="shared" si="44"/>
        <v>NA</v>
      </c>
      <c r="J101" s="3227" t="s">
        <v>2146</v>
      </c>
      <c r="K101" s="3227" t="s">
        <v>2146</v>
      </c>
      <c r="L101" s="3227" t="s">
        <v>2146</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
      <c r="B106" s="2616" t="s">
        <v>560</v>
      </c>
      <c r="C106" s="2618" t="s">
        <v>560</v>
      </c>
      <c r="D106" s="3227" t="str">
        <f t="shared" ref="D106:E116" si="47">IF(D93="NO","NO","IE")</f>
        <v>NO</v>
      </c>
      <c r="E106" s="3227" t="str">
        <f t="shared" si="47"/>
        <v>NO</v>
      </c>
      <c r="F106" s="2108"/>
      <c r="G106" s="3103" t="str">
        <f t="shared" ref="G106:G116" si="48">IF(SUM(D106)=0,"NA",J106/D106)</f>
        <v>NA</v>
      </c>
      <c r="H106" s="3103" t="str">
        <f t="shared" ref="H106:H116" si="49">IF(SUM(E106)=0,"NA",K106/E106)</f>
        <v>NA</v>
      </c>
      <c r="I106" s="2108"/>
      <c r="J106" s="3227" t="str">
        <f t="shared" ref="J106:K106" si="50">IF(J93="NO","NO","IE")</f>
        <v>NO</v>
      </c>
      <c r="K106" s="3227" t="str">
        <f t="shared" si="50"/>
        <v>NO</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NO</v>
      </c>
      <c r="E108" s="3227" t="str">
        <f t="shared" si="47"/>
        <v>NO</v>
      </c>
      <c r="F108" s="2108"/>
      <c r="G108" s="3103" t="str">
        <f t="shared" si="48"/>
        <v>NA</v>
      </c>
      <c r="H108" s="3103" t="str">
        <f t="shared" si="49"/>
        <v>NA</v>
      </c>
      <c r="I108" s="2108"/>
      <c r="J108" s="3227" t="str">
        <f t="shared" ref="J108:K108" si="54">IF(J95="NO","NO","IE")</f>
        <v>NO</v>
      </c>
      <c r="K108" s="3227" t="str">
        <f t="shared" si="54"/>
        <v>NO</v>
      </c>
      <c r="L108" s="3228"/>
      <c r="M108" s="3497" t="str">
        <f t="shared" ref="M108" si="55">IF(M95="NO","NO","IE")</f>
        <v>NO</v>
      </c>
    </row>
    <row r="109" spans="2:13" ht="18" customHeight="1" x14ac:dyDescent="0.2">
      <c r="B109" s="2616" t="s">
        <v>564</v>
      </c>
      <c r="C109" s="2618" t="s">
        <v>564</v>
      </c>
      <c r="D109" s="3227" t="str">
        <f t="shared" si="47"/>
        <v>NO</v>
      </c>
      <c r="E109" s="3227" t="str">
        <f t="shared" si="47"/>
        <v>NO</v>
      </c>
      <c r="F109" s="2108"/>
      <c r="G109" s="3103" t="str">
        <f t="shared" si="48"/>
        <v>NA</v>
      </c>
      <c r="H109" s="3103" t="str">
        <f t="shared" si="49"/>
        <v>NA</v>
      </c>
      <c r="I109" s="2108"/>
      <c r="J109" s="3227" t="str">
        <f t="shared" ref="J109:K109" si="56">IF(J96="NO","NO","IE")</f>
        <v>NO</v>
      </c>
      <c r="K109" s="3227" t="str">
        <f t="shared" si="56"/>
        <v>NO</v>
      </c>
      <c r="L109" s="3228"/>
      <c r="M109" s="3497" t="str">
        <f t="shared" ref="M109" si="57">IF(M96="NO","NO","IE")</f>
        <v>NO</v>
      </c>
    </row>
    <row r="110" spans="2:13" ht="18" customHeight="1" x14ac:dyDescent="0.2">
      <c r="B110" s="2616" t="s">
        <v>565</v>
      </c>
      <c r="C110" s="2618" t="s">
        <v>565</v>
      </c>
      <c r="D110" s="3227" t="str">
        <f t="shared" si="47"/>
        <v>NO</v>
      </c>
      <c r="E110" s="3227" t="str">
        <f t="shared" si="47"/>
        <v>NO</v>
      </c>
      <c r="F110" s="2108"/>
      <c r="G110" s="3103" t="str">
        <f t="shared" si="48"/>
        <v>NA</v>
      </c>
      <c r="H110" s="3103" t="str">
        <f t="shared" si="49"/>
        <v>NA</v>
      </c>
      <c r="I110" s="2108"/>
      <c r="J110" s="3227" t="str">
        <f t="shared" ref="J110:K110" si="58">IF(J97="NO","NO","IE")</f>
        <v>NO</v>
      </c>
      <c r="K110" s="3227" t="str">
        <f t="shared" si="58"/>
        <v>NO</v>
      </c>
      <c r="L110" s="3228"/>
      <c r="M110" s="3497" t="str">
        <f t="shared" ref="M110" si="59">IF(M97="NO","NO","IE")</f>
        <v>NO</v>
      </c>
    </row>
    <row r="111" spans="2:13" ht="18" customHeight="1" x14ac:dyDescent="0.2">
      <c r="B111" s="2616" t="s">
        <v>567</v>
      </c>
      <c r="C111" s="2618" t="s">
        <v>567</v>
      </c>
      <c r="D111" s="3227" t="str">
        <f t="shared" si="47"/>
        <v>NO</v>
      </c>
      <c r="E111" s="3227" t="str">
        <f t="shared" si="47"/>
        <v>NO</v>
      </c>
      <c r="F111" s="2108"/>
      <c r="G111" s="3103" t="str">
        <f t="shared" si="48"/>
        <v>NA</v>
      </c>
      <c r="H111" s="3103" t="str">
        <f t="shared" si="49"/>
        <v>NA</v>
      </c>
      <c r="I111" s="2108"/>
      <c r="J111" s="3227" t="str">
        <f t="shared" ref="J111:K111" si="60">IF(J98="NO","NO","IE")</f>
        <v>NO</v>
      </c>
      <c r="K111" s="3227" t="str">
        <f t="shared" si="60"/>
        <v>NO</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NO</v>
      </c>
      <c r="E113" s="3227" t="str">
        <f t="shared" si="47"/>
        <v>NO</v>
      </c>
      <c r="F113" s="2108"/>
      <c r="G113" s="3103" t="str">
        <f t="shared" si="48"/>
        <v>NA</v>
      </c>
      <c r="H113" s="3103" t="str">
        <f t="shared" si="49"/>
        <v>NA</v>
      </c>
      <c r="I113" s="2108"/>
      <c r="J113" s="3227" t="str">
        <f t="shared" ref="J113:K113" si="64">IF(J100="NO","NO","IE")</f>
        <v>NO</v>
      </c>
      <c r="K113" s="3227" t="str">
        <f t="shared" si="64"/>
        <v>NO</v>
      </c>
      <c r="L113" s="3228"/>
      <c r="M113" s="3497" t="str">
        <f t="shared" ref="M113" si="65">IF(M100="NO","NO","IE")</f>
        <v>NO</v>
      </c>
    </row>
    <row r="114" spans="2:13" ht="18" customHeight="1" x14ac:dyDescent="0.2">
      <c r="B114" s="2616" t="s">
        <v>574</v>
      </c>
      <c r="C114" s="2618" t="s">
        <v>574</v>
      </c>
      <c r="D114" s="3227" t="str">
        <f t="shared" si="47"/>
        <v>NO</v>
      </c>
      <c r="E114" s="3227" t="str">
        <f t="shared" si="47"/>
        <v>NO</v>
      </c>
      <c r="F114" s="2108"/>
      <c r="G114" s="3103" t="str">
        <f t="shared" si="48"/>
        <v>NA</v>
      </c>
      <c r="H114" s="3103" t="str">
        <f t="shared" si="49"/>
        <v>NA</v>
      </c>
      <c r="I114" s="2108"/>
      <c r="J114" s="3227" t="str">
        <f t="shared" ref="J114:K114" si="66">IF(J101="NO","NO","IE")</f>
        <v>NO</v>
      </c>
      <c r="K114" s="3227" t="str">
        <f t="shared" si="66"/>
        <v>NO</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t="str">
        <f>IF(SUM(J118:J129)=0,"NO",SUM(J118:J129))</f>
        <v>NO</v>
      </c>
      <c r="K117" s="3103" t="str">
        <f>IF(SUM(K118:K129)=0,"NO",SUM(K118:K129))</f>
        <v>NO</v>
      </c>
      <c r="L117" s="3103" t="str">
        <f>IF(SUM(L118:L129)=0,"NO",SUM(L118:L129))</f>
        <v>NO</v>
      </c>
      <c r="M117" s="3226" t="str">
        <f>IF(SUM(M118:M129)=0,"NO",SUM(M118:M129))</f>
        <v>NO</v>
      </c>
    </row>
    <row r="118" spans="2:13" ht="18" customHeight="1" x14ac:dyDescent="0.2">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
      <c r="B119" s="2616" t="s">
        <v>560</v>
      </c>
      <c r="C119" s="2618" t="s">
        <v>560</v>
      </c>
      <c r="D119" s="3227" t="s">
        <v>2146</v>
      </c>
      <c r="E119" s="3227" t="s">
        <v>2146</v>
      </c>
      <c r="F119" s="3227" t="s">
        <v>2146</v>
      </c>
      <c r="G119" s="3103" t="str">
        <f t="shared" ref="G119:G129" si="73">IF(SUM(D119)=0,"NA",J119/D119)</f>
        <v>NA</v>
      </c>
      <c r="H119" s="3103" t="str">
        <f t="shared" ref="H119:H129" si="74">IF(SUM(E119)=0,"NA",K119/E119)</f>
        <v>NA</v>
      </c>
      <c r="I119" s="3103" t="str">
        <f t="shared" si="72"/>
        <v>NA</v>
      </c>
      <c r="J119" s="3227" t="s">
        <v>2146</v>
      </c>
      <c r="K119" s="3227" t="s">
        <v>2146</v>
      </c>
      <c r="L119" s="3227" t="s">
        <v>2146</v>
      </c>
      <c r="M119" s="3497" t="s">
        <v>2146</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t="s">
        <v>2146</v>
      </c>
      <c r="E121" s="3227" t="s">
        <v>2146</v>
      </c>
      <c r="F121" s="3227" t="s">
        <v>2146</v>
      </c>
      <c r="G121" s="3103" t="str">
        <f t="shared" si="73"/>
        <v>NA</v>
      </c>
      <c r="H121" s="3103" t="str">
        <f t="shared" si="74"/>
        <v>NA</v>
      </c>
      <c r="I121" s="3103" t="str">
        <f t="shared" si="72"/>
        <v>NA</v>
      </c>
      <c r="J121" s="3227" t="s">
        <v>2146</v>
      </c>
      <c r="K121" s="3227" t="s">
        <v>2146</v>
      </c>
      <c r="L121" s="3227" t="s">
        <v>2146</v>
      </c>
      <c r="M121" s="3497" t="s">
        <v>2146</v>
      </c>
    </row>
    <row r="122" spans="2:13" ht="18" customHeight="1" x14ac:dyDescent="0.2">
      <c r="B122" s="2616" t="s">
        <v>564</v>
      </c>
      <c r="C122" s="2618" t="s">
        <v>564</v>
      </c>
      <c r="D122" s="3227" t="s">
        <v>2146</v>
      </c>
      <c r="E122" s="3227" t="s">
        <v>2146</v>
      </c>
      <c r="F122" s="3227" t="s">
        <v>2146</v>
      </c>
      <c r="G122" s="3103" t="str">
        <f t="shared" si="73"/>
        <v>NA</v>
      </c>
      <c r="H122" s="3103" t="str">
        <f t="shared" si="74"/>
        <v>NA</v>
      </c>
      <c r="I122" s="3103" t="str">
        <f t="shared" si="72"/>
        <v>NA</v>
      </c>
      <c r="J122" s="3227" t="s">
        <v>2146</v>
      </c>
      <c r="K122" s="3227" t="s">
        <v>2146</v>
      </c>
      <c r="L122" s="3227" t="s">
        <v>2146</v>
      </c>
      <c r="M122" s="3497" t="s">
        <v>2146</v>
      </c>
    </row>
    <row r="123" spans="2:13" ht="18" customHeight="1" x14ac:dyDescent="0.2">
      <c r="B123" s="2616" t="s">
        <v>565</v>
      </c>
      <c r="C123" s="2618" t="s">
        <v>565</v>
      </c>
      <c r="D123" s="3227" t="s">
        <v>2146</v>
      </c>
      <c r="E123" s="3227" t="s">
        <v>2146</v>
      </c>
      <c r="F123" s="3227" t="s">
        <v>2146</v>
      </c>
      <c r="G123" s="3103" t="str">
        <f t="shared" si="73"/>
        <v>NA</v>
      </c>
      <c r="H123" s="3103" t="str">
        <f t="shared" si="74"/>
        <v>NA</v>
      </c>
      <c r="I123" s="3103" t="str">
        <f t="shared" si="72"/>
        <v>NA</v>
      </c>
      <c r="J123" s="3227" t="s">
        <v>2146</v>
      </c>
      <c r="K123" s="3227" t="s">
        <v>2146</v>
      </c>
      <c r="L123" s="3227" t="s">
        <v>2146</v>
      </c>
      <c r="M123" s="3497" t="s">
        <v>2146</v>
      </c>
    </row>
    <row r="124" spans="2:13" ht="18" customHeight="1" x14ac:dyDescent="0.2">
      <c r="B124" s="2616" t="s">
        <v>567</v>
      </c>
      <c r="C124" s="2618" t="s">
        <v>567</v>
      </c>
      <c r="D124" s="3227" t="s">
        <v>2146</v>
      </c>
      <c r="E124" s="3227" t="s">
        <v>2146</v>
      </c>
      <c r="F124" s="3227" t="s">
        <v>2146</v>
      </c>
      <c r="G124" s="3103" t="str">
        <f t="shared" si="73"/>
        <v>NA</v>
      </c>
      <c r="H124" s="3103" t="str">
        <f t="shared" si="74"/>
        <v>NA</v>
      </c>
      <c r="I124" s="3103" t="str">
        <f t="shared" si="72"/>
        <v>NA</v>
      </c>
      <c r="J124" s="3227" t="s">
        <v>2146</v>
      </c>
      <c r="K124" s="3227" t="s">
        <v>2146</v>
      </c>
      <c r="L124" s="3227" t="s">
        <v>2146</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t="s">
        <v>2146</v>
      </c>
      <c r="E126" s="3227" t="s">
        <v>2146</v>
      </c>
      <c r="F126" s="3227" t="s">
        <v>2146</v>
      </c>
      <c r="G126" s="3103" t="str">
        <f t="shared" si="73"/>
        <v>NA</v>
      </c>
      <c r="H126" s="3103" t="str">
        <f t="shared" si="74"/>
        <v>NA</v>
      </c>
      <c r="I126" s="3103" t="str">
        <f t="shared" si="72"/>
        <v>NA</v>
      </c>
      <c r="J126" s="3227" t="s">
        <v>2146</v>
      </c>
      <c r="K126" s="3227" t="s">
        <v>2146</v>
      </c>
      <c r="L126" s="3227" t="s">
        <v>2146</v>
      </c>
      <c r="M126" s="3497" t="s">
        <v>2146</v>
      </c>
    </row>
    <row r="127" spans="2:13" ht="18" customHeight="1" x14ac:dyDescent="0.2">
      <c r="B127" s="2616" t="s">
        <v>574</v>
      </c>
      <c r="C127" s="2618" t="s">
        <v>574</v>
      </c>
      <c r="D127" s="3227" t="s">
        <v>2146</v>
      </c>
      <c r="E127" s="3227" t="s">
        <v>2146</v>
      </c>
      <c r="F127" s="3227" t="s">
        <v>2146</v>
      </c>
      <c r="G127" s="3103" t="str">
        <f t="shared" si="73"/>
        <v>NA</v>
      </c>
      <c r="H127" s="3103" t="str">
        <f t="shared" si="74"/>
        <v>NA</v>
      </c>
      <c r="I127" s="3103" t="str">
        <f t="shared" si="72"/>
        <v>NA</v>
      </c>
      <c r="J127" s="3227" t="s">
        <v>2146</v>
      </c>
      <c r="K127" s="3227" t="s">
        <v>2146</v>
      </c>
      <c r="L127" s="3227" t="s">
        <v>2146</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t="str">
        <f>IF(SUM(K131,K144)=0,"NO",SUM(K131,K144))</f>
        <v>NO</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t="s">
        <v>2146</v>
      </c>
      <c r="F133" s="3229"/>
      <c r="G133" s="3103" t="str">
        <f t="shared" ref="G133:G143" si="75">IF(SUM(D133)=0,"NA",J133/D133)</f>
        <v>NA</v>
      </c>
      <c r="H133" s="3103" t="str">
        <f t="shared" ref="H133:H143" si="76">IF(SUM(E133)=0,"NA",K133/E133)</f>
        <v>NA</v>
      </c>
      <c r="I133" s="4327"/>
      <c r="J133" s="3227" t="s">
        <v>2146</v>
      </c>
      <c r="K133" s="3227" t="s">
        <v>2146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t="s">
        <v>2146</v>
      </c>
      <c r="F135" s="3229"/>
      <c r="G135" s="3103" t="str">
        <f t="shared" si="75"/>
        <v>NA</v>
      </c>
      <c r="H135" s="3103" t="str">
        <f t="shared" si="76"/>
        <v>NA</v>
      </c>
      <c r="I135" s="4327"/>
      <c r="J135" s="3227" t="s">
        <v>2146</v>
      </c>
      <c r="K135" s="3227" t="s">
        <v>2146</v>
      </c>
      <c r="L135" s="3229"/>
      <c r="M135" s="3497" t="s">
        <v>2146</v>
      </c>
    </row>
    <row r="136" spans="2:13" ht="18" customHeight="1" x14ac:dyDescent="0.2">
      <c r="B136" s="2616" t="s">
        <v>564</v>
      </c>
      <c r="C136" s="2618" t="s">
        <v>564</v>
      </c>
      <c r="D136" s="3227" t="s">
        <v>2146</v>
      </c>
      <c r="E136" s="3227" t="s">
        <v>2146</v>
      </c>
      <c r="F136" s="3229"/>
      <c r="G136" s="3103" t="str">
        <f t="shared" si="75"/>
        <v>NA</v>
      </c>
      <c r="H136" s="3103" t="str">
        <f t="shared" si="76"/>
        <v>NA</v>
      </c>
      <c r="I136" s="4327"/>
      <c r="J136" s="3227" t="s">
        <v>2146</v>
      </c>
      <c r="K136" s="3227" t="s">
        <v>2146</v>
      </c>
      <c r="L136" s="3229"/>
      <c r="M136" s="3497" t="s">
        <v>2146</v>
      </c>
    </row>
    <row r="137" spans="2:13" ht="18" customHeight="1" x14ac:dyDescent="0.2">
      <c r="B137" s="2616" t="s">
        <v>565</v>
      </c>
      <c r="C137" s="2618" t="s">
        <v>565</v>
      </c>
      <c r="D137" s="3227" t="s">
        <v>2146</v>
      </c>
      <c r="E137" s="3227" t="s">
        <v>2146</v>
      </c>
      <c r="F137" s="3229"/>
      <c r="G137" s="3103" t="str">
        <f t="shared" si="75"/>
        <v>NA</v>
      </c>
      <c r="H137" s="3103" t="str">
        <f t="shared" si="76"/>
        <v>NA</v>
      </c>
      <c r="I137" s="4327"/>
      <c r="J137" s="3227" t="s">
        <v>2146</v>
      </c>
      <c r="K137" s="3227" t="s">
        <v>2146</v>
      </c>
      <c r="L137" s="3229"/>
      <c r="M137" s="3497" t="s">
        <v>2146</v>
      </c>
    </row>
    <row r="138" spans="2:13" ht="18" customHeight="1" x14ac:dyDescent="0.2">
      <c r="B138" s="2616" t="s">
        <v>567</v>
      </c>
      <c r="C138" s="2618" t="s">
        <v>567</v>
      </c>
      <c r="D138" s="3227" t="s">
        <v>2146</v>
      </c>
      <c r="E138" s="3227" t="s">
        <v>2146</v>
      </c>
      <c r="F138" s="3229"/>
      <c r="G138" s="3103" t="str">
        <f t="shared" si="75"/>
        <v>NA</v>
      </c>
      <c r="H138" s="3103" t="str">
        <f t="shared" si="76"/>
        <v>NA</v>
      </c>
      <c r="I138" s="4327"/>
      <c r="J138" s="3227" t="s">
        <v>2146</v>
      </c>
      <c r="K138" s="3227" t="s">
        <v>2146</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t="s">
        <v>2146</v>
      </c>
      <c r="F140" s="3229"/>
      <c r="G140" s="3103" t="str">
        <f t="shared" si="75"/>
        <v>NA</v>
      </c>
      <c r="H140" s="3103" t="str">
        <f t="shared" si="76"/>
        <v>NA</v>
      </c>
      <c r="I140" s="4327"/>
      <c r="J140" s="3227" t="s">
        <v>2146</v>
      </c>
      <c r="K140" s="3227" t="s">
        <v>2146</v>
      </c>
      <c r="L140" s="3229"/>
      <c r="M140" s="3497" t="s">
        <v>2146</v>
      </c>
    </row>
    <row r="141" spans="2:13" ht="18" customHeight="1" x14ac:dyDescent="0.2">
      <c r="B141" s="2616" t="s">
        <v>574</v>
      </c>
      <c r="C141" s="2618" t="s">
        <v>574</v>
      </c>
      <c r="D141" s="3227" t="s">
        <v>2146</v>
      </c>
      <c r="E141" s="3227" t="s">
        <v>2146</v>
      </c>
      <c r="F141" s="3229"/>
      <c r="G141" s="3103" t="str">
        <f t="shared" si="75"/>
        <v>NA</v>
      </c>
      <c r="H141" s="3103" t="str">
        <f t="shared" si="76"/>
        <v>NA</v>
      </c>
      <c r="I141" s="4327"/>
      <c r="J141" s="3227" t="s">
        <v>2146</v>
      </c>
      <c r="K141" s="3227" t="s">
        <v>2146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t="str">
        <f>IF(SUM(K147:K158)=0,"NO",SUM(K147:K158))</f>
        <v>NO</v>
      </c>
      <c r="L146" s="3103" t="str">
        <f>IF(SUM(L147:L158)=0,"NO",SUM(L147:L158))</f>
        <v>NO</v>
      </c>
      <c r="M146" s="3226" t="str">
        <f>IF(SUM(M147:M158)=0,"NO",SUM(M147:M158))</f>
        <v>NO</v>
      </c>
    </row>
    <row r="147" spans="2:13" ht="18" customHeight="1" x14ac:dyDescent="0.2">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
      <c r="B148" s="2616" t="s">
        <v>560</v>
      </c>
      <c r="C148" s="2618" t="s">
        <v>560</v>
      </c>
      <c r="D148" s="3227" t="s">
        <v>2146</v>
      </c>
      <c r="E148" s="3227" t="s">
        <v>2146</v>
      </c>
      <c r="F148" s="3227" t="s">
        <v>2146</v>
      </c>
      <c r="G148" s="3103" t="str">
        <f t="shared" ref="G148:G158" si="78">IFERROR(J148/D148,"NA")</f>
        <v>NA</v>
      </c>
      <c r="H148" s="3103" t="str">
        <f t="shared" ref="H148:H158" si="79">IF(SUM(E148)=0,"NA",K148/E148)</f>
        <v>NA</v>
      </c>
      <c r="I148" s="3103" t="str">
        <f t="shared" si="77"/>
        <v>NA</v>
      </c>
      <c r="J148" s="3227" t="s">
        <v>2146</v>
      </c>
      <c r="K148" s="3227" t="s">
        <v>2146</v>
      </c>
      <c r="L148" s="3227" t="s">
        <v>2146</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t="s">
        <v>2146</v>
      </c>
      <c r="E150" s="3227" t="s">
        <v>2146</v>
      </c>
      <c r="F150" s="3227" t="s">
        <v>2146</v>
      </c>
      <c r="G150" s="3103" t="str">
        <f t="shared" si="78"/>
        <v>NA</v>
      </c>
      <c r="H150" s="3103" t="str">
        <f t="shared" si="79"/>
        <v>NA</v>
      </c>
      <c r="I150" s="3103" t="str">
        <f t="shared" si="77"/>
        <v>NA</v>
      </c>
      <c r="J150" s="3227" t="s">
        <v>2146</v>
      </c>
      <c r="K150" s="3227" t="s">
        <v>2146</v>
      </c>
      <c r="L150" s="3227" t="s">
        <v>2146</v>
      </c>
      <c r="M150" s="3497" t="s">
        <v>2146</v>
      </c>
    </row>
    <row r="151" spans="2:13" ht="18" customHeight="1" x14ac:dyDescent="0.2">
      <c r="B151" s="2616" t="s">
        <v>564</v>
      </c>
      <c r="C151" s="2618" t="s">
        <v>564</v>
      </c>
      <c r="D151" s="3227" t="s">
        <v>2146</v>
      </c>
      <c r="E151" s="3227" t="s">
        <v>2146</v>
      </c>
      <c r="F151" s="3227" t="s">
        <v>2146</v>
      </c>
      <c r="G151" s="3103" t="str">
        <f t="shared" si="78"/>
        <v>NA</v>
      </c>
      <c r="H151" s="3103" t="str">
        <f t="shared" si="79"/>
        <v>NA</v>
      </c>
      <c r="I151" s="3103" t="str">
        <f t="shared" si="77"/>
        <v>NA</v>
      </c>
      <c r="J151" s="3227" t="s">
        <v>2146</v>
      </c>
      <c r="K151" s="3227" t="s">
        <v>2146</v>
      </c>
      <c r="L151" s="3227" t="s">
        <v>2146</v>
      </c>
      <c r="M151" s="3497" t="s">
        <v>2146</v>
      </c>
    </row>
    <row r="152" spans="2:13" ht="18" customHeight="1" x14ac:dyDescent="0.2">
      <c r="B152" s="2616" t="s">
        <v>565</v>
      </c>
      <c r="C152" s="2618" t="s">
        <v>565</v>
      </c>
      <c r="D152" s="3227" t="s">
        <v>2146</v>
      </c>
      <c r="E152" s="3227" t="s">
        <v>2146</v>
      </c>
      <c r="F152" s="3227" t="s">
        <v>2146</v>
      </c>
      <c r="G152" s="3103" t="str">
        <f t="shared" si="78"/>
        <v>NA</v>
      </c>
      <c r="H152" s="3103" t="str">
        <f t="shared" si="79"/>
        <v>NA</v>
      </c>
      <c r="I152" s="3103" t="str">
        <f t="shared" si="77"/>
        <v>NA</v>
      </c>
      <c r="J152" s="3227" t="s">
        <v>2146</v>
      </c>
      <c r="K152" s="3227" t="s">
        <v>2146</v>
      </c>
      <c r="L152" s="3227" t="s">
        <v>2146</v>
      </c>
      <c r="M152" s="3497" t="s">
        <v>2146</v>
      </c>
    </row>
    <row r="153" spans="2:13" ht="18" customHeight="1" x14ac:dyDescent="0.2">
      <c r="B153" s="2616" t="s">
        <v>567</v>
      </c>
      <c r="C153" s="2618" t="s">
        <v>567</v>
      </c>
      <c r="D153" s="3227" t="s">
        <v>2146</v>
      </c>
      <c r="E153" s="3227" t="s">
        <v>2146</v>
      </c>
      <c r="F153" s="3227" t="s">
        <v>2146</v>
      </c>
      <c r="G153" s="3103" t="str">
        <f t="shared" si="78"/>
        <v>NA</v>
      </c>
      <c r="H153" s="3103" t="str">
        <f t="shared" si="79"/>
        <v>NA</v>
      </c>
      <c r="I153" s="3103" t="str">
        <f t="shared" si="77"/>
        <v>NA</v>
      </c>
      <c r="J153" s="3227" t="s">
        <v>2146</v>
      </c>
      <c r="K153" s="3227" t="s">
        <v>2146</v>
      </c>
      <c r="L153" s="3227" t="s">
        <v>2146</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t="s">
        <v>2146</v>
      </c>
      <c r="E155" s="3227" t="s">
        <v>2146</v>
      </c>
      <c r="F155" s="3227" t="s">
        <v>2146</v>
      </c>
      <c r="G155" s="3103" t="str">
        <f t="shared" si="78"/>
        <v>NA</v>
      </c>
      <c r="H155" s="3103" t="str">
        <f t="shared" si="79"/>
        <v>NA</v>
      </c>
      <c r="I155" s="3103" t="str">
        <f t="shared" si="77"/>
        <v>NA</v>
      </c>
      <c r="J155" s="3227" t="s">
        <v>2146</v>
      </c>
      <c r="K155" s="3227" t="s">
        <v>2146</v>
      </c>
      <c r="L155" s="3227" t="s">
        <v>2146</v>
      </c>
      <c r="M155" s="3497" t="s">
        <v>2146</v>
      </c>
    </row>
    <row r="156" spans="2:13" ht="18" customHeight="1" x14ac:dyDescent="0.2">
      <c r="B156" s="2616" t="s">
        <v>574</v>
      </c>
      <c r="C156" s="2618" t="s">
        <v>574</v>
      </c>
      <c r="D156" s="3227" t="s">
        <v>2146</v>
      </c>
      <c r="E156" s="3227" t="s">
        <v>2146</v>
      </c>
      <c r="F156" s="3227" t="s">
        <v>2146</v>
      </c>
      <c r="G156" s="3103" t="str">
        <f t="shared" si="78"/>
        <v>NA</v>
      </c>
      <c r="H156" s="3103" t="str">
        <f t="shared" si="79"/>
        <v>NA</v>
      </c>
      <c r="I156" s="3103" t="str">
        <f t="shared" si="77"/>
        <v>NA</v>
      </c>
      <c r="J156" s="3227" t="s">
        <v>2146</v>
      </c>
      <c r="K156" s="3227" t="s">
        <v>2146</v>
      </c>
      <c r="L156" s="3227" t="s">
        <v>2146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1.7501563316838749</v>
      </c>
      <c r="K162" s="3233">
        <f t="shared" ref="K162:M162" si="85">IF(SUM(K163,K165,K175)=0,"NO",SUM(K163,K165,K175))</f>
        <v>8.7473035402362154</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1.7501563316838749</v>
      </c>
      <c r="K163" s="3230">
        <f t="shared" ref="K163:M163" si="86">K164</f>
        <v>8.1579102723476069</v>
      </c>
      <c r="L163" s="3230" t="str">
        <f t="shared" si="86"/>
        <v>NO</v>
      </c>
      <c r="M163" s="3226" t="str">
        <f t="shared" si="86"/>
        <v>NO</v>
      </c>
    </row>
    <row r="164" spans="2:13" ht="18" customHeight="1" x14ac:dyDescent="0.2">
      <c r="B164" s="2616" t="s">
        <v>1621</v>
      </c>
      <c r="C164" s="2618" t="s">
        <v>1621</v>
      </c>
      <c r="D164" s="3235">
        <v>11.667708877892498</v>
      </c>
      <c r="E164" s="3235">
        <v>163.15820544695211</v>
      </c>
      <c r="F164" s="3235" t="s">
        <v>2146</v>
      </c>
      <c r="G164" s="3103">
        <f t="shared" ref="G164" si="87">IF(SUM(D164)=0,"NA",J164/D164)</f>
        <v>0.15000000000000002</v>
      </c>
      <c r="H164" s="3103">
        <f t="shared" ref="H164" si="88">IF(SUM(E164)=0,"NA",K164/E164)</f>
        <v>5.000000000000001E-2</v>
      </c>
      <c r="I164" s="3103" t="str">
        <f t="shared" ref="I164" si="89">IF(SUM(F164)=0,"NA",(SUM(L164:M164))/F164)</f>
        <v>NA</v>
      </c>
      <c r="J164" s="3142">
        <v>1.7501563316838749</v>
      </c>
      <c r="K164" s="3142">
        <v>8.1579102723476069</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0.58939326788860846</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0.58939326788860846</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0.58939326788860846</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0.58939326788860846</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634.89614176008422</v>
      </c>
      <c r="D10" s="2500">
        <f t="shared" ref="D10:I10" si="0">IF(SUM(D11,D20,D31:D32,D42:D47)=0,"NO",SUM(D11,D20,D31:D32,D42:D47))</f>
        <v>2838.9773839645618</v>
      </c>
      <c r="E10" s="2500">
        <f t="shared" si="0"/>
        <v>42.017615631318712</v>
      </c>
      <c r="F10" s="2500">
        <f t="shared" si="0"/>
        <v>26.592482533729303</v>
      </c>
      <c r="G10" s="2500">
        <f t="shared" si="0"/>
        <v>449.08986997018991</v>
      </c>
      <c r="H10" s="2915">
        <f t="shared" si="0"/>
        <v>26.196909081594409</v>
      </c>
      <c r="I10" s="2924" t="str">
        <f t="shared" si="0"/>
        <v>NO</v>
      </c>
      <c r="J10" s="2925">
        <f>IF(SUM(C10:E10)=0,"NO",SUM(C10)+28*SUM(D10)+265*SUM(E10))</f>
        <v>91260.931035067275</v>
      </c>
    </row>
    <row r="11" spans="1:10" ht="18" customHeight="1" x14ac:dyDescent="0.2">
      <c r="B11" s="234" t="s">
        <v>694</v>
      </c>
      <c r="C11" s="2926"/>
      <c r="D11" s="2137">
        <f>SUM(D16:D19)</f>
        <v>2569.3894671904864</v>
      </c>
      <c r="E11" s="1929"/>
      <c r="F11" s="1929"/>
      <c r="G11" s="1929"/>
      <c r="H11" s="2927"/>
      <c r="I11" s="2928"/>
      <c r="J11" s="1880">
        <f>IF(SUM(C11:E11)=0,"NO",SUM(C11)+28*SUM(D11)+265*SUM(E11))</f>
        <v>71942.905081333622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1393.6299998699894</v>
      </c>
      <c r="E16" s="628"/>
      <c r="F16" s="628"/>
      <c r="G16" s="628"/>
      <c r="H16" s="2930"/>
      <c r="I16" s="2931"/>
      <c r="J16" s="2934">
        <f>IF(SUM(C16:E16)=0,"NO",SUM(C16)+28*SUM(D16)+265*SUM(E16))</f>
        <v>39021.639996359707</v>
      </c>
    </row>
    <row r="17" spans="2:10" ht="18" customHeight="1" x14ac:dyDescent="0.2">
      <c r="B17" s="228" t="s">
        <v>699</v>
      </c>
      <c r="C17" s="2936"/>
      <c r="D17" s="2920">
        <f>Table3.A!G24</f>
        <v>1160.019047815744</v>
      </c>
      <c r="E17" s="628"/>
      <c r="F17" s="628"/>
      <c r="G17" s="628"/>
      <c r="H17" s="2930"/>
      <c r="I17" s="2931"/>
      <c r="J17" s="2934">
        <f t="shared" ref="J17:J21" si="1">IF(SUM(C17:E17)=0,"NO",SUM(C17)+28*SUM(D17)+265*SUM(E17))</f>
        <v>32480.533338840833</v>
      </c>
    </row>
    <row r="18" spans="2:10" ht="18" customHeight="1" x14ac:dyDescent="0.2">
      <c r="B18" s="228" t="s">
        <v>700</v>
      </c>
      <c r="C18" s="2936"/>
      <c r="D18" s="2920">
        <f>Table3.A!G27</f>
        <v>3.6864661877530489</v>
      </c>
      <c r="E18" s="628"/>
      <c r="F18" s="628"/>
      <c r="G18" s="628"/>
      <c r="H18" s="2930"/>
      <c r="I18" s="2931"/>
      <c r="J18" s="2934">
        <f t="shared" si="1"/>
        <v>103.22105325708537</v>
      </c>
    </row>
    <row r="19" spans="2:10" ht="18" customHeight="1" thickBot="1" x14ac:dyDescent="0.25">
      <c r="B19" s="1297" t="s">
        <v>701</v>
      </c>
      <c r="C19" s="2937"/>
      <c r="D19" s="2500">
        <f>Table3.A!G30</f>
        <v>12.053953317000001</v>
      </c>
      <c r="E19" s="1923"/>
      <c r="F19" s="1923"/>
      <c r="G19" s="1923"/>
      <c r="H19" s="2938"/>
      <c r="I19" s="2939"/>
      <c r="J19" s="2934">
        <f t="shared" si="1"/>
        <v>337.51069287600001</v>
      </c>
    </row>
    <row r="20" spans="2:10" ht="18" customHeight="1" x14ac:dyDescent="0.2">
      <c r="B20" s="1456" t="s">
        <v>702</v>
      </c>
      <c r="C20" s="2940"/>
      <c r="D20" s="2920">
        <f>IF(SUM(D26:D30)=0,"NO",SUM(D26:D30))</f>
        <v>242.72705969664943</v>
      </c>
      <c r="E20" s="2920">
        <f>IF(SUM(E26:E30)=0,"NO",SUM(E26:E30))</f>
        <v>0.77861845864059664</v>
      </c>
      <c r="F20" s="2134"/>
      <c r="G20" s="2134"/>
      <c r="H20" s="2920" t="str">
        <f>IF(SUM(H26:H30)=0,"NE",SUM(H26:H30))</f>
        <v>NE</v>
      </c>
      <c r="I20" s="2931"/>
      <c r="J20" s="2941">
        <f t="shared" si="1"/>
        <v>7002.6915630459425</v>
      </c>
    </row>
    <row r="21" spans="2:10" ht="18" customHeight="1" x14ac:dyDescent="0.2">
      <c r="B21" s="228" t="s">
        <v>2019</v>
      </c>
      <c r="C21" s="2936"/>
      <c r="D21" s="2920">
        <f>D26</f>
        <v>120.41342085160834</v>
      </c>
      <c r="E21" s="2920">
        <f>E26</f>
        <v>0.31625366801053623</v>
      </c>
      <c r="F21" s="2942"/>
      <c r="G21" s="2942"/>
      <c r="H21" s="2920" t="str">
        <f>H26</f>
        <v>NE</v>
      </c>
      <c r="I21" s="2931"/>
      <c r="J21" s="2934">
        <f t="shared" si="1"/>
        <v>3455.3830058678259</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120.41342085160834</v>
      </c>
      <c r="E26" s="2920">
        <f>'Table3.B(b)'!X15</f>
        <v>0.31625366801053623</v>
      </c>
      <c r="F26" s="628"/>
      <c r="G26" s="628"/>
      <c r="H26" s="2944" t="s">
        <v>2154</v>
      </c>
      <c r="I26" s="2931"/>
      <c r="J26" s="2934">
        <f t="shared" ref="J26:J48" si="2">IF(SUM(C26:E26)=0,"NO",SUM(C26)+28*SUM(D26)+265*SUM(E26))</f>
        <v>3455.3830058678259</v>
      </c>
    </row>
    <row r="27" spans="2:10" ht="18" customHeight="1" x14ac:dyDescent="0.2">
      <c r="B27" s="228" t="s">
        <v>705</v>
      </c>
      <c r="C27" s="2936"/>
      <c r="D27" s="2920">
        <f>'Table3.B(a)'!K24</f>
        <v>60.00759912462793</v>
      </c>
      <c r="E27" s="2920" t="str">
        <f>'Table3.B(b)'!X24</f>
        <v>NA</v>
      </c>
      <c r="F27" s="2942"/>
      <c r="G27" s="2942"/>
      <c r="H27" s="2944" t="s">
        <v>2154</v>
      </c>
      <c r="I27" s="2931"/>
      <c r="J27" s="2934">
        <f t="shared" si="2"/>
        <v>1680.2127754895821</v>
      </c>
    </row>
    <row r="28" spans="2:10" ht="18" customHeight="1" x14ac:dyDescent="0.2">
      <c r="B28" s="228" t="s">
        <v>706</v>
      </c>
      <c r="C28" s="2936"/>
      <c r="D28" s="2920">
        <f>'Table3.B(a)'!K27</f>
        <v>59.057386182994492</v>
      </c>
      <c r="E28" s="2920">
        <f>'Table3.B(b)'!X27</f>
        <v>6.2622861674140592E-2</v>
      </c>
      <c r="F28" s="2942"/>
      <c r="G28" s="2942"/>
      <c r="H28" s="2944" t="s">
        <v>2154</v>
      </c>
      <c r="I28" s="2931"/>
      <c r="J28" s="2934">
        <f t="shared" si="2"/>
        <v>1670.201871467493</v>
      </c>
    </row>
    <row r="29" spans="2:10" ht="18" customHeight="1" x14ac:dyDescent="0.2">
      <c r="B29" s="228" t="s">
        <v>707</v>
      </c>
      <c r="C29" s="2936"/>
      <c r="D29" s="2920">
        <f>'Table3.B(a)'!K30</f>
        <v>3.2486535374186709</v>
      </c>
      <c r="E29" s="2920">
        <f>'Table3.B(b)'!X30</f>
        <v>0.18959883595806792</v>
      </c>
      <c r="F29" s="2942"/>
      <c r="G29" s="2942"/>
      <c r="H29" s="2944" t="s">
        <v>2154</v>
      </c>
      <c r="I29" s="2931"/>
      <c r="J29" s="2934">
        <f t="shared" si="2"/>
        <v>141.20599057661079</v>
      </c>
    </row>
    <row r="30" spans="2:10" ht="18" customHeight="1" thickBot="1" x14ac:dyDescent="0.25">
      <c r="B30" s="1297" t="s">
        <v>708</v>
      </c>
      <c r="C30" s="2945"/>
      <c r="D30" s="2946"/>
      <c r="E30" s="2947">
        <f>SUM('Table3.B(b)'!Y46:Z46)</f>
        <v>0.21014309299785183</v>
      </c>
      <c r="F30" s="2948"/>
      <c r="G30" s="2948"/>
      <c r="H30" s="2949"/>
      <c r="I30" s="2950"/>
      <c r="J30" s="2934">
        <f t="shared" si="2"/>
        <v>55.687919644430735</v>
      </c>
    </row>
    <row r="31" spans="2:10" ht="18" customHeight="1" thickBot="1" x14ac:dyDescent="0.25">
      <c r="B31" s="2639" t="s">
        <v>709</v>
      </c>
      <c r="C31" s="2951"/>
      <c r="D31" s="2952">
        <f>Table3.C!G11</f>
        <v>15.345732206395644</v>
      </c>
      <c r="E31" s="2953"/>
      <c r="F31" s="2953"/>
      <c r="G31" s="2953"/>
      <c r="H31" s="2954" t="s">
        <v>2154</v>
      </c>
      <c r="I31" s="2955"/>
      <c r="J31" s="2956">
        <f t="shared" si="2"/>
        <v>429.68050177907804</v>
      </c>
    </row>
    <row r="32" spans="2:10" ht="18" customHeight="1" x14ac:dyDescent="0.2">
      <c r="B32" s="2638" t="s">
        <v>2020</v>
      </c>
      <c r="C32" s="2957"/>
      <c r="D32" s="2958" t="s">
        <v>2154</v>
      </c>
      <c r="E32" s="2958">
        <f>IF(SUM(E33,E41)=0,"NO",SUM(E33,E41))</f>
        <v>40.778721491556013</v>
      </c>
      <c r="F32" s="2958" t="str">
        <f>IF(SUM(F33,F41)=0,"NO",SUM(F33,F41))</f>
        <v>NO</v>
      </c>
      <c r="G32" s="2958" t="str">
        <f>IF(SUM(G33,G41)=0,"NO",SUM(G33,G41))</f>
        <v>NO</v>
      </c>
      <c r="H32" s="2958" t="str">
        <f>IF(SUM(H33,H41)=0,"NO",SUM(H33,H41))</f>
        <v>NO</v>
      </c>
      <c r="I32" s="2959"/>
      <c r="J32" s="2960">
        <f t="shared" si="2"/>
        <v>10806.361195262343</v>
      </c>
    </row>
    <row r="33" spans="2:10" ht="18" customHeight="1" x14ac:dyDescent="0.2">
      <c r="B33" s="228" t="s">
        <v>710</v>
      </c>
      <c r="C33" s="2961"/>
      <c r="D33" s="2962" t="s">
        <v>2154</v>
      </c>
      <c r="E33" s="2962">
        <f>IF(SUM(E34:E40)=0,"NO",SUM(E34:E40))</f>
        <v>30.820326785749948</v>
      </c>
      <c r="F33" s="2962" t="str">
        <f>IF(SUM(F34:F40)=0,"NO",SUM(F34:F40))</f>
        <v>NO</v>
      </c>
      <c r="G33" s="2962" t="str">
        <f>IF(SUM(G34:G40)=0,"NO",SUM(G34:G40))</f>
        <v>NO</v>
      </c>
      <c r="H33" s="2962" t="str">
        <f>IF(SUM(H34:H40)=0,"NO",SUM(H34:H40))</f>
        <v>NO</v>
      </c>
      <c r="I33" s="2931"/>
      <c r="J33" s="2963">
        <f t="shared" si="2"/>
        <v>8167.3865982237367</v>
      </c>
    </row>
    <row r="34" spans="2:10" ht="18" customHeight="1" x14ac:dyDescent="0.2">
      <c r="B34" s="232" t="s">
        <v>711</v>
      </c>
      <c r="C34" s="2961"/>
      <c r="D34" s="2905" t="s">
        <v>2154</v>
      </c>
      <c r="E34" s="2962">
        <f>Table3.D!F11</f>
        <v>4.3003737444688799</v>
      </c>
      <c r="F34" s="2964" t="s">
        <v>2147</v>
      </c>
      <c r="G34" s="2964" t="s">
        <v>2147</v>
      </c>
      <c r="H34" s="2964" t="s">
        <v>2147</v>
      </c>
      <c r="I34" s="2931"/>
      <c r="J34" s="2963">
        <f t="shared" si="2"/>
        <v>1139.5990422842531</v>
      </c>
    </row>
    <row r="35" spans="2:10" ht="18" customHeight="1" x14ac:dyDescent="0.2">
      <c r="B35" s="232" t="s">
        <v>712</v>
      </c>
      <c r="C35" s="2961"/>
      <c r="D35" s="2905" t="s">
        <v>2154</v>
      </c>
      <c r="E35" s="2962">
        <f>Table3.D!F12</f>
        <v>0.93425272190829634</v>
      </c>
      <c r="F35" s="2964" t="s">
        <v>2147</v>
      </c>
      <c r="G35" s="2964" t="s">
        <v>2147</v>
      </c>
      <c r="H35" s="2965" t="s">
        <v>2147</v>
      </c>
      <c r="I35" s="2931"/>
      <c r="J35" s="2963">
        <f t="shared" si="2"/>
        <v>247.57697130569852</v>
      </c>
    </row>
    <row r="36" spans="2:10" ht="18" customHeight="1" x14ac:dyDescent="0.2">
      <c r="B36" s="232" t="s">
        <v>713</v>
      </c>
      <c r="C36" s="2961"/>
      <c r="D36" s="2905" t="s">
        <v>2154</v>
      </c>
      <c r="E36" s="2962">
        <f>Table3.D!F16</f>
        <v>14.190984620539096</v>
      </c>
      <c r="F36" s="2964" t="s">
        <v>2147</v>
      </c>
      <c r="G36" s="2964" t="s">
        <v>2147</v>
      </c>
      <c r="H36" s="2965" t="s">
        <v>2147</v>
      </c>
      <c r="I36" s="2931"/>
      <c r="J36" s="2963">
        <f t="shared" si="2"/>
        <v>3760.6109244428603</v>
      </c>
    </row>
    <row r="37" spans="2:10" ht="18" customHeight="1" x14ac:dyDescent="0.2">
      <c r="B37" s="232" t="s">
        <v>714</v>
      </c>
      <c r="C37" s="2961"/>
      <c r="D37" s="2905" t="s">
        <v>2154</v>
      </c>
      <c r="E37" s="2962">
        <f>Table3.D!F17</f>
        <v>9.3915749079693214</v>
      </c>
      <c r="F37" s="2964" t="s">
        <v>2147</v>
      </c>
      <c r="G37" s="2964" t="s">
        <v>2147</v>
      </c>
      <c r="H37" s="2965" t="s">
        <v>2147</v>
      </c>
      <c r="I37" s="2931"/>
      <c r="J37" s="2963">
        <f t="shared" si="2"/>
        <v>2488.7673506118704</v>
      </c>
    </row>
    <row r="38" spans="2:10" ht="18" customHeight="1" x14ac:dyDescent="0.2">
      <c r="B38" s="1705" t="s">
        <v>715</v>
      </c>
      <c r="C38" s="2961"/>
      <c r="D38" s="2905" t="s">
        <v>2154</v>
      </c>
      <c r="E38" s="2962">
        <f>Table3.D!F18</f>
        <v>1.9151407908643516</v>
      </c>
      <c r="F38" s="2964" t="s">
        <v>2147</v>
      </c>
      <c r="G38" s="2964" t="s">
        <v>2147</v>
      </c>
      <c r="H38" s="2965" t="s">
        <v>2147</v>
      </c>
      <c r="I38" s="2931"/>
      <c r="J38" s="2963">
        <f t="shared" si="2"/>
        <v>507.51230957905318</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9.9583947058060662</v>
      </c>
      <c r="F41" s="2969" t="s">
        <v>2147</v>
      </c>
      <c r="G41" s="2969" t="s">
        <v>2147</v>
      </c>
      <c r="H41" s="2970" t="s">
        <v>2147</v>
      </c>
      <c r="I41" s="2971"/>
      <c r="J41" s="2972">
        <f t="shared" si="2"/>
        <v>2638.9745970386075</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11.515124871030508</v>
      </c>
      <c r="E43" s="2979">
        <f>SUM(Table3.F!J10,Table3.F!J20,Table3.F!J23,Table3.F!J26:J27)</f>
        <v>0.46027568112210548</v>
      </c>
      <c r="F43" s="2909">
        <v>26.592482533729303</v>
      </c>
      <c r="G43" s="2909">
        <v>449.08986997018991</v>
      </c>
      <c r="H43" s="2910">
        <v>26.196909081594409</v>
      </c>
      <c r="I43" s="2980" t="s">
        <v>2146</v>
      </c>
      <c r="J43" s="2981">
        <f t="shared" si="2"/>
        <v>444.39655188621219</v>
      </c>
    </row>
    <row r="44" spans="2:10" ht="18" customHeight="1" thickBot="1" x14ac:dyDescent="0.25">
      <c r="B44" s="2641" t="s">
        <v>721</v>
      </c>
      <c r="C44" s="2982">
        <f>'Table3.G-J'!E10</f>
        <v>260.25846060066385</v>
      </c>
      <c r="D44" s="2983"/>
      <c r="E44" s="2983"/>
      <c r="F44" s="2983"/>
      <c r="G44" s="2983"/>
      <c r="H44" s="2984"/>
      <c r="I44" s="2985"/>
      <c r="J44" s="2981">
        <f t="shared" si="2"/>
        <v>260.25846060066385</v>
      </c>
    </row>
    <row r="45" spans="2:10" ht="18" customHeight="1" thickBot="1" x14ac:dyDescent="0.25">
      <c r="B45" s="2641" t="s">
        <v>722</v>
      </c>
      <c r="C45" s="2982">
        <f>'Table3.G-J'!E13</f>
        <v>374.63768115942037</v>
      </c>
      <c r="D45" s="2983"/>
      <c r="E45" s="2983"/>
      <c r="F45" s="2983"/>
      <c r="G45" s="2983"/>
      <c r="H45" s="2984"/>
      <c r="I45" s="2985"/>
      <c r="J45" s="2981">
        <f t="shared" si="2"/>
        <v>374.63768115942037</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25381.091000000004</v>
      </c>
      <c r="D10" s="3241"/>
      <c r="E10" s="3241"/>
      <c r="F10" s="3131">
        <f>IF(SUM(C10)=0,"NA",G10*1000/C10)</f>
        <v>54.908199173549683</v>
      </c>
      <c r="G10" s="3242">
        <f>G15</f>
        <v>1393.6299998699894</v>
      </c>
      <c r="I10" s="275" t="s">
        <v>738</v>
      </c>
      <c r="J10" s="276" t="s">
        <v>739</v>
      </c>
      <c r="K10" s="691">
        <v>440.80940832283102</v>
      </c>
      <c r="L10" s="691">
        <v>360.83923386324898</v>
      </c>
      <c r="M10" s="3147">
        <v>541.1875</v>
      </c>
      <c r="N10" s="3147">
        <v>46.441670556438297</v>
      </c>
      <c r="O10" s="2911">
        <v>53.019045047452302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11.001607402967601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25381.091000000004</v>
      </c>
      <c r="D15" s="3248"/>
      <c r="E15" s="3248"/>
      <c r="F15" s="3131">
        <f>IF(SUM(C15)=0,"NA",G15*1000/C15)</f>
        <v>54.908199173549683</v>
      </c>
      <c r="G15" s="3249">
        <f>G20</f>
        <v>1393.6299998699894</v>
      </c>
      <c r="I15" s="1777" t="s">
        <v>748</v>
      </c>
      <c r="J15" s="1849" t="s">
        <v>297</v>
      </c>
      <c r="K15" s="3445">
        <v>75</v>
      </c>
      <c r="L15" s="3445">
        <v>58.024168108215598</v>
      </c>
      <c r="M15" s="1560">
        <v>80</v>
      </c>
      <c r="N15" s="1560">
        <v>66.172201952345105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1393.6299998699894</v>
      </c>
      <c r="I20" s="72"/>
      <c r="J20" s="288"/>
      <c r="K20" s="288"/>
      <c r="L20" s="288"/>
      <c r="M20" s="288"/>
      <c r="N20" s="288"/>
      <c r="O20" s="288"/>
    </row>
    <row r="21" spans="2:15" ht="18" customHeight="1" x14ac:dyDescent="0.2">
      <c r="B21" s="2633" t="s">
        <v>2196</v>
      </c>
      <c r="C21" s="3272">
        <v>2496.951</v>
      </c>
      <c r="D21" s="3257">
        <v>208.851584094598</v>
      </c>
      <c r="E21" s="3257">
        <v>6.14936236636259</v>
      </c>
      <c r="F21" s="3131">
        <f t="shared" ref="F21:F30" si="0">IF(SUM(C21)=0,"NA",G21*1000/C21)</f>
        <v>84.891528105164923</v>
      </c>
      <c r="G21" s="3239">
        <v>211.96998599371966</v>
      </c>
      <c r="I21" s="72"/>
      <c r="J21" s="288"/>
      <c r="K21" s="288"/>
      <c r="L21" s="288"/>
      <c r="M21" s="288"/>
      <c r="N21" s="288"/>
      <c r="O21" s="288"/>
    </row>
    <row r="22" spans="2:15" ht="18" customHeight="1" x14ac:dyDescent="0.2">
      <c r="B22" s="2633" t="s">
        <v>2197</v>
      </c>
      <c r="C22" s="3272">
        <v>22538.935000000001</v>
      </c>
      <c r="D22" s="3257">
        <v>124.935111970271</v>
      </c>
      <c r="E22" s="3257">
        <v>6.21225</v>
      </c>
      <c r="F22" s="3131">
        <f t="shared" si="0"/>
        <v>51.301479807769077</v>
      </c>
      <c r="G22" s="3239">
        <v>1156.2807187911199</v>
      </c>
      <c r="I22" s="72"/>
      <c r="J22" s="288"/>
      <c r="K22" s="288"/>
      <c r="L22" s="288"/>
      <c r="M22" s="288"/>
      <c r="N22" s="288"/>
      <c r="O22" s="288"/>
    </row>
    <row r="23" spans="2:15" ht="18" customHeight="1" x14ac:dyDescent="0.2">
      <c r="B23" s="2633" t="s">
        <v>2198</v>
      </c>
      <c r="C23" s="3272">
        <v>345.20499999999998</v>
      </c>
      <c r="D23" s="3257">
        <v>207.74594972092299</v>
      </c>
      <c r="E23" s="3257">
        <v>5.3539319527033298</v>
      </c>
      <c r="F23" s="3131">
        <f t="shared" si="0"/>
        <v>73.51948866658978</v>
      </c>
      <c r="G23" s="3239">
        <v>25.379295085150122</v>
      </c>
      <c r="I23" s="72"/>
      <c r="J23" s="288"/>
      <c r="K23" s="288"/>
      <c r="L23" s="288"/>
      <c r="M23" s="288"/>
      <c r="N23" s="288"/>
      <c r="O23" s="288"/>
    </row>
    <row r="24" spans="2:15" ht="18" customHeight="1" x14ac:dyDescent="0.2">
      <c r="B24" s="287" t="s">
        <v>753</v>
      </c>
      <c r="C24" s="2635">
        <f>C25</f>
        <v>166526.40700000001</v>
      </c>
      <c r="D24" s="3258"/>
      <c r="E24" s="3258"/>
      <c r="F24" s="3131">
        <f t="shared" si="0"/>
        <v>6.96597656019651</v>
      </c>
      <c r="G24" s="3128">
        <f>G25</f>
        <v>1160.019047815744</v>
      </c>
      <c r="I24" s="72"/>
    </row>
    <row r="25" spans="2:15" ht="18" customHeight="1" x14ac:dyDescent="0.2">
      <c r="B25" s="282" t="s">
        <v>754</v>
      </c>
      <c r="C25" s="2635">
        <f>C26</f>
        <v>166526.40700000001</v>
      </c>
      <c r="D25" s="3258"/>
      <c r="E25" s="3258"/>
      <c r="F25" s="3131">
        <f t="shared" si="0"/>
        <v>6.96597656019651</v>
      </c>
      <c r="G25" s="3128">
        <f>G26</f>
        <v>1160.019047815744</v>
      </c>
    </row>
    <row r="26" spans="2:15" ht="18" customHeight="1" x14ac:dyDescent="0.2">
      <c r="B26" s="2634" t="s">
        <v>2201</v>
      </c>
      <c r="C26" s="289">
        <v>166526.40700000001</v>
      </c>
      <c r="D26" s="3259">
        <v>17.132423318743399</v>
      </c>
      <c r="E26" s="3259">
        <v>6.1512977639902502</v>
      </c>
      <c r="F26" s="3131">
        <f t="shared" si="0"/>
        <v>6.96597656019651</v>
      </c>
      <c r="G26" s="3240">
        <v>1160.019047815744</v>
      </c>
    </row>
    <row r="27" spans="2:15" ht="18" customHeight="1" x14ac:dyDescent="0.2">
      <c r="B27" s="287" t="s">
        <v>755</v>
      </c>
      <c r="C27" s="2635">
        <f>C28</f>
        <v>2572.2240000000002</v>
      </c>
      <c r="D27" s="3258"/>
      <c r="E27" s="3258"/>
      <c r="F27" s="3131">
        <f t="shared" si="0"/>
        <v>1.4331824085900173</v>
      </c>
      <c r="G27" s="3128">
        <f>G28</f>
        <v>3.6864661877530489</v>
      </c>
    </row>
    <row r="28" spans="2:15" ht="18" customHeight="1" x14ac:dyDescent="0.2">
      <c r="B28" s="282" t="s">
        <v>756</v>
      </c>
      <c r="C28" s="2635">
        <f>C29</f>
        <v>2572.2240000000002</v>
      </c>
      <c r="D28" s="3258"/>
      <c r="E28" s="3258"/>
      <c r="F28" s="3131">
        <f t="shared" si="0"/>
        <v>1.4331824085900173</v>
      </c>
      <c r="G28" s="3128">
        <f>G29</f>
        <v>3.6864661877530489</v>
      </c>
    </row>
    <row r="29" spans="2:15" ht="18" customHeight="1" x14ac:dyDescent="0.2">
      <c r="B29" s="2634" t="s">
        <v>817</v>
      </c>
      <c r="C29" s="289">
        <v>2572.2240000000002</v>
      </c>
      <c r="D29" s="3259">
        <v>30.974684636503799</v>
      </c>
      <c r="E29" s="3259">
        <v>0.7</v>
      </c>
      <c r="F29" s="3131">
        <f t="shared" si="0"/>
        <v>1.4331824085900173</v>
      </c>
      <c r="G29" s="3240">
        <v>3.6864661877530489</v>
      </c>
    </row>
    <row r="30" spans="2:15" ht="18" customHeight="1" x14ac:dyDescent="0.2">
      <c r="B30" s="287" t="s">
        <v>757</v>
      </c>
      <c r="C30" s="2635">
        <f>SUM(C32:C39)</f>
        <v>43857.936999999998</v>
      </c>
      <c r="D30" s="3258"/>
      <c r="E30" s="3258"/>
      <c r="F30" s="3131">
        <f t="shared" si="0"/>
        <v>0.27484086442552008</v>
      </c>
      <c r="G30" s="3128">
        <f>SUM(G32:G39)</f>
        <v>12.053953317000001</v>
      </c>
    </row>
    <row r="31" spans="2:15" ht="18" customHeight="1" x14ac:dyDescent="0.2">
      <c r="B31" s="1305" t="s">
        <v>345</v>
      </c>
      <c r="C31" s="3273"/>
      <c r="D31" s="3261"/>
      <c r="E31" s="3261"/>
      <c r="F31" s="3261"/>
      <c r="G31" s="3262"/>
    </row>
    <row r="32" spans="2:15" ht="18" customHeight="1" x14ac:dyDescent="0.2">
      <c r="B32" s="286" t="s">
        <v>758</v>
      </c>
      <c r="C32" s="3267">
        <v>18.623000000000001</v>
      </c>
      <c r="D32" s="3263" t="s">
        <v>2147</v>
      </c>
      <c r="E32" s="3263" t="s">
        <v>2147</v>
      </c>
      <c r="F32" s="3131">
        <f t="shared" ref="F32:F40" si="1">IF(SUM(C32)=0,"NA",G32*1000/C32)</f>
        <v>75.999999999999986</v>
      </c>
      <c r="G32" s="3239">
        <v>1.4153479999999998</v>
      </c>
    </row>
    <row r="33" spans="2:7" ht="18" customHeight="1" x14ac:dyDescent="0.2">
      <c r="B33" s="286" t="s">
        <v>759</v>
      </c>
      <c r="C33" s="3267">
        <v>1.042</v>
      </c>
      <c r="D33" s="3263" t="s">
        <v>2147</v>
      </c>
      <c r="E33" s="3263" t="s">
        <v>2147</v>
      </c>
      <c r="F33" s="3131">
        <f t="shared" si="1"/>
        <v>46.018717850287899</v>
      </c>
      <c r="G33" s="3239">
        <v>4.7951503999999992E-2</v>
      </c>
    </row>
    <row r="34" spans="2:7" ht="18" customHeight="1" x14ac:dyDescent="0.2">
      <c r="B34" s="286" t="s">
        <v>760</v>
      </c>
      <c r="C34" s="3267">
        <v>80.445999999999998</v>
      </c>
      <c r="D34" s="3263" t="s">
        <v>2147</v>
      </c>
      <c r="E34" s="3263" t="s">
        <v>2147</v>
      </c>
      <c r="F34" s="3131">
        <f t="shared" si="1"/>
        <v>20.000017651592373</v>
      </c>
      <c r="G34" s="3239">
        <v>1.6089214199999999</v>
      </c>
    </row>
    <row r="35" spans="2:7" ht="18" customHeight="1" x14ac:dyDescent="0.2">
      <c r="B35" s="286" t="s">
        <v>761</v>
      </c>
      <c r="C35" s="3267">
        <v>530.476</v>
      </c>
      <c r="D35" s="3263" t="s">
        <v>2147</v>
      </c>
      <c r="E35" s="3263" t="s">
        <v>2147</v>
      </c>
      <c r="F35" s="3131">
        <f t="shared" si="1"/>
        <v>5.0000008765712307</v>
      </c>
      <c r="G35" s="3239">
        <v>2.6523804650000002</v>
      </c>
    </row>
    <row r="36" spans="2:7" ht="18" customHeight="1" x14ac:dyDescent="0.2">
      <c r="B36" s="286" t="s">
        <v>762</v>
      </c>
      <c r="C36" s="3267">
        <v>347.01400000000001</v>
      </c>
      <c r="D36" s="3263" t="s">
        <v>2147</v>
      </c>
      <c r="E36" s="3263" t="s">
        <v>2147</v>
      </c>
      <c r="F36" s="3131">
        <f t="shared" si="1"/>
        <v>17.999999014448985</v>
      </c>
      <c r="G36" s="3239">
        <v>6.2462516580000003</v>
      </c>
    </row>
    <row r="37" spans="2:7" ht="18" customHeight="1" x14ac:dyDescent="0.2">
      <c r="B37" s="286" t="s">
        <v>763</v>
      </c>
      <c r="C37" s="3267">
        <v>3.3260000000000001</v>
      </c>
      <c r="D37" s="3263" t="s">
        <v>2147</v>
      </c>
      <c r="E37" s="3263" t="s">
        <v>2147</v>
      </c>
      <c r="F37" s="3131">
        <f t="shared" si="1"/>
        <v>10.001434155141308</v>
      </c>
      <c r="G37" s="3239">
        <v>3.3264769999999992E-2</v>
      </c>
    </row>
    <row r="38" spans="2:7" ht="18" customHeight="1" x14ac:dyDescent="0.2">
      <c r="B38" s="286" t="s">
        <v>764</v>
      </c>
      <c r="C38" s="3274">
        <v>42867.540999999997</v>
      </c>
      <c r="D38" s="3263" t="s">
        <v>2147</v>
      </c>
      <c r="E38" s="3263" t="s">
        <v>2147</v>
      </c>
      <c r="F38" s="3131" t="s">
        <v>2147</v>
      </c>
      <c r="G38" s="3264" t="s">
        <v>2154</v>
      </c>
    </row>
    <row r="39" spans="2:7" ht="18" customHeight="1" x14ac:dyDescent="0.2">
      <c r="B39" s="286" t="s">
        <v>765</v>
      </c>
      <c r="C39" s="2635">
        <f>SUM(C40:C44)</f>
        <v>9.4689999999999994</v>
      </c>
      <c r="D39" s="3258"/>
      <c r="E39" s="3258"/>
      <c r="F39" s="3131">
        <f t="shared" si="1"/>
        <v>5.2630161579892274</v>
      </c>
      <c r="G39" s="3128">
        <f>SUM(G40:G44)</f>
        <v>4.9835499999999991E-2</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8.6379999999999999</v>
      </c>
      <c r="D42" s="2967" t="s">
        <v>2147</v>
      </c>
      <c r="E42" s="2967" t="s">
        <v>2147</v>
      </c>
      <c r="F42" s="3131">
        <f t="shared" si="2"/>
        <v>5.000173651308172</v>
      </c>
      <c r="G42" s="3201">
        <v>4.3191499999999994E-2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0.83099999999999996</v>
      </c>
      <c r="D44" s="3258"/>
      <c r="E44" s="3258"/>
      <c r="F44" s="3131">
        <f>IF(SUM(C44)=0,"NA",G44*1000/C44)</f>
        <v>7.9951865222623351</v>
      </c>
      <c r="G44" s="3128">
        <f>G45</f>
        <v>6.6439999999999997E-3</v>
      </c>
    </row>
    <row r="45" spans="2:7" ht="18" customHeight="1" thickBot="1" x14ac:dyDescent="0.25">
      <c r="B45" s="2636" t="s">
        <v>2199</v>
      </c>
      <c r="C45" s="3276">
        <v>0.83099999999999996</v>
      </c>
      <c r="D45" s="3137" t="s">
        <v>2147</v>
      </c>
      <c r="E45" s="3137" t="s">
        <v>2147</v>
      </c>
      <c r="F45" s="3265">
        <f>IF(SUM(C45)=0,"NA",G45*1000/C45)</f>
        <v>7.9951865222623351</v>
      </c>
      <c r="G45" s="3203">
        <v>6.6439999999999997E-3</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25381.091000000004</v>
      </c>
      <c r="D10" s="2942"/>
      <c r="E10" s="2942"/>
      <c r="F10" s="2942"/>
      <c r="G10" s="2942"/>
      <c r="H10" s="2942"/>
      <c r="I10" s="3279"/>
      <c r="J10" s="3280">
        <f>IF(SUM(C10)=0,"NA",K10*1000/C10)</f>
        <v>4.7442176875536326</v>
      </c>
      <c r="K10" s="3281">
        <f>K15</f>
        <v>120.41342085160834</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25381.091000000004</v>
      </c>
      <c r="D15" s="3293"/>
      <c r="E15" s="3293"/>
      <c r="F15" s="3293"/>
      <c r="G15" s="3293"/>
      <c r="H15" s="3293"/>
      <c r="I15" s="3288"/>
      <c r="J15" s="3287">
        <f>IF(SUM(C15)=0,"NA",K15*1000/C15)</f>
        <v>4.7442176875536326</v>
      </c>
      <c r="K15" s="3281">
        <f>SUM(K17:K20)</f>
        <v>120.41342085160834</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25381.091000000004</v>
      </c>
      <c r="D20" s="3293"/>
      <c r="E20" s="3293"/>
      <c r="F20" s="3293"/>
      <c r="G20" s="3293"/>
      <c r="H20" s="3293"/>
      <c r="I20" s="3288"/>
      <c r="J20" s="3301">
        <f>IF(SUM(C20)=0,"NA",K20*1000/C20)</f>
        <v>4.7442176875536326</v>
      </c>
      <c r="K20" s="3281">
        <f>SUM(K21:K23)</f>
        <v>120.41342085160834</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2496.951</v>
      </c>
      <c r="D21" s="3325">
        <v>5.7145760696403602</v>
      </c>
      <c r="E21" s="3325">
        <v>94.240489130955424</v>
      </c>
      <c r="F21" s="3325">
        <v>4.4934799404220002E-2</v>
      </c>
      <c r="G21" s="3298">
        <f>Table3.A!K10</f>
        <v>440.80940832283102</v>
      </c>
      <c r="H21" s="3299">
        <v>2.9991180595353502</v>
      </c>
      <c r="I21" s="3300">
        <v>0.24</v>
      </c>
      <c r="J21" s="3301">
        <f>IF(SUM(C21)=0,"NA",K21*1000/C21)</f>
        <v>7.2815131796257972</v>
      </c>
      <c r="K21" s="3277">
        <v>18.181581615379816</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22538.935000000001</v>
      </c>
      <c r="D22" s="3325" t="s">
        <v>2146</v>
      </c>
      <c r="E22" s="3325">
        <v>86.244201235473199</v>
      </c>
      <c r="F22" s="3325">
        <v>13.7557987645268</v>
      </c>
      <c r="G22" s="3298">
        <f>Table3.A!L10</f>
        <v>360.83923386324898</v>
      </c>
      <c r="H22" s="3299" t="s">
        <v>2147</v>
      </c>
      <c r="I22" s="3300" t="s">
        <v>2147</v>
      </c>
      <c r="J22" s="3301">
        <f t="shared" ref="J22:J45" si="0">IF(SUM(C22)=0,"NA",K22*1000/C22)</f>
        <v>4.4827061537785369</v>
      </c>
      <c r="K22" s="3277">
        <v>101.03542262411445</v>
      </c>
      <c r="M22" s="1594" t="s">
        <v>800</v>
      </c>
      <c r="N22" s="4486" t="s">
        <v>2196</v>
      </c>
      <c r="O22" s="1690" t="s">
        <v>802</v>
      </c>
      <c r="P22" s="1691" t="s">
        <v>791</v>
      </c>
      <c r="Q22" s="3774">
        <v>2.9515412290317</v>
      </c>
      <c r="R22" s="300" t="s">
        <v>2146</v>
      </c>
      <c r="S22" s="3772">
        <v>6.4470609105793102</v>
      </c>
      <c r="T22" s="3772">
        <v>0.87474622891367981</v>
      </c>
      <c r="U22" s="3772" t="s">
        <v>2146</v>
      </c>
      <c r="V22" s="3772" t="s">
        <v>2153</v>
      </c>
      <c r="W22" s="3772" t="s">
        <v>2146</v>
      </c>
      <c r="X22" s="3772">
        <v>89.726651631475306</v>
      </c>
      <c r="Y22" s="301" t="s">
        <v>2146</v>
      </c>
      <c r="Z22" s="301" t="s">
        <v>2146</v>
      </c>
      <c r="AA22" s="301" t="s">
        <v>2146</v>
      </c>
      <c r="AB22" s="1306" t="s">
        <v>2146</v>
      </c>
    </row>
    <row r="23" spans="2:28" s="84" customFormat="1" ht="18" customHeight="1" x14ac:dyDescent="0.2">
      <c r="B23" s="2642" t="s">
        <v>2198</v>
      </c>
      <c r="C23" s="3325">
        <f>Table3.A!C23</f>
        <v>345.20499999999998</v>
      </c>
      <c r="D23" s="3325" t="s">
        <v>2146</v>
      </c>
      <c r="E23" s="3325">
        <v>100</v>
      </c>
      <c r="F23" s="3325" t="s">
        <v>2146</v>
      </c>
      <c r="G23" s="3298">
        <f>Table3.A!M10</f>
        <v>541.1875</v>
      </c>
      <c r="H23" s="3299">
        <v>1.81777706005807</v>
      </c>
      <c r="I23" s="3300">
        <v>0.19</v>
      </c>
      <c r="J23" s="3301">
        <f t="shared" si="0"/>
        <v>3.4658148407875711</v>
      </c>
      <c r="K23" s="3277">
        <v>1.1964166121140734</v>
      </c>
      <c r="M23" s="1664" t="s">
        <v>813</v>
      </c>
      <c r="N23" s="4487"/>
      <c r="O23" s="1692" t="s">
        <v>794</v>
      </c>
      <c r="P23" s="1693" t="s">
        <v>792</v>
      </c>
      <c r="Q23" s="3776">
        <v>3.2677932613470699</v>
      </c>
      <c r="R23" s="277" t="s">
        <v>2146</v>
      </c>
      <c r="S23" s="691">
        <v>6.0534277111624704</v>
      </c>
      <c r="T23" s="3147">
        <v>1.1230199004236996</v>
      </c>
      <c r="U23" s="3147" t="s">
        <v>2146</v>
      </c>
      <c r="V23" s="3147" t="s">
        <v>2153</v>
      </c>
      <c r="W23" s="3147" t="s">
        <v>2146</v>
      </c>
      <c r="X23" s="3147">
        <v>89.555759127066807</v>
      </c>
      <c r="Y23" s="278" t="s">
        <v>2146</v>
      </c>
      <c r="Z23" s="278" t="s">
        <v>2146</v>
      </c>
      <c r="AA23" s="278" t="s">
        <v>2146</v>
      </c>
      <c r="AB23" s="279" t="s">
        <v>2146</v>
      </c>
    </row>
    <row r="24" spans="2:28" s="84" customFormat="1" ht="18" customHeight="1" thickBot="1" x14ac:dyDescent="0.25">
      <c r="B24" s="1643" t="s">
        <v>811</v>
      </c>
      <c r="C24" s="4184">
        <f>C25</f>
        <v>166526.40700000001</v>
      </c>
      <c r="D24" s="3303"/>
      <c r="E24" s="3303"/>
      <c r="F24" s="3303"/>
      <c r="G24" s="3303"/>
      <c r="H24" s="3303"/>
      <c r="I24" s="3304"/>
      <c r="J24" s="3301">
        <f t="shared" si="0"/>
        <v>0.36034884920460647</v>
      </c>
      <c r="K24" s="3281">
        <f>K25</f>
        <v>60.00759912462793</v>
      </c>
      <c r="M24" s="1656"/>
      <c r="N24" s="4487"/>
      <c r="O24" s="1694"/>
      <c r="P24" s="1693" t="s">
        <v>793</v>
      </c>
      <c r="Q24" s="4208">
        <v>1.9545259175923</v>
      </c>
      <c r="R24" s="304" t="s">
        <v>2146</v>
      </c>
      <c r="S24" s="1559">
        <v>8.9224108138088702</v>
      </c>
      <c r="T24" s="1560">
        <v>1.7297554370691897</v>
      </c>
      <c r="U24" s="1560" t="s">
        <v>2146</v>
      </c>
      <c r="V24" s="1560" t="s">
        <v>2153</v>
      </c>
      <c r="W24" s="1560" t="s">
        <v>2146</v>
      </c>
      <c r="X24" s="1560">
        <v>87.393307831529597</v>
      </c>
      <c r="Y24" s="305" t="s">
        <v>2146</v>
      </c>
      <c r="Z24" s="305" t="s">
        <v>2146</v>
      </c>
      <c r="AA24" s="305" t="s">
        <v>2146</v>
      </c>
      <c r="AB24" s="442" t="s">
        <v>2146</v>
      </c>
    </row>
    <row r="25" spans="2:28" s="84" customFormat="1" ht="18" customHeight="1" x14ac:dyDescent="0.2">
      <c r="B25" s="1644" t="s">
        <v>812</v>
      </c>
      <c r="C25" s="4184">
        <f>C26</f>
        <v>166526.40700000001</v>
      </c>
      <c r="D25" s="3250"/>
      <c r="E25" s="3250"/>
      <c r="F25" s="3250"/>
      <c r="G25" s="3250"/>
      <c r="H25" s="3250"/>
      <c r="I25" s="3260"/>
      <c r="J25" s="3301">
        <f t="shared" si="0"/>
        <v>0.36034884920460647</v>
      </c>
      <c r="K25" s="3281">
        <f>K26</f>
        <v>60.00759912462793</v>
      </c>
      <c r="M25" s="1656"/>
      <c r="N25" s="4487"/>
      <c r="O25" s="1695" t="s">
        <v>2026</v>
      </c>
      <c r="P25" s="1691" t="s">
        <v>791</v>
      </c>
      <c r="Q25" s="4209">
        <v>0.70005028421925997</v>
      </c>
      <c r="R25" s="1308" t="s">
        <v>2146</v>
      </c>
      <c r="S25" s="692">
        <v>5.5312591407329997E-2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166526.40700000001</v>
      </c>
      <c r="D26" s="3325" t="s">
        <v>2146</v>
      </c>
      <c r="E26" s="3325">
        <v>100</v>
      </c>
      <c r="F26" s="3325" t="s">
        <v>2146</v>
      </c>
      <c r="G26" s="3305">
        <f>Table3.A!N10</f>
        <v>46.441670556438297</v>
      </c>
      <c r="H26" s="3033" t="s">
        <v>2147</v>
      </c>
      <c r="I26" s="3126" t="s">
        <v>2147</v>
      </c>
      <c r="J26" s="3301">
        <f t="shared" si="0"/>
        <v>0.36034884920460647</v>
      </c>
      <c r="K26" s="3277">
        <v>60.00759912462793</v>
      </c>
      <c r="M26" s="1656"/>
      <c r="N26" s="4487"/>
      <c r="O26" s="1696"/>
      <c r="P26" s="1693" t="s">
        <v>792</v>
      </c>
      <c r="Q26" s="3776">
        <v>0.74567496465422001</v>
      </c>
      <c r="R26" s="277" t="s">
        <v>2146</v>
      </c>
      <c r="S26" s="691">
        <v>0.12255038466114</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2572.2240000000002</v>
      </c>
      <c r="D27" s="3250"/>
      <c r="E27" s="3250"/>
      <c r="F27" s="3250"/>
      <c r="G27" s="3250"/>
      <c r="H27" s="3250"/>
      <c r="I27" s="3260"/>
      <c r="J27" s="3301">
        <f t="shared" si="0"/>
        <v>22.959659105503444</v>
      </c>
      <c r="K27" s="3281">
        <f>K28</f>
        <v>59.057386182994492</v>
      </c>
      <c r="M27" s="1656"/>
      <c r="N27" s="4488"/>
      <c r="O27" s="1697"/>
      <c r="P27" s="1693" t="s">
        <v>793</v>
      </c>
      <c r="Q27" s="4208">
        <v>0.8</v>
      </c>
      <c r="R27" s="304" t="s">
        <v>2146</v>
      </c>
      <c r="S27" s="1559">
        <v>0.49409638554217</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2572.2240000000002</v>
      </c>
      <c r="D28" s="3250"/>
      <c r="E28" s="3250"/>
      <c r="F28" s="3250"/>
      <c r="G28" s="3250"/>
      <c r="H28" s="3250"/>
      <c r="I28" s="3260"/>
      <c r="J28" s="3301">
        <f t="shared" si="0"/>
        <v>22.959659105503444</v>
      </c>
      <c r="K28" s="3281">
        <f>K29</f>
        <v>59.057386182994492</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2572.2240000000002</v>
      </c>
      <c r="D29" s="3325">
        <v>1.5073986035579601</v>
      </c>
      <c r="E29" s="3325">
        <v>98.492601396442041</v>
      </c>
      <c r="F29" s="3325" t="s">
        <v>2146</v>
      </c>
      <c r="G29" s="3305">
        <f>Table3.A!O10</f>
        <v>53.019045047452302</v>
      </c>
      <c r="H29" s="3033">
        <v>0.30078091790907002</v>
      </c>
      <c r="I29" s="3126">
        <v>0.45</v>
      </c>
      <c r="J29" s="3301">
        <f t="shared" si="0"/>
        <v>22.959659105503444</v>
      </c>
      <c r="K29" s="3277">
        <v>59.057386182994492</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43857.936999999998</v>
      </c>
      <c r="D30" s="3250"/>
      <c r="E30" s="3250"/>
      <c r="F30" s="3250"/>
      <c r="G30" s="3250"/>
      <c r="H30" s="3250"/>
      <c r="I30" s="3260"/>
      <c r="J30" s="3301">
        <f t="shared" si="0"/>
        <v>7.4072192164867934E-2</v>
      </c>
      <c r="K30" s="3281">
        <f>SUM(K32:K39)</f>
        <v>3.2486535374186709</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18.623000000000001</v>
      </c>
      <c r="D32" s="3325" t="s">
        <v>2146</v>
      </c>
      <c r="E32" s="3325" t="s">
        <v>2146</v>
      </c>
      <c r="F32" s="3325">
        <v>100</v>
      </c>
      <c r="G32" s="3307" t="s">
        <v>2147</v>
      </c>
      <c r="H32" s="3307" t="s">
        <v>2147</v>
      </c>
      <c r="I32" s="3307" t="s">
        <v>2147</v>
      </c>
      <c r="J32" s="3301">
        <f t="shared" si="0"/>
        <v>11.569996682399509</v>
      </c>
      <c r="K32" s="3277">
        <v>0.21546804821632609</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1.042</v>
      </c>
      <c r="D33" s="3325" t="s">
        <v>2146</v>
      </c>
      <c r="E33" s="3325">
        <v>41.6744050405593</v>
      </c>
      <c r="F33" s="3325">
        <v>58.3255949594407</v>
      </c>
      <c r="G33" s="3307" t="s">
        <v>2147</v>
      </c>
      <c r="H33" s="3307" t="s">
        <v>2147</v>
      </c>
      <c r="I33" s="3307" t="s">
        <v>2147</v>
      </c>
      <c r="J33" s="3287">
        <f t="shared" si="0"/>
        <v>8.0016014505421715</v>
      </c>
      <c r="K33" s="3277">
        <v>8.337668711464942E-3</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80.445999999999998</v>
      </c>
      <c r="D34" s="3325" t="s">
        <v>2146</v>
      </c>
      <c r="E34" s="3325">
        <v>100</v>
      </c>
      <c r="F34" s="3325" t="e">
        <v>#VALUE!</v>
      </c>
      <c r="G34" s="3307" t="s">
        <v>2147</v>
      </c>
      <c r="H34" s="3307" t="s">
        <v>2147</v>
      </c>
      <c r="I34" s="3307" t="s">
        <v>2147</v>
      </c>
      <c r="J34" s="3287">
        <f t="shared" si="0"/>
        <v>0.9998771389740666</v>
      </c>
      <c r="K34" s="3277">
        <v>8.0436116321907766E-2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530.476</v>
      </c>
      <c r="D35" s="3325" t="s">
        <v>2146</v>
      </c>
      <c r="E35" s="3325">
        <v>99.608845332074182</v>
      </c>
      <c r="F35" s="3325">
        <v>0.39115466792581999</v>
      </c>
      <c r="G35" s="3307" t="s">
        <v>2147</v>
      </c>
      <c r="H35" s="3307" t="s">
        <v>2147</v>
      </c>
      <c r="I35" s="3307" t="s">
        <v>2147</v>
      </c>
      <c r="J35" s="3287">
        <f t="shared" si="0"/>
        <v>0.36131599506516332</v>
      </c>
      <c r="K35" s="3277">
        <v>0.19166946379818756</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347.01400000000001</v>
      </c>
      <c r="D36" s="3325" t="s">
        <v>2146</v>
      </c>
      <c r="E36" s="3325">
        <v>95.699465203968245</v>
      </c>
      <c r="F36" s="3325">
        <v>4.3005347960317497</v>
      </c>
      <c r="G36" s="3307" t="s">
        <v>2147</v>
      </c>
      <c r="H36" s="3307" t="s">
        <v>2147</v>
      </c>
      <c r="I36" s="3307" t="s">
        <v>2147</v>
      </c>
      <c r="J36" s="3287">
        <f t="shared" si="0"/>
        <v>3.3682002393341768</v>
      </c>
      <c r="K36" s="3277">
        <v>1.16881263785231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3.3260000000000001</v>
      </c>
      <c r="D37" s="3325" t="s">
        <v>2146</v>
      </c>
      <c r="E37" s="3325">
        <v>94.686630931162313</v>
      </c>
      <c r="F37" s="3325">
        <v>5.31336906883769</v>
      </c>
      <c r="G37" s="3307" t="s">
        <v>2147</v>
      </c>
      <c r="H37" s="3307" t="s">
        <v>2147</v>
      </c>
      <c r="I37" s="3307" t="s">
        <v>2147</v>
      </c>
      <c r="J37" s="3287">
        <f t="shared" si="0"/>
        <v>1.1518331828205863</v>
      </c>
      <c r="K37" s="3277">
        <v>3.8309971660612707E-3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42867.540999999997</v>
      </c>
      <c r="D38" s="3325">
        <v>1.54966594721811</v>
      </c>
      <c r="E38" s="3325">
        <v>98.450334052781884</v>
      </c>
      <c r="F38" s="3325" t="s">
        <v>2146</v>
      </c>
      <c r="G38" s="3307" t="s">
        <v>2147</v>
      </c>
      <c r="H38" s="3307" t="s">
        <v>2147</v>
      </c>
      <c r="I38" s="3307" t="s">
        <v>2147</v>
      </c>
      <c r="J38" s="3287">
        <f t="shared" si="0"/>
        <v>3.6781097138209179E-2</v>
      </c>
      <c r="K38" s="3277">
        <v>1.5767151895971647</v>
      </c>
      <c r="M38" s="1656"/>
      <c r="N38" s="4487"/>
      <c r="O38" s="1696"/>
      <c r="P38" s="1693" t="s">
        <v>792</v>
      </c>
      <c r="Q38" s="3776">
        <v>0.75843033697620998</v>
      </c>
      <c r="R38" s="277" t="s">
        <v>2146</v>
      </c>
      <c r="S38" s="277" t="s">
        <v>2146</v>
      </c>
      <c r="T38" s="3147" t="s">
        <v>2153</v>
      </c>
      <c r="U38" s="3147" t="s">
        <v>2146</v>
      </c>
      <c r="V38" s="3147">
        <v>1.8168563597749661E-2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9.4689999999999994</v>
      </c>
      <c r="D39" s="3294"/>
      <c r="E39" s="3294"/>
      <c r="F39" s="3294"/>
      <c r="G39" s="3294"/>
      <c r="H39" s="3294"/>
      <c r="I39" s="3295"/>
      <c r="J39" s="3287">
        <f t="shared" si="0"/>
        <v>0.35731500213841944</v>
      </c>
      <c r="K39" s="3281">
        <f>SUM(K40:K44)</f>
        <v>3.3834157552486937E-3</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87.8</v>
      </c>
      <c r="R40" s="300" t="s">
        <v>2146</v>
      </c>
      <c r="S40" s="300" t="s">
        <v>2146</v>
      </c>
      <c r="T40" s="3773" t="s">
        <v>2153</v>
      </c>
      <c r="U40" s="3773" t="s">
        <v>2153</v>
      </c>
      <c r="V40" s="3773">
        <v>8.5500000000000007</v>
      </c>
      <c r="W40" s="3773" t="s">
        <v>2153</v>
      </c>
      <c r="X40" s="301" t="s">
        <v>2146</v>
      </c>
      <c r="Y40" s="301" t="s">
        <v>2146</v>
      </c>
      <c r="Z40" s="3773" t="s">
        <v>2146</v>
      </c>
      <c r="AA40" s="301" t="s">
        <v>2146</v>
      </c>
      <c r="AB40" s="3775">
        <v>4.7</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89.113432216723297</v>
      </c>
      <c r="R41" s="277" t="s">
        <v>2146</v>
      </c>
      <c r="S41" s="277" t="s">
        <v>2146</v>
      </c>
      <c r="T41" s="3147" t="s">
        <v>2153</v>
      </c>
      <c r="U41" s="3147" t="s">
        <v>2153</v>
      </c>
      <c r="V41" s="3147">
        <v>7.3264845558349725</v>
      </c>
      <c r="W41" s="3147" t="s">
        <v>2153</v>
      </c>
      <c r="X41" s="278" t="s">
        <v>2146</v>
      </c>
      <c r="Y41" s="278" t="s">
        <v>2146</v>
      </c>
      <c r="Z41" s="3147">
        <v>0.3659821225862</v>
      </c>
      <c r="AA41" s="278" t="s">
        <v>2146</v>
      </c>
      <c r="AB41" s="2911">
        <v>2.7163022648972999</v>
      </c>
    </row>
    <row r="42" spans="2:28" s="84" customFormat="1" ht="18" customHeight="1" thickBot="1" x14ac:dyDescent="0.25">
      <c r="B42" s="350" t="s">
        <v>828</v>
      </c>
      <c r="C42" s="3307">
        <f>Table3.A!C42</f>
        <v>8.6379999999999999</v>
      </c>
      <c r="D42" s="3325" t="s">
        <v>2146</v>
      </c>
      <c r="E42" s="3325">
        <v>100</v>
      </c>
      <c r="F42" s="3325" t="s">
        <v>2146</v>
      </c>
      <c r="G42" s="3307" t="s">
        <v>2147</v>
      </c>
      <c r="H42" s="3307" t="s">
        <v>2147</v>
      </c>
      <c r="I42" s="3307" t="s">
        <v>2147</v>
      </c>
      <c r="J42" s="3287">
        <f t="shared" si="0"/>
        <v>0.3573349592517629</v>
      </c>
      <c r="K42" s="3277">
        <v>3.0866593780167276E-3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1.5321637426900585</v>
      </c>
      <c r="W43" s="3773" t="s">
        <v>2153</v>
      </c>
      <c r="X43" s="301" t="s">
        <v>2146</v>
      </c>
      <c r="Y43" s="301" t="s">
        <v>2146</v>
      </c>
      <c r="Z43" s="3773" t="s">
        <v>2146</v>
      </c>
      <c r="AA43" s="301" t="s">
        <v>2146</v>
      </c>
      <c r="AB43" s="3775">
        <v>3.2127659574470002E-2</v>
      </c>
    </row>
    <row r="44" spans="2:28" s="84" customFormat="1" ht="18" customHeight="1" x14ac:dyDescent="0.2">
      <c r="B44" s="2644" t="s">
        <v>2091</v>
      </c>
      <c r="C44" s="4184">
        <f>C45</f>
        <v>0.83099999999999996</v>
      </c>
      <c r="D44" s="3294"/>
      <c r="E44" s="3294"/>
      <c r="F44" s="3294"/>
      <c r="G44" s="3294"/>
      <c r="H44" s="3294"/>
      <c r="I44" s="3295"/>
      <c r="J44" s="3287">
        <f t="shared" si="0"/>
        <v>0.35710755382908071</v>
      </c>
      <c r="K44" s="3281">
        <f>K45</f>
        <v>2.9675637723196606E-4</v>
      </c>
      <c r="M44" s="4491"/>
      <c r="N44" s="4492"/>
      <c r="O44" s="1696"/>
      <c r="P44" s="1693" t="s">
        <v>792</v>
      </c>
      <c r="Q44" s="3776">
        <v>0.75539735364975003</v>
      </c>
      <c r="R44" s="277" t="s">
        <v>2146</v>
      </c>
      <c r="S44" s="277" t="s">
        <v>2146</v>
      </c>
      <c r="T44" s="3147" t="s">
        <v>2153</v>
      </c>
      <c r="U44" s="3147" t="s">
        <v>2153</v>
      </c>
      <c r="V44" s="3147">
        <v>1.6566523450926007</v>
      </c>
      <c r="W44" s="3147" t="s">
        <v>2153</v>
      </c>
      <c r="X44" s="278" t="s">
        <v>2146</v>
      </c>
      <c r="Y44" s="278" t="s">
        <v>2146</v>
      </c>
      <c r="Z44" s="3147">
        <v>0.1</v>
      </c>
      <c r="AA44" s="278" t="s">
        <v>2146</v>
      </c>
      <c r="AB44" s="2911">
        <v>3.3962050394149998E-2</v>
      </c>
    </row>
    <row r="45" spans="2:28" s="84" customFormat="1" ht="18" customHeight="1" thickBot="1" x14ac:dyDescent="0.25">
      <c r="B45" s="2648" t="s">
        <v>2199</v>
      </c>
      <c r="C45" s="4186">
        <f>Table3.A!C45</f>
        <v>0.83099999999999996</v>
      </c>
      <c r="D45" s="3040" t="s">
        <v>2146</v>
      </c>
      <c r="E45" s="3040">
        <v>100</v>
      </c>
      <c r="F45" s="3040" t="s">
        <v>2146</v>
      </c>
      <c r="G45" s="3040" t="s">
        <v>2147</v>
      </c>
      <c r="H45" s="3040" t="s">
        <v>2147</v>
      </c>
      <c r="I45" s="3308" t="s">
        <v>2147</v>
      </c>
      <c r="J45" s="3309">
        <f t="shared" si="0"/>
        <v>0.35710755382908071</v>
      </c>
      <c r="K45" s="3278">
        <v>2.9675637723196606E-4</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53.986077056765666</v>
      </c>
      <c r="U46" s="3773" t="s">
        <v>2146</v>
      </c>
      <c r="V46" s="3773" t="s">
        <v>2146</v>
      </c>
      <c r="W46" s="3773" t="s">
        <v>2153</v>
      </c>
      <c r="X46" s="3773">
        <v>0.16994048199676001</v>
      </c>
      <c r="Y46" s="3773">
        <v>16.296130100296999</v>
      </c>
      <c r="Z46" s="3773">
        <v>0.61367257491564997</v>
      </c>
      <c r="AA46" s="301" t="s">
        <v>2146</v>
      </c>
      <c r="AB46" s="3775">
        <v>99.880158714675304</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47.3454709724898</v>
      </c>
      <c r="U47" s="3147" t="s">
        <v>2146</v>
      </c>
      <c r="V47" s="3147" t="s">
        <v>2146</v>
      </c>
      <c r="W47" s="3147" t="s">
        <v>2153</v>
      </c>
      <c r="X47" s="3147">
        <v>0.18256607994337001</v>
      </c>
      <c r="Y47" s="3147">
        <v>18.0027006107453</v>
      </c>
      <c r="Z47" s="3147">
        <v>0.35591783643614</v>
      </c>
      <c r="AA47" s="278" t="s">
        <v>2146</v>
      </c>
      <c r="AB47" s="2911">
        <v>99.846490453484407</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1.31846578048E-2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25381.091000000004</v>
      </c>
      <c r="D10" s="3490"/>
      <c r="E10" s="3491"/>
      <c r="F10" s="3478">
        <f>F15</f>
        <v>9811630.2947023008</v>
      </c>
      <c r="G10" s="3478" t="str">
        <f t="shared" ref="G10:R10" si="0">G15</f>
        <v>NO</v>
      </c>
      <c r="H10" s="3478">
        <f t="shared" si="0"/>
        <v>17341483.932171401</v>
      </c>
      <c r="I10" s="3478">
        <f t="shared" si="0"/>
        <v>3171895.1422815677</v>
      </c>
      <c r="J10" s="3478" t="str">
        <f t="shared" si="0"/>
        <v>NO</v>
      </c>
      <c r="K10" s="3478">
        <f t="shared" si="0"/>
        <v>34999115.711966053</v>
      </c>
      <c r="L10" s="3478" t="str">
        <f t="shared" si="0"/>
        <v>NO</v>
      </c>
      <c r="M10" s="3478">
        <f t="shared" si="0"/>
        <v>1064070665.8385329</v>
      </c>
      <c r="N10" s="3478" t="str">
        <f t="shared" si="0"/>
        <v>NO</v>
      </c>
      <c r="O10" s="3478" t="str">
        <f t="shared" si="0"/>
        <v>NO</v>
      </c>
      <c r="P10" s="3478" t="str">
        <f t="shared" si="0"/>
        <v>NO</v>
      </c>
      <c r="Q10" s="3478" t="str">
        <f t="shared" si="0"/>
        <v>NO</v>
      </c>
      <c r="R10" s="3478">
        <f t="shared" si="0"/>
        <v>1129394790.9196544</v>
      </c>
      <c r="S10" s="2651"/>
      <c r="T10" s="2652"/>
      <c r="U10" s="3456">
        <f>IF(SUM(X10)=0,"NA",X10*1000/C10)</f>
        <v>1.2460207798417182E-2</v>
      </c>
      <c r="V10" s="3448"/>
      <c r="W10" s="3449"/>
      <c r="X10" s="3311">
        <f t="shared" ref="X10" si="1">X15</f>
        <v>0.31625366801053623</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25381.091000000004</v>
      </c>
      <c r="D15" s="3493"/>
      <c r="E15" s="3493"/>
      <c r="F15" s="2649">
        <f>F20</f>
        <v>9811630.2947023008</v>
      </c>
      <c r="G15" s="2649" t="str">
        <f t="shared" ref="G15:R15" si="2">G20</f>
        <v>NO</v>
      </c>
      <c r="H15" s="2649">
        <f t="shared" si="2"/>
        <v>17341483.932171401</v>
      </c>
      <c r="I15" s="2649">
        <f t="shared" si="2"/>
        <v>3171895.1422815677</v>
      </c>
      <c r="J15" s="2649" t="str">
        <f t="shared" si="2"/>
        <v>NO</v>
      </c>
      <c r="K15" s="2649">
        <f t="shared" si="2"/>
        <v>34999115.711966053</v>
      </c>
      <c r="L15" s="2649" t="str">
        <f t="shared" si="2"/>
        <v>NO</v>
      </c>
      <c r="M15" s="2649">
        <f t="shared" si="2"/>
        <v>1064070665.8385329</v>
      </c>
      <c r="N15" s="2649" t="str">
        <f t="shared" si="2"/>
        <v>NO</v>
      </c>
      <c r="O15" s="2649" t="str">
        <f t="shared" si="2"/>
        <v>NO</v>
      </c>
      <c r="P15" s="2649" t="str">
        <f t="shared" si="2"/>
        <v>NO</v>
      </c>
      <c r="Q15" s="2649" t="str">
        <f t="shared" si="2"/>
        <v>NO</v>
      </c>
      <c r="R15" s="2649">
        <f t="shared" si="2"/>
        <v>1129394790.9196544</v>
      </c>
      <c r="S15" s="2657"/>
      <c r="T15" s="2658"/>
      <c r="U15" s="3456">
        <f>IF(SUM(X15)=0,"NA",X15*1000/C15)</f>
        <v>1.2460207798417182E-2</v>
      </c>
      <c r="V15" s="3454"/>
      <c r="W15" s="3455"/>
      <c r="X15" s="3314">
        <f t="shared" ref="X15" si="3">X20</f>
        <v>0.31625366801053623</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25381.091000000004</v>
      </c>
      <c r="D20" s="3492"/>
      <c r="E20" s="3492"/>
      <c r="F20" s="2649">
        <f>IF(SUM(F21:F23)=0,"NO",SUM(F21:F23))</f>
        <v>9811630.2947023008</v>
      </c>
      <c r="G20" s="2649" t="str">
        <f t="shared" ref="G20:Q20" si="6">IF(SUM(G21:G23)=0,"NO",SUM(G21:G23))</f>
        <v>NO</v>
      </c>
      <c r="H20" s="2649">
        <f t="shared" si="6"/>
        <v>17341483.932171401</v>
      </c>
      <c r="I20" s="2649">
        <f t="shared" si="6"/>
        <v>3171895.1422815677</v>
      </c>
      <c r="J20" s="2649" t="str">
        <f t="shared" si="6"/>
        <v>NO</v>
      </c>
      <c r="K20" s="2649">
        <f t="shared" si="6"/>
        <v>34999115.711966053</v>
      </c>
      <c r="L20" s="2649" t="str">
        <f t="shared" si="6"/>
        <v>NO</v>
      </c>
      <c r="M20" s="2649">
        <f t="shared" si="6"/>
        <v>1064070665.8385329</v>
      </c>
      <c r="N20" s="2649" t="str">
        <f t="shared" si="6"/>
        <v>NO</v>
      </c>
      <c r="O20" s="2649" t="str">
        <f t="shared" si="6"/>
        <v>NO</v>
      </c>
      <c r="P20" s="2649" t="str">
        <f t="shared" si="6"/>
        <v>NO</v>
      </c>
      <c r="Q20" s="2649" t="str">
        <f t="shared" si="6"/>
        <v>NO</v>
      </c>
      <c r="R20" s="3482">
        <f>IF(SUM(F20:Q20)=0,"NO",SUM(F20:Q20))</f>
        <v>1129394790.9196544</v>
      </c>
      <c r="S20" s="2657"/>
      <c r="T20" s="2658"/>
      <c r="U20" s="3456">
        <f t="shared" si="4"/>
        <v>1.2460207798417182E-2</v>
      </c>
      <c r="V20" s="3454"/>
      <c r="W20" s="3455"/>
      <c r="X20" s="3314">
        <f t="shared" ref="X20" si="7">IF(SUM(X21:X23)=0,"NO",SUM(X21:X23))</f>
        <v>0.31625366801053623</v>
      </c>
      <c r="Y20" s="3173"/>
      <c r="Z20" s="3457"/>
    </row>
    <row r="21" spans="2:26" ht="18" customHeight="1" x14ac:dyDescent="0.2">
      <c r="B21" s="2647" t="s">
        <v>2196</v>
      </c>
      <c r="C21" s="3495">
        <f>Table3.A!C21</f>
        <v>2496.951</v>
      </c>
      <c r="D21" s="3307">
        <v>115.75687317682706</v>
      </c>
      <c r="E21" s="3494">
        <f>'Table3.B(a)'!G21</f>
        <v>440.80940832283102</v>
      </c>
      <c r="F21" s="3479">
        <v>9343752.6984244809</v>
      </c>
      <c r="G21" s="3479" t="s">
        <v>2146</v>
      </c>
      <c r="H21" s="3479">
        <v>17341483.932171401</v>
      </c>
      <c r="I21" s="3479">
        <v>3171895.1422815677</v>
      </c>
      <c r="J21" s="3479" t="s">
        <v>2146</v>
      </c>
      <c r="K21" s="3479" t="s">
        <v>2153</v>
      </c>
      <c r="L21" s="3479" t="s">
        <v>2146</v>
      </c>
      <c r="M21" s="3479">
        <v>259182128.280451</v>
      </c>
      <c r="N21" s="3479" t="s">
        <v>2146</v>
      </c>
      <c r="O21" s="3479" t="s">
        <v>2146</v>
      </c>
      <c r="P21" s="3479" t="s">
        <v>2146</v>
      </c>
      <c r="Q21" s="3479" t="s">
        <v>2146</v>
      </c>
      <c r="R21" s="3482">
        <f t="shared" ref="R21:R45" si="8">IF(SUM(F21:Q21)=0,"NO",SUM(F21:Q21))</f>
        <v>289039260.05332845</v>
      </c>
      <c r="S21" s="2657"/>
      <c r="T21" s="2658"/>
      <c r="U21" s="3456">
        <f t="shared" si="4"/>
        <v>9.9809861149793271E-3</v>
      </c>
      <c r="V21" s="3454"/>
      <c r="W21" s="3455"/>
      <c r="X21" s="3315">
        <v>2.4922033260783745E-2</v>
      </c>
      <c r="Y21" s="3173"/>
      <c r="Z21" s="3457"/>
    </row>
    <row r="22" spans="2:26" ht="18" customHeight="1" x14ac:dyDescent="0.2">
      <c r="B22" s="2647" t="s">
        <v>2197</v>
      </c>
      <c r="C22" s="3495">
        <f>Table3.A!C22</f>
        <v>22538.935000000001</v>
      </c>
      <c r="D22" s="3307">
        <v>35.711028320954895</v>
      </c>
      <c r="E22" s="3494">
        <f>'Table3.B(a)'!G22</f>
        <v>360.83923386324898</v>
      </c>
      <c r="F22" s="3483" t="s">
        <v>2146</v>
      </c>
      <c r="G22" s="3479" t="s">
        <v>2146</v>
      </c>
      <c r="H22" s="3483" t="s">
        <v>2146</v>
      </c>
      <c r="I22" s="3483" t="s">
        <v>2146</v>
      </c>
      <c r="J22" s="3483" t="s">
        <v>2146</v>
      </c>
      <c r="K22" s="3483" t="s">
        <v>2146</v>
      </c>
      <c r="L22" s="3483" t="s">
        <v>2146</v>
      </c>
      <c r="M22" s="3483">
        <v>804888537.55808198</v>
      </c>
      <c r="N22" s="3483" t="s">
        <v>2146</v>
      </c>
      <c r="O22" s="3483" t="s">
        <v>2146</v>
      </c>
      <c r="P22" s="3483" t="s">
        <v>2146</v>
      </c>
      <c r="Q22" s="3483" t="s">
        <v>2146</v>
      </c>
      <c r="R22" s="3482">
        <f t="shared" si="8"/>
        <v>804888537.55808198</v>
      </c>
      <c r="S22" s="2657"/>
      <c r="T22" s="2658"/>
      <c r="U22" s="3456" t="str">
        <f>IF(SUM(X22)=0,"NA",X22*1000/C22)</f>
        <v>NA</v>
      </c>
      <c r="V22" s="3454"/>
      <c r="W22" s="3455"/>
      <c r="X22" s="3315" t="s">
        <v>2147</v>
      </c>
      <c r="Y22" s="3173"/>
      <c r="Z22" s="3457"/>
    </row>
    <row r="23" spans="2:26" ht="18" customHeight="1" x14ac:dyDescent="0.2">
      <c r="B23" s="2647" t="s">
        <v>2198</v>
      </c>
      <c r="C23" s="3495">
        <f>Table3.A!C23</f>
        <v>345.20499999999998</v>
      </c>
      <c r="D23" s="3307">
        <v>75.297761305733843</v>
      </c>
      <c r="E23" s="3494">
        <f>'Table3.B(a)'!G23</f>
        <v>541.1875</v>
      </c>
      <c r="F23" s="3483">
        <v>467877.59627782</v>
      </c>
      <c r="G23" s="3479" t="s">
        <v>2146</v>
      </c>
      <c r="H23" s="3483" t="s">
        <v>2146</v>
      </c>
      <c r="I23" s="3483" t="s">
        <v>2153</v>
      </c>
      <c r="J23" s="3483" t="s">
        <v>2153</v>
      </c>
      <c r="K23" s="3483">
        <v>34999115.711966053</v>
      </c>
      <c r="L23" s="3483" t="s">
        <v>2146</v>
      </c>
      <c r="M23" s="3483" t="s">
        <v>2146</v>
      </c>
      <c r="N23" s="3483" t="s">
        <v>2146</v>
      </c>
      <c r="O23" s="3483" t="s">
        <v>2146</v>
      </c>
      <c r="P23" s="3483" t="s">
        <v>2146</v>
      </c>
      <c r="Q23" s="3483" t="s">
        <v>2146</v>
      </c>
      <c r="R23" s="3482">
        <f t="shared" si="8"/>
        <v>35466993.308243871</v>
      </c>
      <c r="S23" s="2657"/>
      <c r="T23" s="2658"/>
      <c r="U23" s="3456">
        <f t="shared" ref="U23:U30" si="9">IF(SUM(X23)=0,"NA",X23*1000/C23)</f>
        <v>0.8439380505779247</v>
      </c>
      <c r="V23" s="3454"/>
      <c r="W23" s="3455"/>
      <c r="X23" s="3315">
        <v>0.29133163474975249</v>
      </c>
      <c r="Y23" s="3173"/>
      <c r="Z23" s="3457"/>
    </row>
    <row r="24" spans="2:26" ht="18" customHeight="1" x14ac:dyDescent="0.2">
      <c r="B24" s="351" t="s">
        <v>811</v>
      </c>
      <c r="C24" s="3314">
        <f>C25</f>
        <v>166526.40700000001</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1174165193.4700301</v>
      </c>
      <c r="N24" s="2649" t="str">
        <f t="shared" si="10"/>
        <v>NO</v>
      </c>
      <c r="O24" s="2649" t="str">
        <f t="shared" si="10"/>
        <v>NO</v>
      </c>
      <c r="P24" s="2649" t="str">
        <f t="shared" si="10"/>
        <v>NO</v>
      </c>
      <c r="Q24" s="2649" t="str">
        <f t="shared" si="10"/>
        <v>NO</v>
      </c>
      <c r="R24" s="3482">
        <f t="shared" si="8"/>
        <v>1174165193.4700301</v>
      </c>
      <c r="S24" s="2657"/>
      <c r="T24" s="2658"/>
      <c r="U24" s="3456" t="str">
        <f t="shared" si="9"/>
        <v>NA</v>
      </c>
      <c r="V24" s="3454"/>
      <c r="W24" s="3455"/>
      <c r="X24" s="3314" t="str">
        <f t="shared" ref="X24:X25" si="11">X25</f>
        <v>NA</v>
      </c>
      <c r="Y24" s="3173"/>
      <c r="Z24" s="3457"/>
    </row>
    <row r="25" spans="2:26" ht="18" customHeight="1" x14ac:dyDescent="0.2">
      <c r="B25" s="350" t="s">
        <v>812</v>
      </c>
      <c r="C25" s="3314">
        <f>C26</f>
        <v>166526.40700000001</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1174165193.4700301</v>
      </c>
      <c r="N25" s="2649" t="str">
        <f t="shared" si="10"/>
        <v>NO</v>
      </c>
      <c r="O25" s="2649" t="str">
        <f t="shared" si="10"/>
        <v>NO</v>
      </c>
      <c r="P25" s="2649" t="str">
        <f t="shared" si="10"/>
        <v>NO</v>
      </c>
      <c r="Q25" s="2649" t="str">
        <f t="shared" si="10"/>
        <v>NO</v>
      </c>
      <c r="R25" s="3482">
        <f t="shared" si="8"/>
        <v>1174165193.4700301</v>
      </c>
      <c r="S25" s="2657"/>
      <c r="T25" s="2658"/>
      <c r="U25" s="3456" t="str">
        <f t="shared" si="9"/>
        <v>NA</v>
      </c>
      <c r="V25" s="3454"/>
      <c r="W25" s="3455"/>
      <c r="X25" s="3314" t="str">
        <f t="shared" si="11"/>
        <v>NA</v>
      </c>
      <c r="Y25" s="3173"/>
      <c r="Z25" s="3457"/>
    </row>
    <row r="26" spans="2:26" ht="18" customHeight="1" x14ac:dyDescent="0.2">
      <c r="B26" s="2642" t="s">
        <v>2201</v>
      </c>
      <c r="C26" s="3495">
        <f>Table3.A!C26</f>
        <v>166526.40700000001</v>
      </c>
      <c r="D26" s="3307">
        <v>7.0509249289058102</v>
      </c>
      <c r="E26" s="3494">
        <f>'Table3.B(a)'!G26</f>
        <v>46.441670556438297</v>
      </c>
      <c r="F26" s="3483" t="s">
        <v>2146</v>
      </c>
      <c r="G26" s="3479" t="s">
        <v>2146</v>
      </c>
      <c r="H26" s="3483" t="s">
        <v>2146</v>
      </c>
      <c r="I26" s="3483" t="s">
        <v>2146</v>
      </c>
      <c r="J26" s="3483" t="s">
        <v>2146</v>
      </c>
      <c r="K26" s="3483" t="s">
        <v>2146</v>
      </c>
      <c r="L26" s="3483" t="s">
        <v>2146</v>
      </c>
      <c r="M26" s="3479">
        <v>1174165193.4700301</v>
      </c>
      <c r="N26" s="3483" t="s">
        <v>2146</v>
      </c>
      <c r="O26" s="3483" t="s">
        <v>2146</v>
      </c>
      <c r="P26" s="3483" t="s">
        <v>2146</v>
      </c>
      <c r="Q26" s="3483" t="s">
        <v>2146</v>
      </c>
      <c r="R26" s="3482">
        <f t="shared" si="8"/>
        <v>1174165193.4700301</v>
      </c>
      <c r="S26" s="2657"/>
      <c r="T26" s="2658"/>
      <c r="U26" s="3456" t="str">
        <f t="shared" si="9"/>
        <v>NA</v>
      </c>
      <c r="V26" s="3454"/>
      <c r="W26" s="3455"/>
      <c r="X26" s="3315" t="s">
        <v>2147</v>
      </c>
      <c r="Y26" s="3173"/>
      <c r="Z26" s="3457"/>
    </row>
    <row r="27" spans="2:26" ht="18" customHeight="1" x14ac:dyDescent="0.2">
      <c r="B27" s="351" t="s">
        <v>814</v>
      </c>
      <c r="C27" s="3314">
        <f>C28</f>
        <v>2572.2240000000002</v>
      </c>
      <c r="D27" s="3492"/>
      <c r="E27" s="3492"/>
      <c r="F27" s="2649">
        <f>F28</f>
        <v>38575948.726286903</v>
      </c>
      <c r="G27" s="2649" t="str">
        <f t="shared" ref="G27:G28" si="12">G28</f>
        <v>NO</v>
      </c>
      <c r="H27" s="2649" t="str">
        <f t="shared" ref="H27:H28" si="13">H28</f>
        <v>NO</v>
      </c>
      <c r="I27" s="2649" t="str">
        <f t="shared" ref="I27:I28" si="14">I28</f>
        <v>IE</v>
      </c>
      <c r="J27" s="2649" t="str">
        <f t="shared" ref="J27:J28" si="15">J28</f>
        <v>IE</v>
      </c>
      <c r="K27" s="2649">
        <f t="shared" ref="K27:K28" si="16">K28</f>
        <v>3135643.8536169957</v>
      </c>
      <c r="L27" s="2649" t="str">
        <f t="shared" ref="L27:L28" si="17">L28</f>
        <v>IE</v>
      </c>
      <c r="M27" s="2649" t="str">
        <f t="shared" ref="M27:M28" si="18">M28</f>
        <v>NO</v>
      </c>
      <c r="N27" s="2649" t="str">
        <f t="shared" ref="N27:N28" si="19">N28</f>
        <v>NO</v>
      </c>
      <c r="O27" s="2649">
        <f t="shared" ref="O27:O28" si="20">O28</f>
        <v>156295.32246573499</v>
      </c>
      <c r="P27" s="2649" t="str">
        <f t="shared" ref="P27:P28" si="21">P28</f>
        <v>NO</v>
      </c>
      <c r="Q27" s="2649">
        <f t="shared" ref="Q27:Q28" si="22">Q28</f>
        <v>1185356.51209791</v>
      </c>
      <c r="R27" s="3482">
        <f t="shared" si="8"/>
        <v>43053244.414467543</v>
      </c>
      <c r="S27" s="2657"/>
      <c r="T27" s="2658"/>
      <c r="U27" s="3456">
        <f t="shared" si="9"/>
        <v>2.434580412675591E-2</v>
      </c>
      <c r="V27" s="3454"/>
      <c r="W27" s="3455"/>
      <c r="X27" s="3314">
        <f t="shared" ref="X27:X28" si="23">X28</f>
        <v>6.2622861674140592E-2</v>
      </c>
      <c r="Y27" s="3173"/>
      <c r="Z27" s="3457"/>
    </row>
    <row r="28" spans="2:26" ht="18" customHeight="1" x14ac:dyDescent="0.2">
      <c r="B28" s="350" t="s">
        <v>815</v>
      </c>
      <c r="C28" s="3314">
        <f>C29</f>
        <v>2572.2240000000002</v>
      </c>
      <c r="D28" s="3492"/>
      <c r="E28" s="3492"/>
      <c r="F28" s="2649">
        <f>F29</f>
        <v>38575948.726286903</v>
      </c>
      <c r="G28" s="2649" t="str">
        <f t="shared" si="12"/>
        <v>NO</v>
      </c>
      <c r="H28" s="2649" t="str">
        <f t="shared" si="13"/>
        <v>NO</v>
      </c>
      <c r="I28" s="2649" t="str">
        <f t="shared" si="14"/>
        <v>IE</v>
      </c>
      <c r="J28" s="2649" t="str">
        <f t="shared" si="15"/>
        <v>IE</v>
      </c>
      <c r="K28" s="2649">
        <f t="shared" si="16"/>
        <v>3135643.8536169957</v>
      </c>
      <c r="L28" s="2649" t="str">
        <f t="shared" si="17"/>
        <v>IE</v>
      </c>
      <c r="M28" s="2649" t="str">
        <f t="shared" si="18"/>
        <v>NO</v>
      </c>
      <c r="N28" s="2649" t="str">
        <f t="shared" si="19"/>
        <v>NO</v>
      </c>
      <c r="O28" s="2649">
        <f t="shared" si="20"/>
        <v>156295.32246573499</v>
      </c>
      <c r="P28" s="2649" t="str">
        <f t="shared" si="21"/>
        <v>NO</v>
      </c>
      <c r="Q28" s="2649">
        <f t="shared" si="22"/>
        <v>1185356.51209791</v>
      </c>
      <c r="R28" s="3482">
        <f t="shared" si="8"/>
        <v>43053244.414467543</v>
      </c>
      <c r="S28" s="2657"/>
      <c r="T28" s="2658"/>
      <c r="U28" s="3456">
        <f t="shared" si="9"/>
        <v>2.434580412675591E-2</v>
      </c>
      <c r="V28" s="3454"/>
      <c r="W28" s="3455"/>
      <c r="X28" s="3314">
        <f t="shared" si="23"/>
        <v>6.2622861674140592E-2</v>
      </c>
      <c r="Y28" s="3173"/>
      <c r="Z28" s="3457"/>
    </row>
    <row r="29" spans="2:26" ht="18" customHeight="1" x14ac:dyDescent="0.2">
      <c r="B29" s="2642" t="s">
        <v>817</v>
      </c>
      <c r="C29" s="3495">
        <f>Table3.A!C29</f>
        <v>2572.2240000000002</v>
      </c>
      <c r="D29" s="3307">
        <v>16.533309240530983</v>
      </c>
      <c r="E29" s="3494">
        <f>'Table3.B(a)'!G29</f>
        <v>53.019045047452302</v>
      </c>
      <c r="F29" s="3479">
        <v>38575948.726286903</v>
      </c>
      <c r="G29" s="3479" t="s">
        <v>2146</v>
      </c>
      <c r="H29" s="3479" t="s">
        <v>2146</v>
      </c>
      <c r="I29" s="3479" t="s">
        <v>2153</v>
      </c>
      <c r="J29" s="3479" t="s">
        <v>2153</v>
      </c>
      <c r="K29" s="3479">
        <v>3135643.8536169957</v>
      </c>
      <c r="L29" s="3479" t="s">
        <v>2153</v>
      </c>
      <c r="M29" s="3479" t="s">
        <v>2146</v>
      </c>
      <c r="N29" s="3479" t="s">
        <v>2146</v>
      </c>
      <c r="O29" s="3479">
        <v>156295.32246573499</v>
      </c>
      <c r="P29" s="3479" t="s">
        <v>2146</v>
      </c>
      <c r="Q29" s="3479">
        <v>1185356.51209791</v>
      </c>
      <c r="R29" s="3482">
        <f t="shared" si="8"/>
        <v>43053244.414467543</v>
      </c>
      <c r="S29" s="2657"/>
      <c r="T29" s="2658"/>
      <c r="U29" s="3456">
        <f t="shared" si="9"/>
        <v>2.434580412675591E-2</v>
      </c>
      <c r="V29" s="3454"/>
      <c r="W29" s="3455"/>
      <c r="X29" s="3315">
        <v>6.2622861674140592E-2</v>
      </c>
      <c r="Y29" s="3173"/>
      <c r="Z29" s="3457"/>
    </row>
    <row r="30" spans="2:26" ht="18" customHeight="1" x14ac:dyDescent="0.2">
      <c r="B30" s="351" t="s">
        <v>861</v>
      </c>
      <c r="C30" s="3314">
        <f>IF(SUM(C32:C39)=0,"NO",SUM(C32:C39))</f>
        <v>43857.936999999998</v>
      </c>
      <c r="D30" s="3492"/>
      <c r="E30" s="3492"/>
      <c r="F30" s="2649" t="str">
        <f>IF(SUM(F32:F39)=0,"NO",SUM(F32:F39))</f>
        <v>NO</v>
      </c>
      <c r="G30" s="2649" t="str">
        <f t="shared" ref="G30:Q30" si="24">IF(SUM(G32:G39)=0,"NO",SUM(G32:G39))</f>
        <v>NO</v>
      </c>
      <c r="H30" s="2649" t="str">
        <f t="shared" si="24"/>
        <v>NO</v>
      </c>
      <c r="I30" s="2649">
        <f t="shared" si="24"/>
        <v>10246512.03953037</v>
      </c>
      <c r="J30" s="2649" t="str">
        <f t="shared" si="24"/>
        <v>NO</v>
      </c>
      <c r="K30" s="2649" t="str">
        <f t="shared" si="24"/>
        <v>NO</v>
      </c>
      <c r="L30" s="2649" t="str">
        <f t="shared" si="24"/>
        <v>NO</v>
      </c>
      <c r="M30" s="2649">
        <f t="shared" si="24"/>
        <v>19420784.868113268</v>
      </c>
      <c r="N30" s="2649">
        <f t="shared" si="24"/>
        <v>4135293.5490112598</v>
      </c>
      <c r="O30" s="2649">
        <f t="shared" si="24"/>
        <v>73667.705944723493</v>
      </c>
      <c r="P30" s="2649" t="str">
        <f t="shared" si="24"/>
        <v>NO</v>
      </c>
      <c r="Q30" s="2649">
        <f t="shared" si="24"/>
        <v>28068309.012824301</v>
      </c>
      <c r="R30" s="3482">
        <f t="shared" si="8"/>
        <v>61944567.17542392</v>
      </c>
      <c r="S30" s="2657"/>
      <c r="T30" s="2658"/>
      <c r="U30" s="3456">
        <f t="shared" si="9"/>
        <v>4.3230222150683452E-3</v>
      </c>
      <c r="V30" s="3454"/>
      <c r="W30" s="3455"/>
      <c r="X30" s="3314">
        <f t="shared" ref="X30" si="25">IF(SUM(X32:X39)=0,"NO",SUM(X32:X39))</f>
        <v>0.18959883595806792</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18.623000000000001</v>
      </c>
      <c r="D32" s="3307">
        <v>39.5</v>
      </c>
      <c r="E32" s="3494" t="str">
        <f>'Table3.B(a)'!G32</f>
        <v>NA</v>
      </c>
      <c r="F32" s="3479" t="s">
        <v>2146</v>
      </c>
      <c r="G32" s="3479" t="s">
        <v>2146</v>
      </c>
      <c r="H32" s="3479" t="s">
        <v>2146</v>
      </c>
      <c r="I32" s="3479" t="s">
        <v>2146</v>
      </c>
      <c r="J32" s="3479" t="s">
        <v>2146</v>
      </c>
      <c r="K32" s="3479" t="s">
        <v>2146</v>
      </c>
      <c r="L32" s="3479" t="s">
        <v>2146</v>
      </c>
      <c r="M32" s="3479">
        <v>735608.5</v>
      </c>
      <c r="N32" s="3479" t="s">
        <v>2146</v>
      </c>
      <c r="O32" s="3479" t="s">
        <v>2146</v>
      </c>
      <c r="P32" s="3479" t="s">
        <v>2146</v>
      </c>
      <c r="Q32" s="3479" t="s">
        <v>2146</v>
      </c>
      <c r="R32" s="3482">
        <f t="shared" si="8"/>
        <v>735608.5</v>
      </c>
      <c r="S32" s="2657"/>
      <c r="T32" s="2658"/>
      <c r="U32" s="3456" t="str">
        <f>IF(SUM(X32)=0,"NA",X32*1000/C32)</f>
        <v>NA</v>
      </c>
      <c r="V32" s="3454"/>
      <c r="W32" s="3455"/>
      <c r="X32" s="3315" t="s">
        <v>2147</v>
      </c>
      <c r="Y32" s="3173"/>
      <c r="Z32" s="3457"/>
    </row>
    <row r="33" spans="2:26" ht="18" customHeight="1" x14ac:dyDescent="0.2">
      <c r="B33" s="350" t="s">
        <v>819</v>
      </c>
      <c r="C33" s="3495">
        <f>Table3.A!C33</f>
        <v>1.042</v>
      </c>
      <c r="D33" s="3307">
        <v>39.5</v>
      </c>
      <c r="E33" s="3494" t="str">
        <f>'Table3.B(a)'!G33</f>
        <v>NA</v>
      </c>
      <c r="F33" s="3479" t="s">
        <v>2146</v>
      </c>
      <c r="G33" s="3479" t="s">
        <v>2146</v>
      </c>
      <c r="H33" s="3479" t="s">
        <v>2146</v>
      </c>
      <c r="I33" s="3479" t="s">
        <v>2146</v>
      </c>
      <c r="J33" s="3479" t="s">
        <v>2146</v>
      </c>
      <c r="K33" s="3479" t="s">
        <v>2146</v>
      </c>
      <c r="L33" s="3479" t="s">
        <v>2146</v>
      </c>
      <c r="M33" s="3479">
        <v>41175.748</v>
      </c>
      <c r="N33" s="3479" t="s">
        <v>2146</v>
      </c>
      <c r="O33" s="3479" t="s">
        <v>2146</v>
      </c>
      <c r="P33" s="3479" t="s">
        <v>2146</v>
      </c>
      <c r="Q33" s="3479" t="s">
        <v>2146</v>
      </c>
      <c r="R33" s="3482">
        <f t="shared" si="8"/>
        <v>41175.748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80.445999999999998</v>
      </c>
      <c r="D34" s="3307">
        <v>13.2</v>
      </c>
      <c r="E34" s="3494" t="str">
        <f>'Table3.B(a)'!G34</f>
        <v>NA</v>
      </c>
      <c r="F34" s="3479" t="s">
        <v>2146</v>
      </c>
      <c r="G34" s="3479" t="s">
        <v>2146</v>
      </c>
      <c r="H34" s="3479" t="s">
        <v>2146</v>
      </c>
      <c r="I34" s="3479" t="s">
        <v>2146</v>
      </c>
      <c r="J34" s="3479" t="s">
        <v>2146</v>
      </c>
      <c r="K34" s="3479" t="s">
        <v>2146</v>
      </c>
      <c r="L34" s="3479" t="s">
        <v>2146</v>
      </c>
      <c r="M34" s="3479">
        <v>1061888.1372</v>
      </c>
      <c r="N34" s="3479" t="s">
        <v>2146</v>
      </c>
      <c r="O34" s="3479" t="s">
        <v>2146</v>
      </c>
      <c r="P34" s="3479" t="s">
        <v>2146</v>
      </c>
      <c r="Q34" s="3479" t="s">
        <v>2146</v>
      </c>
      <c r="R34" s="3482">
        <f t="shared" si="8"/>
        <v>1061888.1372</v>
      </c>
      <c r="S34" s="2657"/>
      <c r="T34" s="2658"/>
      <c r="U34" s="3456" t="str">
        <f t="shared" si="26"/>
        <v>NA</v>
      </c>
      <c r="V34" s="3454"/>
      <c r="W34" s="3455"/>
      <c r="X34" s="3315" t="s">
        <v>2147</v>
      </c>
      <c r="Y34" s="3173"/>
      <c r="Z34" s="3457"/>
    </row>
    <row r="35" spans="2:26" ht="18" customHeight="1" x14ac:dyDescent="0.2">
      <c r="B35" s="350" t="s">
        <v>821</v>
      </c>
      <c r="C35" s="3495">
        <f>Table3.A!C35</f>
        <v>530.476</v>
      </c>
      <c r="D35" s="3307">
        <v>7</v>
      </c>
      <c r="E35" s="3494" t="str">
        <f>'Table3.B(a)'!G35</f>
        <v>NA</v>
      </c>
      <c r="F35" s="3479" t="s">
        <v>2146</v>
      </c>
      <c r="G35" s="3479" t="s">
        <v>2146</v>
      </c>
      <c r="H35" s="3479" t="s">
        <v>2146</v>
      </c>
      <c r="I35" s="3479" t="s">
        <v>2146</v>
      </c>
      <c r="J35" s="3479" t="s">
        <v>2146</v>
      </c>
      <c r="K35" s="3479" t="s">
        <v>2146</v>
      </c>
      <c r="L35" s="3479" t="s">
        <v>2146</v>
      </c>
      <c r="M35" s="3479">
        <v>3713332.6510000001</v>
      </c>
      <c r="N35" s="3479" t="s">
        <v>2146</v>
      </c>
      <c r="O35" s="3479" t="s">
        <v>2146</v>
      </c>
      <c r="P35" s="3479" t="s">
        <v>2146</v>
      </c>
      <c r="Q35" s="3479" t="s">
        <v>2146</v>
      </c>
      <c r="R35" s="3482">
        <f t="shared" si="8"/>
        <v>3713332.6510000001</v>
      </c>
      <c r="S35" s="2657"/>
      <c r="T35" s="2658"/>
      <c r="U35" s="3456" t="str">
        <f t="shared" si="26"/>
        <v>NA</v>
      </c>
      <c r="V35" s="3454"/>
      <c r="W35" s="3455"/>
      <c r="X35" s="3315" t="s">
        <v>2147</v>
      </c>
      <c r="Y35" s="3173"/>
      <c r="Z35" s="3457"/>
    </row>
    <row r="36" spans="2:26" ht="18" customHeight="1" x14ac:dyDescent="0.2">
      <c r="B36" s="350" t="s">
        <v>822</v>
      </c>
      <c r="C36" s="3495">
        <f>Table3.A!C36</f>
        <v>347.01400000000001</v>
      </c>
      <c r="D36" s="3307">
        <v>39.5</v>
      </c>
      <c r="E36" s="3494" t="str">
        <f>'Table3.B(a)'!G36</f>
        <v>NA</v>
      </c>
      <c r="F36" s="3479" t="s">
        <v>2146</v>
      </c>
      <c r="G36" s="3479" t="s">
        <v>2146</v>
      </c>
      <c r="H36" s="3479" t="s">
        <v>2146</v>
      </c>
      <c r="I36" s="3479" t="s">
        <v>2146</v>
      </c>
      <c r="J36" s="3479" t="s">
        <v>2146</v>
      </c>
      <c r="K36" s="3479" t="s">
        <v>2146</v>
      </c>
      <c r="L36" s="3479" t="s">
        <v>2146</v>
      </c>
      <c r="M36" s="3479">
        <v>13707052.249499999</v>
      </c>
      <c r="N36" s="3479" t="s">
        <v>2146</v>
      </c>
      <c r="O36" s="3479" t="s">
        <v>2146</v>
      </c>
      <c r="P36" s="3479" t="s">
        <v>2146</v>
      </c>
      <c r="Q36" s="3479" t="s">
        <v>2146</v>
      </c>
      <c r="R36" s="3482">
        <f t="shared" si="8"/>
        <v>13707052.249499999</v>
      </c>
      <c r="S36" s="2657"/>
      <c r="T36" s="2658"/>
      <c r="U36" s="3456" t="str">
        <f t="shared" si="26"/>
        <v>NA</v>
      </c>
      <c r="V36" s="3454"/>
      <c r="W36" s="3455"/>
      <c r="X36" s="3315" t="s">
        <v>2147</v>
      </c>
      <c r="Y36" s="3173"/>
      <c r="Z36" s="3457"/>
    </row>
    <row r="37" spans="2:26" ht="18" customHeight="1" x14ac:dyDescent="0.2">
      <c r="B37" s="350" t="s">
        <v>862</v>
      </c>
      <c r="C37" s="3495">
        <f>Table3.A!C37</f>
        <v>3.3260000000000001</v>
      </c>
      <c r="D37" s="3307">
        <v>13.2</v>
      </c>
      <c r="E37" s="3494" t="str">
        <f>'Table3.B(a)'!G37</f>
        <v>NA</v>
      </c>
      <c r="F37" s="3479" t="s">
        <v>2146</v>
      </c>
      <c r="G37" s="3479" t="s">
        <v>2146</v>
      </c>
      <c r="H37" s="3479" t="s">
        <v>2146</v>
      </c>
      <c r="I37" s="3479" t="s">
        <v>2146</v>
      </c>
      <c r="J37" s="3479" t="s">
        <v>2146</v>
      </c>
      <c r="K37" s="3479" t="s">
        <v>2146</v>
      </c>
      <c r="L37" s="3479" t="s">
        <v>2146</v>
      </c>
      <c r="M37" s="3479">
        <v>43909.496399999996</v>
      </c>
      <c r="N37" s="3479" t="s">
        <v>2146</v>
      </c>
      <c r="O37" s="3479" t="s">
        <v>2146</v>
      </c>
      <c r="P37" s="3479" t="s">
        <v>2146</v>
      </c>
      <c r="Q37" s="3479" t="s">
        <v>2146</v>
      </c>
      <c r="R37" s="3482">
        <f t="shared" si="8"/>
        <v>43909.496399999996</v>
      </c>
      <c r="S37" s="2657"/>
      <c r="T37" s="2658"/>
      <c r="U37" s="3456" t="str">
        <f t="shared" si="26"/>
        <v>NA</v>
      </c>
      <c r="V37" s="3454"/>
      <c r="W37" s="3455"/>
      <c r="X37" s="3315" t="s">
        <v>2147</v>
      </c>
      <c r="Y37" s="3173"/>
      <c r="Z37" s="3457"/>
    </row>
    <row r="38" spans="2:26" ht="18" customHeight="1" x14ac:dyDescent="0.2">
      <c r="B38" s="350" t="s">
        <v>824</v>
      </c>
      <c r="C38" s="3495">
        <f>Table3.A!C38</f>
        <v>42867.540999999997</v>
      </c>
      <c r="D38" s="3307">
        <v>0.65578831707711005</v>
      </c>
      <c r="E38" s="3494" t="str">
        <f>'Table3.B(a)'!G38</f>
        <v>NA</v>
      </c>
      <c r="F38" s="3479" t="s">
        <v>2146</v>
      </c>
      <c r="G38" s="3479" t="s">
        <v>2146</v>
      </c>
      <c r="H38" s="3479" t="s">
        <v>2146</v>
      </c>
      <c r="I38" s="3479">
        <v>10246512.03953037</v>
      </c>
      <c r="J38" s="3479" t="s">
        <v>2153</v>
      </c>
      <c r="K38" s="3479" t="s">
        <v>2153</v>
      </c>
      <c r="L38" s="3479" t="s">
        <v>2153</v>
      </c>
      <c r="M38" s="3479">
        <v>51536.486013265501</v>
      </c>
      <c r="N38" s="3479">
        <v>4135293.5490112598</v>
      </c>
      <c r="O38" s="3479">
        <v>73667.705944723493</v>
      </c>
      <c r="P38" s="3479" t="s">
        <v>2146</v>
      </c>
      <c r="Q38" s="3479">
        <v>28068309.012824301</v>
      </c>
      <c r="R38" s="3482">
        <f t="shared" si="8"/>
        <v>42575318.793323919</v>
      </c>
      <c r="S38" s="2657"/>
      <c r="T38" s="2658"/>
      <c r="U38" s="3456">
        <f t="shared" si="26"/>
        <v>4.4228997403435834E-3</v>
      </c>
      <c r="V38" s="3454"/>
      <c r="W38" s="3455"/>
      <c r="X38" s="3315">
        <v>0.18959883595806792</v>
      </c>
      <c r="Y38" s="3173"/>
      <c r="Z38" s="3457"/>
    </row>
    <row r="39" spans="2:26" ht="18" customHeight="1" x14ac:dyDescent="0.2">
      <c r="B39" s="350" t="s">
        <v>825</v>
      </c>
      <c r="C39" s="3314">
        <f>IF(SUM(C40:C44)=0,"NO",SUM(C40:C44))</f>
        <v>9.4689999999999994</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66281.599999999991</v>
      </c>
      <c r="N39" s="2649" t="str">
        <f t="shared" si="27"/>
        <v>NO</v>
      </c>
      <c r="O39" s="2649" t="str">
        <f t="shared" si="27"/>
        <v>NO</v>
      </c>
      <c r="P39" s="2649" t="str">
        <f t="shared" si="27"/>
        <v>NO</v>
      </c>
      <c r="Q39" s="2649" t="str">
        <f t="shared" si="27"/>
        <v>NO</v>
      </c>
      <c r="R39" s="3482">
        <f t="shared" si="8"/>
        <v>66281.599999999991</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8.6379999999999999</v>
      </c>
      <c r="D42" s="3307">
        <v>7</v>
      </c>
      <c r="E42" s="3494" t="str">
        <f>'Table3.B(a)'!G42</f>
        <v>NA</v>
      </c>
      <c r="F42" s="3479" t="s">
        <v>2146</v>
      </c>
      <c r="G42" s="3479" t="s">
        <v>2146</v>
      </c>
      <c r="H42" s="3479" t="s">
        <v>2146</v>
      </c>
      <c r="I42" s="3479" t="s">
        <v>2146</v>
      </c>
      <c r="J42" s="3479" t="s">
        <v>2146</v>
      </c>
      <c r="K42" s="3479" t="s">
        <v>2146</v>
      </c>
      <c r="L42" s="3479" t="s">
        <v>2146</v>
      </c>
      <c r="M42" s="3479">
        <v>60468.1</v>
      </c>
      <c r="N42" s="3479" t="s">
        <v>2146</v>
      </c>
      <c r="O42" s="3479" t="s">
        <v>2146</v>
      </c>
      <c r="P42" s="3479" t="s">
        <v>2146</v>
      </c>
      <c r="Q42" s="3479" t="s">
        <v>2146</v>
      </c>
      <c r="R42" s="3482">
        <f t="shared" si="8"/>
        <v>60468.1</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0.83099999999999996</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5813.4999999999991</v>
      </c>
      <c r="N44" s="2649" t="str">
        <f t="shared" si="28"/>
        <v>NO</v>
      </c>
      <c r="O44" s="2649" t="str">
        <f t="shared" si="28"/>
        <v>NO</v>
      </c>
      <c r="P44" s="2649" t="str">
        <f t="shared" si="28"/>
        <v>NO</v>
      </c>
      <c r="Q44" s="2649" t="str">
        <f t="shared" si="28"/>
        <v>NO</v>
      </c>
      <c r="R44" s="3482">
        <f t="shared" si="8"/>
        <v>5813.4999999999991</v>
      </c>
      <c r="S44" s="2657"/>
      <c r="T44" s="2658"/>
      <c r="U44" s="3456" t="str">
        <f t="shared" si="26"/>
        <v>NA</v>
      </c>
      <c r="V44" s="3454"/>
      <c r="W44" s="3455"/>
      <c r="X44" s="3314" t="str">
        <f>X45</f>
        <v>NA</v>
      </c>
      <c r="Y44" s="3173"/>
      <c r="Z44" s="3457"/>
    </row>
    <row r="45" spans="2:26" ht="18" customHeight="1" x14ac:dyDescent="0.2">
      <c r="B45" s="2646" t="s">
        <v>2199</v>
      </c>
      <c r="C45" s="3495">
        <f>Table3.A!C45</f>
        <v>0.83099999999999996</v>
      </c>
      <c r="D45" s="3307">
        <v>7</v>
      </c>
      <c r="E45" s="3494" t="str">
        <f>'Table3.B(a)'!G45</f>
        <v>NA</v>
      </c>
      <c r="F45" s="3479" t="s">
        <v>2146</v>
      </c>
      <c r="G45" s="3479" t="s">
        <v>2146</v>
      </c>
      <c r="H45" s="3479" t="s">
        <v>2146</v>
      </c>
      <c r="I45" s="3479" t="s">
        <v>2146</v>
      </c>
      <c r="J45" s="3479" t="s">
        <v>2146</v>
      </c>
      <c r="K45" s="3479" t="s">
        <v>2146</v>
      </c>
      <c r="L45" s="3479" t="s">
        <v>2146</v>
      </c>
      <c r="M45" s="3479">
        <v>5813.4999999999991</v>
      </c>
      <c r="N45" s="3479" t="s">
        <v>2146</v>
      </c>
      <c r="O45" s="3479" t="s">
        <v>2146</v>
      </c>
      <c r="P45" s="3479" t="s">
        <v>2146</v>
      </c>
      <c r="Q45" s="3479" t="s">
        <v>2146</v>
      </c>
      <c r="R45" s="3482">
        <f t="shared" si="8"/>
        <v>5813.4999999999991</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58971404.533649303</v>
      </c>
      <c r="T46" s="3447">
        <v>168838.965474508</v>
      </c>
      <c r="U46" s="3466"/>
      <c r="V46" s="3467">
        <f>IF(SUM(S46)=0,"NA",Y46*1000000/S46)</f>
        <v>3.5139843203517529E-3</v>
      </c>
      <c r="W46" s="3468">
        <f>IF(SUM(T46)=0,"NA",Z46*1000000/T46)</f>
        <v>1.7285714285714304E-2</v>
      </c>
      <c r="X46" s="3316"/>
      <c r="Y46" s="3320">
        <v>0.20722459088036391</v>
      </c>
      <c r="Z46" s="3321">
        <v>2.9185021174879273E-3</v>
      </c>
    </row>
    <row r="47" spans="2:26" ht="18" customHeight="1" x14ac:dyDescent="0.2">
      <c r="B47" s="358" t="s">
        <v>863</v>
      </c>
      <c r="C47" s="359"/>
      <c r="D47" s="359"/>
      <c r="E47" s="359"/>
      <c r="F47" s="3485">
        <f>IF(SUM(F30,F27,F24,F10)=0,"NO",SUM(F30,F27,F24,F10))</f>
        <v>48387579.020989202</v>
      </c>
      <c r="G47" s="3485" t="str">
        <f t="shared" ref="G47:Q47" si="29">IF(SUM(G30,G27,G24,G10)=0,"NO",SUM(G30,G27,G24,G10))</f>
        <v>NO</v>
      </c>
      <c r="H47" s="3485">
        <f t="shared" si="29"/>
        <v>17341483.932171401</v>
      </c>
      <c r="I47" s="3485">
        <f t="shared" si="29"/>
        <v>13418407.181811938</v>
      </c>
      <c r="J47" s="3485" t="str">
        <f t="shared" si="29"/>
        <v>NO</v>
      </c>
      <c r="K47" s="3485">
        <f t="shared" si="29"/>
        <v>38134759.56558305</v>
      </c>
      <c r="L47" s="3485" t="str">
        <f t="shared" si="29"/>
        <v>NO</v>
      </c>
      <c r="M47" s="3409"/>
      <c r="N47" s="3485">
        <f t="shared" si="29"/>
        <v>4135293.5490112598</v>
      </c>
      <c r="O47" s="3485">
        <f t="shared" si="29"/>
        <v>229963.02841045847</v>
      </c>
      <c r="P47" s="3409"/>
      <c r="Q47" s="3485">
        <f t="shared" si="29"/>
        <v>29253665.524922211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3.3559358188513938E-2</v>
      </c>
      <c r="J48" s="3486" t="str">
        <f t="shared" si="30"/>
        <v>NA</v>
      </c>
      <c r="K48" s="3486" t="str">
        <f t="shared" si="30"/>
        <v>NA</v>
      </c>
      <c r="L48" s="3486" t="str">
        <f t="shared" si="30"/>
        <v>NA</v>
      </c>
      <c r="M48" s="87"/>
      <c r="N48" s="3486">
        <f t="shared" si="30"/>
        <v>1.5714285714286801E-2</v>
      </c>
      <c r="O48" s="3486" t="str">
        <f t="shared" si="30"/>
        <v>NA</v>
      </c>
      <c r="P48" s="87"/>
      <c r="Q48" s="3486">
        <f t="shared" si="30"/>
        <v>1.8178593148292794E-3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0.45031313293375469</v>
      </c>
      <c r="J49" s="3487" t="s">
        <v>2153</v>
      </c>
      <c r="K49" s="3487" t="s">
        <v>2153</v>
      </c>
      <c r="L49" s="3487" t="s">
        <v>2153</v>
      </c>
      <c r="M49" s="3474"/>
      <c r="N49" s="3488">
        <v>6.4983184341610004E-2</v>
      </c>
      <c r="O49" s="3488" t="s">
        <v>2147</v>
      </c>
      <c r="P49" s="3474"/>
      <c r="Q49" s="3488">
        <v>5.3179048367380001E-2</v>
      </c>
      <c r="R49" s="1312"/>
      <c r="S49" s="1313"/>
      <c r="T49" s="1314"/>
      <c r="U49" s="3473">
        <f>X49*1000/SUM(C10,C24,C27,C30)</f>
        <v>2.3851680344093031E-3</v>
      </c>
      <c r="V49" s="3474"/>
      <c r="W49" s="3475"/>
      <c r="X49" s="3319">
        <f>SUM(X10,X24,X27,X30)</f>
        <v>0.56847536564274481</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15.345732206395644</v>
      </c>
    </row>
    <row r="11" spans="1:9" ht="18" customHeight="1" x14ac:dyDescent="0.2">
      <c r="B11" s="439" t="s">
        <v>876</v>
      </c>
      <c r="C11" s="4147">
        <v>0.96574777887952001</v>
      </c>
      <c r="D11" s="243" t="s">
        <v>2146</v>
      </c>
      <c r="E11" s="283" t="s">
        <v>2146</v>
      </c>
      <c r="F11" s="2305">
        <f>IF(SUM(C11)=0,"NA",G11/C11)</f>
        <v>15.890000000000073</v>
      </c>
      <c r="G11" s="3093">
        <v>15.345732206395644</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0.96574777887952001</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30.820326785749948</v>
      </c>
      <c r="H10" s="397" t="s">
        <v>897</v>
      </c>
      <c r="I10" s="398" t="s">
        <v>898</v>
      </c>
      <c r="J10" s="399">
        <v>0.21</v>
      </c>
    </row>
    <row r="11" spans="2:10" ht="24" customHeight="1" x14ac:dyDescent="0.2">
      <c r="B11" s="2431" t="s">
        <v>1949</v>
      </c>
      <c r="C11" s="2432" t="s">
        <v>899</v>
      </c>
      <c r="D11" s="3720">
        <v>439998.65823589702</v>
      </c>
      <c r="E11" s="3714">
        <f>IF(SUM(D11)=0,"NA",F11*1000/D11/(44/28))</f>
        <v>6.2195677703311223E-3</v>
      </c>
      <c r="F11" s="3425">
        <v>4.3003737444688799</v>
      </c>
      <c r="H11" s="397" t="s">
        <v>900</v>
      </c>
      <c r="I11" s="398" t="s">
        <v>901</v>
      </c>
      <c r="J11" s="399">
        <v>0.24</v>
      </c>
    </row>
    <row r="12" spans="2:10" ht="24" customHeight="1" thickBot="1" x14ac:dyDescent="0.25">
      <c r="B12" s="2431" t="s">
        <v>1950</v>
      </c>
      <c r="C12" s="2433" t="s">
        <v>902</v>
      </c>
      <c r="D12" s="3721">
        <f>IF(SUM(D13:D15)=0,"NO",SUM(D13:D15))</f>
        <v>72433.233755356574</v>
      </c>
      <c r="E12" s="3715">
        <f t="shared" ref="E12:E23" si="0">IF(SUM(D12)=0,"NA",F12*1000/D12/(44/28))</f>
        <v>8.2078961351386894E-3</v>
      </c>
      <c r="F12" s="3426">
        <f>IF(SUM(F13:F15)=0,"NO",SUM(F13:F15))</f>
        <v>0.93425272190829634</v>
      </c>
      <c r="H12" s="407" t="s">
        <v>903</v>
      </c>
      <c r="I12" s="408" t="s">
        <v>2147</v>
      </c>
      <c r="J12" s="2668" t="s">
        <v>2147</v>
      </c>
    </row>
    <row r="13" spans="2:10" ht="24" customHeight="1" x14ac:dyDescent="0.2">
      <c r="B13" s="2431" t="s">
        <v>904</v>
      </c>
      <c r="C13" s="2432" t="s">
        <v>905</v>
      </c>
      <c r="D13" s="3722">
        <v>66247.910335282999</v>
      </c>
      <c r="E13" s="3714">
        <f t="shared" si="0"/>
        <v>8.1339403143186623E-3</v>
      </c>
      <c r="F13" s="3425">
        <v>0.84677457639582709</v>
      </c>
      <c r="H13" s="1436" t="s">
        <v>906</v>
      </c>
      <c r="I13" s="1078"/>
      <c r="J13" s="1078"/>
    </row>
    <row r="14" spans="2:10" ht="24" customHeight="1" x14ac:dyDescent="0.2">
      <c r="B14" s="2431" t="s">
        <v>907</v>
      </c>
      <c r="C14" s="2432" t="s">
        <v>908</v>
      </c>
      <c r="D14" s="3722">
        <v>6185.3234200735797</v>
      </c>
      <c r="E14" s="3714">
        <f t="shared" si="0"/>
        <v>9.0000000000000045E-3</v>
      </c>
      <c r="F14" s="3425">
        <v>8.7478145512469241E-2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2257656.644176675</v>
      </c>
      <c r="E16" s="3714">
        <f t="shared" si="0"/>
        <v>3.9999999999999992E-3</v>
      </c>
      <c r="F16" s="3425">
        <v>14.190984620539096</v>
      </c>
    </row>
    <row r="17" spans="2:11" ht="24" customHeight="1" x14ac:dyDescent="0.2">
      <c r="B17" s="2431" t="s">
        <v>913</v>
      </c>
      <c r="C17" s="2432" t="s">
        <v>914</v>
      </c>
      <c r="D17" s="3722">
        <v>597645.67596168409</v>
      </c>
      <c r="E17" s="3714">
        <f t="shared" si="0"/>
        <v>0.01</v>
      </c>
      <c r="F17" s="3425">
        <v>9.3915749079693214</v>
      </c>
    </row>
    <row r="18" spans="2:11" ht="24" customHeight="1" x14ac:dyDescent="0.2">
      <c r="B18" s="2431" t="s">
        <v>1951</v>
      </c>
      <c r="C18" s="2432" t="s">
        <v>915</v>
      </c>
      <c r="D18" s="3722">
        <v>609362.97891138506</v>
      </c>
      <c r="E18" s="3716">
        <f t="shared" si="0"/>
        <v>1.9999999999999983E-3</v>
      </c>
      <c r="F18" s="3427">
        <v>1.9151407908643516</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9.9583947058060662</v>
      </c>
    </row>
    <row r="22" spans="2:11" ht="24" customHeight="1" x14ac:dyDescent="0.2">
      <c r="B22" s="2438" t="s">
        <v>1953</v>
      </c>
      <c r="C22" s="2432" t="s">
        <v>919</v>
      </c>
      <c r="D22" s="3722">
        <v>537656.87353747408</v>
      </c>
      <c r="E22" s="3714">
        <f t="shared" si="0"/>
        <v>2.6832759153935719E-3</v>
      </c>
      <c r="F22" s="3425">
        <v>2.2670713049425752</v>
      </c>
    </row>
    <row r="23" spans="2:11" ht="24" customHeight="1" thickBot="1" x14ac:dyDescent="0.25">
      <c r="B23" s="410" t="s">
        <v>920</v>
      </c>
      <c r="C23" s="411" t="s">
        <v>921</v>
      </c>
      <c r="D23" s="3725">
        <v>445543.01067393599</v>
      </c>
      <c r="E23" s="3719">
        <f t="shared" si="0"/>
        <v>1.098542320396576E-2</v>
      </c>
      <c r="F23" s="3430">
        <v>7.6913234008634905</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15066101</v>
      </c>
      <c r="N9" s="4179">
        <v>4107754</v>
      </c>
      <c r="O9" s="4179">
        <v>193702</v>
      </c>
      <c r="P9" s="4180">
        <v>750512</v>
      </c>
      <c r="Q9" s="4180">
        <v>1529840</v>
      </c>
      <c r="R9" s="4180">
        <v>244710.00810482999</v>
      </c>
      <c r="S9" s="4180">
        <v>739832</v>
      </c>
      <c r="T9" s="4180">
        <v>183240</v>
      </c>
      <c r="U9" s="4180">
        <v>1411548.375</v>
      </c>
      <c r="V9" s="4180">
        <v>25199852</v>
      </c>
      <c r="W9" s="4180">
        <v>27218.27</v>
      </c>
      <c r="X9" s="4181">
        <v>260521</v>
      </c>
    </row>
    <row r="10" spans="2:24" ht="18" customHeight="1" thickTop="1" x14ac:dyDescent="0.2">
      <c r="B10" s="437" t="s">
        <v>947</v>
      </c>
      <c r="C10" s="376"/>
      <c r="D10" s="438"/>
      <c r="E10" s="438"/>
      <c r="F10" s="4149">
        <f>IF(SUM(F11:F14)=0,"NO",SUM(F11:F14))</f>
        <v>4969.3456067152356</v>
      </c>
      <c r="G10" s="4150">
        <f>IF(SUM($F10)=0,"NA",I10/$F10*1000)</f>
        <v>1.878770396053091</v>
      </c>
      <c r="H10" s="4151">
        <f>IF(SUM($F10)=0,"NA",J10/$F10*1000)</f>
        <v>7.5249054478524383E-2</v>
      </c>
      <c r="I10" s="3192">
        <f>IF(SUM(I11:I14)=0,"NO",SUM(I11:I14))</f>
        <v>9.336259413653071</v>
      </c>
      <c r="J10" s="420">
        <f>IF(SUM(J11:J14)=0,"NO",SUM(J11:J14))</f>
        <v>0.37393855828233052</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3106.2948740751299</v>
      </c>
      <c r="G11" s="4153">
        <f>IF(SUM($F11)=0,"NA",I11/$F11*1000)</f>
        <v>1.866666666666664</v>
      </c>
      <c r="H11" s="4154">
        <f>IF(SUM($F11)=0,"NA",J11/$F11*1000)</f>
        <v>7.1657142857142753E-2</v>
      </c>
      <c r="I11" s="3326">
        <v>5.7984170982735677</v>
      </c>
      <c r="J11" s="3327">
        <v>0.22258821554801184</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703.71220929797505</v>
      </c>
      <c r="G12" s="4155">
        <f t="shared" ref="G12:G28" si="0">IF(SUM($F12)=0,"NA",I12/$F12*1000)</f>
        <v>1.8666666666666663</v>
      </c>
      <c r="H12" s="4154">
        <f t="shared" ref="H12:H28" si="1">IF(SUM($F12)=0,"NA",J12/$F12*1000)</f>
        <v>8.3599999999999966E-2</v>
      </c>
      <c r="I12" s="3180">
        <v>1.3135961240228864</v>
      </c>
      <c r="J12" s="3327">
        <v>5.883034069731069E-2</v>
      </c>
      <c r="L12" s="1324" t="s">
        <v>952</v>
      </c>
      <c r="M12" s="4177">
        <v>0.32540680958767998</v>
      </c>
      <c r="N12" s="4177">
        <v>0.32707327842110001</v>
      </c>
      <c r="O12" s="4177">
        <v>0.29532019966949002</v>
      </c>
      <c r="P12" s="4178">
        <v>0.25681486377798002</v>
      </c>
      <c r="Q12" s="4178">
        <v>0.34560214947309997</v>
      </c>
      <c r="R12" s="4178">
        <v>0.31709205597422002</v>
      </c>
      <c r="S12" s="4178">
        <v>0.81499999999999995</v>
      </c>
      <c r="T12" s="4178">
        <v>0.33504005235957002</v>
      </c>
      <c r="U12" s="4178">
        <v>0.32474589674726795</v>
      </c>
      <c r="V12" s="4178">
        <v>0.68045955190530494</v>
      </c>
      <c r="W12" s="4178">
        <v>0.22193274045621122</v>
      </c>
      <c r="X12" s="4152">
        <v>0.31762604263159744</v>
      </c>
    </row>
    <row r="13" spans="2:24" ht="18" customHeight="1" thickBot="1" x14ac:dyDescent="0.25">
      <c r="B13" s="439" t="s">
        <v>953</v>
      </c>
      <c r="C13" s="440" t="s">
        <v>2147</v>
      </c>
      <c r="D13" s="440" t="s">
        <v>2147</v>
      </c>
      <c r="E13" s="440" t="s">
        <v>2147</v>
      </c>
      <c r="F13" s="4152">
        <v>37.809630737594702</v>
      </c>
      <c r="G13" s="4155">
        <f t="shared" si="0"/>
        <v>1.9600000000000013</v>
      </c>
      <c r="H13" s="4154">
        <f t="shared" si="1"/>
        <v>5.9714285714285768E-2</v>
      </c>
      <c r="I13" s="3180">
        <v>7.4106876245685668E-2</v>
      </c>
      <c r="J13" s="3327">
        <v>2.2577750926163712E-3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1121.5288926045362</v>
      </c>
      <c r="G14" s="4157">
        <f t="shared" si="0"/>
        <v>1.917150177127978</v>
      </c>
      <c r="H14" s="4158">
        <f t="shared" si="1"/>
        <v>8.0481410278049004E-2</v>
      </c>
      <c r="I14" s="3199">
        <f>IF(SUM(I15:I19)=0,"NO",SUM(I15:I19))</f>
        <v>2.1501393151109314</v>
      </c>
      <c r="J14" s="3085">
        <f>IF(SUM(J15:J19)=0,"NO",SUM(J15:J19))</f>
        <v>9.0262226944391635E-2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111.01975893719499</v>
      </c>
      <c r="G15" s="4159">
        <f t="shared" si="0"/>
        <v>1.8666666666666685</v>
      </c>
      <c r="H15" s="4160">
        <f t="shared" si="1"/>
        <v>9.5542857142857221E-2</v>
      </c>
      <c r="I15" s="3328">
        <v>0.20723688334943086</v>
      </c>
      <c r="J15" s="3327">
        <v>1.0607144968170867E-2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317.12808193942402</v>
      </c>
      <c r="G16" s="4161">
        <f t="shared" si="0"/>
        <v>1.8666666666666645</v>
      </c>
      <c r="H16" s="4162">
        <f t="shared" si="1"/>
        <v>7.165714285714278E-2</v>
      </c>
      <c r="I16" s="3329">
        <v>0.59197241962025748</v>
      </c>
      <c r="J16" s="3327">
        <v>2.2724492271544987E-2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47.853516647966302</v>
      </c>
      <c r="G17" s="4161">
        <f t="shared" si="0"/>
        <v>1.8666666666666674</v>
      </c>
      <c r="H17" s="4162">
        <f t="shared" si="1"/>
        <v>7.1657142857142891E-2</v>
      </c>
      <c r="I17" s="3329">
        <v>8.9326564409537124E-2</v>
      </c>
      <c r="J17" s="3327">
        <v>3.4290462786599864E-3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606.62909552639996</v>
      </c>
      <c r="G18" s="4161">
        <f t="shared" si="0"/>
        <v>1.9599999999999995</v>
      </c>
      <c r="H18" s="4162">
        <f t="shared" si="1"/>
        <v>8.359999999999998E-2</v>
      </c>
      <c r="I18" s="3329">
        <v>1.1889930272317437</v>
      </c>
      <c r="J18" s="3327">
        <v>5.071419238600703E-2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38.8984395535511</v>
      </c>
      <c r="G19" s="4161">
        <f t="shared" si="0"/>
        <v>1.8666666666666674</v>
      </c>
      <c r="H19" s="4162">
        <f t="shared" si="1"/>
        <v>7.1657142857142878E-2</v>
      </c>
      <c r="I19" s="3329">
        <v>7.2610420499962081E-2</v>
      </c>
      <c r="J19" s="3327">
        <v>2.787351040008748E-3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262.25301869415</v>
      </c>
      <c r="G20" s="4165">
        <f t="shared" si="0"/>
        <v>1.8666666666666665</v>
      </c>
      <c r="H20" s="4166">
        <f t="shared" si="1"/>
        <v>0.10748571428571424</v>
      </c>
      <c r="I20" s="3220">
        <f>I21</f>
        <v>0.48953896822907994</v>
      </c>
      <c r="J20" s="449">
        <f>J21</f>
        <v>2.8188453037925481E-2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262.25301869415</v>
      </c>
      <c r="G21" s="4168">
        <f t="shared" si="0"/>
        <v>1.8666666666666665</v>
      </c>
      <c r="H21" s="4158">
        <f t="shared" si="1"/>
        <v>0.10748571428571424</v>
      </c>
      <c r="I21" s="3199">
        <f>I22</f>
        <v>0.48953896822907994</v>
      </c>
      <c r="J21" s="3085">
        <f>J22</f>
        <v>2.8188453037925481E-2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262.25301869415</v>
      </c>
      <c r="G22" s="4170">
        <f t="shared" si="0"/>
        <v>1.8666666666666665</v>
      </c>
      <c r="H22" s="4171">
        <f t="shared" si="1"/>
        <v>0.10748571428571424</v>
      </c>
      <c r="I22" s="3330">
        <v>0.48953896822907994</v>
      </c>
      <c r="J22" s="3331">
        <v>2.8188453037925481E-2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823.07903999999996</v>
      </c>
      <c r="G26" s="4175">
        <f t="shared" si="0"/>
        <v>1.8666666666666669</v>
      </c>
      <c r="H26" s="4176">
        <f t="shared" si="1"/>
        <v>5.9714285714285727E-2</v>
      </c>
      <c r="I26" s="3332">
        <v>1.5364142080000001</v>
      </c>
      <c r="J26" s="3333">
        <v>4.9149576960000003E-2</v>
      </c>
      <c r="L26" s="159"/>
    </row>
    <row r="27" spans="2:24" ht="18" customHeight="1" x14ac:dyDescent="0.2">
      <c r="B27" s="446" t="s">
        <v>963</v>
      </c>
      <c r="C27" s="447"/>
      <c r="D27" s="448"/>
      <c r="E27" s="448"/>
      <c r="F27" s="4164">
        <f>IF(SUM(F28:F29)=0,"NO",SUM(F28:F29))</f>
        <v>81.793194867165596</v>
      </c>
      <c r="G27" s="4165">
        <f t="shared" si="0"/>
        <v>1.8694988182903303</v>
      </c>
      <c r="H27" s="4166">
        <f t="shared" si="1"/>
        <v>0.11002251295433869</v>
      </c>
      <c r="I27" s="3220">
        <f>IF(SUM(I28:I29)=0,"NO",SUM(I28:I29))</f>
        <v>0.15291228114835678</v>
      </c>
      <c r="J27" s="449">
        <f>IF(SUM(J28:J29)=0,"NO",SUM(J28:J29))</f>
        <v>8.9990928418494757E-3</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2.48197210336799</v>
      </c>
      <c r="G28" s="4161">
        <f t="shared" si="0"/>
        <v>1.9600000000000009</v>
      </c>
      <c r="H28" s="4162">
        <f t="shared" si="1"/>
        <v>0.19108571428571439</v>
      </c>
      <c r="I28" s="3329">
        <v>4.8646653226012623E-3</v>
      </c>
      <c r="J28" s="3327">
        <v>4.7426941220928931E-4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79.311222763797602</v>
      </c>
      <c r="G29" s="4161">
        <f t="shared" ref="G29" si="2">IF(SUM($F29)=0,"NA",I29/$F29*1000)</f>
        <v>1.8666666666666665</v>
      </c>
      <c r="H29" s="4162">
        <f t="shared" ref="H29" si="3">IF(SUM($F29)=0,"NA",J29/$F29*1000)</f>
        <v>0.10748571428571428</v>
      </c>
      <c r="I29" s="3329">
        <v>0.14804761582575551</v>
      </c>
      <c r="J29" s="3327">
        <v>8.5248234296401871E-3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260.25846060066385</v>
      </c>
    </row>
    <row r="11" spans="2:5" s="83" customFormat="1" ht="18" customHeight="1" x14ac:dyDescent="0.2">
      <c r="B11" s="1854" t="s">
        <v>972</v>
      </c>
      <c r="C11" s="4187">
        <v>577342.569730049</v>
      </c>
      <c r="D11" s="3594">
        <f>IF(SUM(C11)=0,"NA",E11*1000/(44/12)/C11)</f>
        <v>0.10800000000000008</v>
      </c>
      <c r="E11" s="3431">
        <v>228.62765761309956</v>
      </c>
    </row>
    <row r="12" spans="2:5" s="83" customFormat="1" ht="18" customHeight="1" x14ac:dyDescent="0.2">
      <c r="B12" s="1854" t="s">
        <v>973</v>
      </c>
      <c r="C12" s="4187">
        <v>69850.871522041198</v>
      </c>
      <c r="D12" s="3594">
        <f t="shared" ref="D12:D16" si="0">IF(SUM(C12)=0,"NA",E12*1000/(44/12)/C12)</f>
        <v>0.12349999999999992</v>
      </c>
      <c r="E12" s="3431">
        <v>31.630802987564302</v>
      </c>
    </row>
    <row r="13" spans="2:5" s="83" customFormat="1" ht="18" customHeight="1" x14ac:dyDescent="0.2">
      <c r="B13" s="846" t="s">
        <v>974</v>
      </c>
      <c r="C13" s="4188">
        <v>510869.56521739101</v>
      </c>
      <c r="D13" s="4189">
        <f t="shared" si="0"/>
        <v>0.20000000000000018</v>
      </c>
      <c r="E13" s="3432">
        <v>374.63768115942037</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159807.7936945559</v>
      </c>
      <c r="D10" s="2989">
        <f t="shared" ref="D10:H10" si="0">IF(SUM(D11,D14,D17,D20,D23,D26,D29:D30)=0,"NO",SUM(D11,D14,D17,D20,D23,D26,D29:D30))</f>
        <v>699.1475012280481</v>
      </c>
      <c r="E10" s="2989">
        <f t="shared" si="0"/>
        <v>15.335132593743483</v>
      </c>
      <c r="F10" s="2989">
        <f t="shared" si="0"/>
        <v>768.36259665489672</v>
      </c>
      <c r="G10" s="2989">
        <f t="shared" si="0"/>
        <v>21636.998205521515</v>
      </c>
      <c r="H10" s="2990">
        <f t="shared" si="0"/>
        <v>1009.1150333517749</v>
      </c>
      <c r="I10" s="2991">
        <f>IF(SUM(C10:E10)=0,"NO",SUM(C10)+28*SUM(D10)+265*SUM(E10))</f>
        <v>183447.73386628326</v>
      </c>
    </row>
    <row r="11" spans="2:9" ht="18" customHeight="1" x14ac:dyDescent="0.2">
      <c r="B11" s="473" t="s">
        <v>981</v>
      </c>
      <c r="C11" s="2992">
        <f>IF(SUM(C12:C13)=0,"NO",SUM(C12:C13))</f>
        <v>-12082.033388131182</v>
      </c>
      <c r="D11" s="2992">
        <f t="shared" ref="D11:H11" si="1">IF(SUM(D12:D13)=0,"NO",SUM(D12:D13))</f>
        <v>233.66673311820711</v>
      </c>
      <c r="E11" s="2992">
        <f t="shared" si="1"/>
        <v>4.8611115768679793</v>
      </c>
      <c r="F11" s="2992">
        <f t="shared" si="1"/>
        <v>258.19225119989756</v>
      </c>
      <c r="G11" s="2992">
        <f t="shared" si="1"/>
        <v>6916.9102853712611</v>
      </c>
      <c r="H11" s="2993">
        <f t="shared" si="1"/>
        <v>229.47991610323095</v>
      </c>
      <c r="I11" s="2994">
        <f t="shared" ref="I11:I32" si="2">IF(SUM(C11:E11)=0,"NO",SUM(C11)+28*SUM(D11)+265*SUM(E11))</f>
        <v>-4251.1702929513685</v>
      </c>
    </row>
    <row r="12" spans="2:9" ht="18" customHeight="1" x14ac:dyDescent="0.2">
      <c r="B12" s="474" t="s">
        <v>982</v>
      </c>
      <c r="C12" s="2995">
        <f>IF(SUM(Table4.A!U11,'Table4(IV)'!J12)=0,"NO",SUM(Table4.A!U11,'Table4(IV)'!J12))</f>
        <v>-4789.0306901969225</v>
      </c>
      <c r="D12" s="2995">
        <f>'Table4(IV)'!K12</f>
        <v>233.18850303202487</v>
      </c>
      <c r="E12" s="2995">
        <f>IF(SUM('Table4(III)'!I12,'Table4(IV)'!L12)=0,"NO",SUM('Table4(III)'!I12,'Table4(IV)'!L12))</f>
        <v>4.4442636191095479</v>
      </c>
      <c r="F12" s="2905">
        <v>257.81616467660871</v>
      </c>
      <c r="G12" s="2905">
        <v>6904.8470664829401</v>
      </c>
      <c r="H12" s="2906">
        <v>228.52794164503226</v>
      </c>
      <c r="I12" s="2996">
        <f t="shared" si="2"/>
        <v>2917.9772537638037</v>
      </c>
    </row>
    <row r="13" spans="2:9" ht="18" customHeight="1" thickBot="1" x14ac:dyDescent="0.25">
      <c r="B13" s="475" t="s">
        <v>983</v>
      </c>
      <c r="C13" s="2997">
        <f>IF(SUM(Table4.A!U16,'Table4(IV)'!J19)=0,"NO",SUM(Table4.A!U16,'Table4(IV)'!J19))</f>
        <v>-7293.0026979342583</v>
      </c>
      <c r="D13" s="2997">
        <f>'Table4(IV)'!K19</f>
        <v>0.47823008618222984</v>
      </c>
      <c r="E13" s="2997">
        <f>IF(SUM('Table4(III)'!I13,'Table4(IV)'!L19)=0,"NO",SUM('Table4(III)'!I13,'Table4(IV)'!L19))</f>
        <v>0.4168479577584317</v>
      </c>
      <c r="F13" s="2908">
        <v>0.37608652328886161</v>
      </c>
      <c r="G13" s="2908">
        <v>12.063218888321053</v>
      </c>
      <c r="H13" s="2907">
        <v>0.95197445819867799</v>
      </c>
      <c r="I13" s="2998">
        <f t="shared" si="2"/>
        <v>-7169.1475467151713</v>
      </c>
    </row>
    <row r="14" spans="2:9" ht="18" customHeight="1" x14ac:dyDescent="0.2">
      <c r="B14" s="473" t="s">
        <v>984</v>
      </c>
      <c r="C14" s="2992">
        <f>IF(SUM(C15:C16)=0,"NO",SUM(C15:C16))</f>
        <v>39717.359150626733</v>
      </c>
      <c r="D14" s="2992">
        <f t="shared" ref="D14" si="3">IF(SUM(D15:D16)=0,"NO",SUM(D15:D16))</f>
        <v>21.395995200000002</v>
      </c>
      <c r="E14" s="2992">
        <f t="shared" ref="E14" si="4">IF(SUM(E15:E16)=0,"NO",SUM(E15:E16))</f>
        <v>0.51126953224202798</v>
      </c>
      <c r="F14" s="2992">
        <f t="shared" ref="F14" si="5">IF(SUM(F15:F16)=0,"NO",SUM(F15:F16))</f>
        <v>16.110674957142855</v>
      </c>
      <c r="G14" s="2992">
        <f t="shared" ref="G14" si="6">IF(SUM(G15:G16)=0,"NO",SUM(G15:G16))</f>
        <v>630.98374733333333</v>
      </c>
      <c r="H14" s="2993">
        <f t="shared" ref="H14" si="7">IF(SUM(H15:H16)=0,"NO",SUM(H15:H16))</f>
        <v>76.272760666666684</v>
      </c>
      <c r="I14" s="2999">
        <f t="shared" si="2"/>
        <v>40451.933442270871</v>
      </c>
    </row>
    <row r="15" spans="2:9" ht="18" customHeight="1" x14ac:dyDescent="0.2">
      <c r="B15" s="474" t="s">
        <v>985</v>
      </c>
      <c r="C15" s="2995">
        <f>IF(SUM(Table4.B!S11,'Table4(IV)'!J26)=0,"NO",SUM(Table4.B!S11,'Table4(IV)'!J26))</f>
        <v>22322.674977151688</v>
      </c>
      <c r="D15" s="2995" t="str">
        <f>'Table4(IV)'!K26</f>
        <v>IE</v>
      </c>
      <c r="E15" s="2995" t="str">
        <f>'Table4(IV)'!L26</f>
        <v>IE</v>
      </c>
      <c r="F15" s="2905" t="s">
        <v>2153</v>
      </c>
      <c r="G15" s="2905" t="s">
        <v>2153</v>
      </c>
      <c r="H15" s="2906" t="s">
        <v>2153</v>
      </c>
      <c r="I15" s="2996">
        <f t="shared" si="2"/>
        <v>22322.674977151688</v>
      </c>
    </row>
    <row r="16" spans="2:9" ht="18" customHeight="1" thickBot="1" x14ac:dyDescent="0.25">
      <c r="B16" s="475" t="s">
        <v>986</v>
      </c>
      <c r="C16" s="2997">
        <f>IF(SUM(Table4.B!S13,'Table4(IV)'!J31)=0,"IE",SUM(Table4.B!S13,'Table4(IV)'!J31))</f>
        <v>17394.684173475045</v>
      </c>
      <c r="D16" s="2997">
        <f>'Table4(IV)'!K31</f>
        <v>21.395995200000002</v>
      </c>
      <c r="E16" s="2997">
        <f>IF(SUM('Table4(III)'!I21,'Table4(IV)'!L31)=0,"IE",SUM('Table4(III)'!I21,'Table4(IV)'!L31))</f>
        <v>0.51126953224202798</v>
      </c>
      <c r="F16" s="2908">
        <v>16.110674957142855</v>
      </c>
      <c r="G16" s="2908">
        <v>630.98374733333333</v>
      </c>
      <c r="H16" s="2907">
        <v>76.272760666666684</v>
      </c>
      <c r="I16" s="2998">
        <f t="shared" si="2"/>
        <v>18129.258465119183</v>
      </c>
    </row>
    <row r="17" spans="2:9" ht="18" customHeight="1" x14ac:dyDescent="0.2">
      <c r="B17" s="473" t="s">
        <v>987</v>
      </c>
      <c r="C17" s="2992">
        <f>IF(SUM(C18:C19)=0,"NO",SUM(C18:C19))</f>
        <v>130310.91111872907</v>
      </c>
      <c r="D17" s="2992">
        <f t="shared" ref="D17" si="8">IF(SUM(D18:D19)=0,"NO",SUM(D18:D19))</f>
        <v>346.77392930879648</v>
      </c>
      <c r="E17" s="2992">
        <f t="shared" ref="E17" si="9">IF(SUM(E18:E19)=0,"NO",SUM(E18:E19))</f>
        <v>9.5724080022439182</v>
      </c>
      <c r="F17" s="2992">
        <f t="shared" ref="F17" si="10">IF(SUM(F18:F19)=0,"NO",SUM(F18:F19))</f>
        <v>471.82971033643554</v>
      </c>
      <c r="G17" s="2992">
        <f t="shared" ref="G17" si="11">IF(SUM(G18:G19)=0,"NO",SUM(G18:G19))</f>
        <v>13491.44727203713</v>
      </c>
      <c r="H17" s="2993">
        <f t="shared" ref="H17" si="12">IF(SUM(H18:H19)=0,"NO",SUM(H18:H19))</f>
        <v>682.94529311500457</v>
      </c>
      <c r="I17" s="2999">
        <f t="shared" si="2"/>
        <v>142557.26925996999</v>
      </c>
    </row>
    <row r="18" spans="2:9" ht="18" customHeight="1" x14ac:dyDescent="0.2">
      <c r="B18" s="474" t="s">
        <v>988</v>
      </c>
      <c r="C18" s="2995">
        <f>IF(SUM(Table4.C!S11,'Table4(IV)'!J37)=0,"IE",SUM(Table4.C!S11,'Table4(IV)'!J37))</f>
        <v>-984.83757493496046</v>
      </c>
      <c r="D18" s="2995">
        <f>'Table4(IV)'!K37</f>
        <v>161.14454032827877</v>
      </c>
      <c r="E18" s="2995">
        <f>IF(SUM('Table4(III)'!I29,'Table4(IV)'!L37)=0,"NO",SUM('Table4(III)'!I29,'Table4(IV)'!L37))</f>
        <v>5.7968078627632575</v>
      </c>
      <c r="F18" s="2905">
        <v>331.22407949177614</v>
      </c>
      <c r="G18" s="2905">
        <v>8006.7694966671679</v>
      </c>
      <c r="H18" s="2906">
        <v>24.181028667161701</v>
      </c>
      <c r="I18" s="2996">
        <f t="shared" si="2"/>
        <v>5063.3636378891078</v>
      </c>
    </row>
    <row r="19" spans="2:9" ht="18" customHeight="1" thickBot="1" x14ac:dyDescent="0.25">
      <c r="B19" s="475" t="s">
        <v>989</v>
      </c>
      <c r="C19" s="2997">
        <f>IF(SUM(Table4.C!S15,'Table4(IV)'!J42)=0,"IE",SUM(Table4.C!S15,'Table4(IV)'!J42))</f>
        <v>131295.74869366403</v>
      </c>
      <c r="D19" s="2997">
        <f>'Table4(IV)'!K42</f>
        <v>185.62938898051772</v>
      </c>
      <c r="E19" s="2997">
        <f>IF(SUM('Table4(III)'!I30,'Table4(IV)'!L42)=0,"NO",SUM('Table4(III)'!I30,'Table4(IV)'!L42))</f>
        <v>3.7756001394806598</v>
      </c>
      <c r="F19" s="2908">
        <v>140.6056308446594</v>
      </c>
      <c r="G19" s="2908">
        <v>5484.6777753699625</v>
      </c>
      <c r="H19" s="2907">
        <v>658.76426444784283</v>
      </c>
      <c r="I19" s="2998">
        <f t="shared" si="2"/>
        <v>137493.9056220809</v>
      </c>
    </row>
    <row r="20" spans="2:9" ht="18" customHeight="1" x14ac:dyDescent="0.2">
      <c r="B20" s="473" t="s">
        <v>2027</v>
      </c>
      <c r="C20" s="2992">
        <f>IF(SUM(C21:C22)=0,"NO",SUM(C21:C22))</f>
        <v>1678.2768901873435</v>
      </c>
      <c r="D20" s="2992">
        <f t="shared" ref="D20" si="13">IF(SUM(D21:D22)=0,"NO",SUM(D21:D22))</f>
        <v>91.661046801044449</v>
      </c>
      <c r="E20" s="2992">
        <f t="shared" ref="E20" si="14">IF(SUM(E21:E22)=0,"NO",SUM(E21:E22))</f>
        <v>0.24933026672966455</v>
      </c>
      <c r="F20" s="2992">
        <f t="shared" ref="F20" si="15">IF(SUM(F21:F22)=0,"NO",SUM(F21:F22))</f>
        <v>17.975797689992202</v>
      </c>
      <c r="G20" s="2992">
        <f t="shared" ref="G20" si="16">IF(SUM(G21:G22)=0,"NO",SUM(G21:G22))</f>
        <v>431.04020811312006</v>
      </c>
      <c r="H20" s="2993">
        <f t="shared" ref="H20" si="17">IF(SUM(H21:H22)=0,"NO",SUM(H21:H22))</f>
        <v>0.27658413353925204</v>
      </c>
      <c r="I20" s="2999">
        <f t="shared" si="2"/>
        <v>4310.8587212999491</v>
      </c>
    </row>
    <row r="21" spans="2:9" ht="18" customHeight="1" x14ac:dyDescent="0.2">
      <c r="B21" s="474" t="s">
        <v>990</v>
      </c>
      <c r="C21" s="2995">
        <f>IF(SUM(Table4.D!S11,'Table4(IV)'!J49)=0,"IE",SUM(Table4.D!S11,'Table4(IV)'!J49))</f>
        <v>551.18022352067692</v>
      </c>
      <c r="D21" s="2995">
        <f>IF(SUM('Table4(IV)'!K49,'Table4(II)'!J270)=0,"NO",SUM('Table4(IV)'!K49,'Table4(II)'!J270))</f>
        <v>49.086872266884072</v>
      </c>
      <c r="E21" s="2995">
        <f>IF(SUM('Table4(II)'!I270,'Table4(III)'!I38,'Table4(IV)'!L49)=0,"NO",SUM('Table4(II)'!I270,'Table4(III)'!I38,'Table4(IV)'!L49))</f>
        <v>0.24933026672966455</v>
      </c>
      <c r="F21" s="2905">
        <v>17.975797689992202</v>
      </c>
      <c r="G21" s="2905">
        <v>431.04020811312006</v>
      </c>
      <c r="H21" s="2906">
        <v>0.27658413353925204</v>
      </c>
      <c r="I21" s="2996">
        <f t="shared" si="2"/>
        <v>1991.6851676767919</v>
      </c>
    </row>
    <row r="22" spans="2:9" ht="18" customHeight="1" thickBot="1" x14ac:dyDescent="0.25">
      <c r="B22" s="475" t="s">
        <v>991</v>
      </c>
      <c r="C22" s="2997">
        <f>IF(SUM(Table4.D!S23,'Table4(II)'!H320,'Table4(IV)'!J54)=0,"NO",SUM(Table4.D!S23,'Table4(II)'!H320,'Table4(IV)'!J54))</f>
        <v>1127.0966666666666</v>
      </c>
      <c r="D22" s="2997">
        <f>IF(SUM('Table4(IV)'!K54,'Table4(II)'!J320)=0,"NO",SUM('Table4(IV)'!K54,'Table4(II)'!J320))</f>
        <v>42.57417453416037</v>
      </c>
      <c r="E22" s="2997" t="str">
        <f>IF(SUM('Table4(II)'!I320,'Table4(III)'!I39,'Table4(IV)'!L54)=0,"NO",SUM('Table4(II)'!I320,'Table4(III)'!I39,'Table4(IV)'!L54))</f>
        <v>NO</v>
      </c>
      <c r="F22" s="2908" t="s">
        <v>2153</v>
      </c>
      <c r="G22" s="2908" t="s">
        <v>2153</v>
      </c>
      <c r="H22" s="2907" t="s">
        <v>2153</v>
      </c>
      <c r="I22" s="2998">
        <f t="shared" si="2"/>
        <v>2319.1735536231572</v>
      </c>
    </row>
    <row r="23" spans="2:9" ht="18" customHeight="1" x14ac:dyDescent="0.2">
      <c r="B23" s="473" t="s">
        <v>992</v>
      </c>
      <c r="C23" s="2992">
        <f>IF(SUM(C24:C25)=0,"NO",SUM(C24:C25))</f>
        <v>6750.9811935626794</v>
      </c>
      <c r="D23" s="2992">
        <f t="shared" ref="D23" si="18">IF(SUM(D24:D25)=0,"NO",SUM(D24:D25))</f>
        <v>5.6497968000000007</v>
      </c>
      <c r="E23" s="2992">
        <f t="shared" ref="E23" si="19">IF(SUM(E24:E25)=0,"NO",SUM(E24:E25))</f>
        <v>0.12497535708846487</v>
      </c>
      <c r="F23" s="2992">
        <f>IF(SUM(F24:F25)=0,"NO",SUM(F24:F25))</f>
        <v>4.2541624714285717</v>
      </c>
      <c r="G23" s="2992">
        <f t="shared" ref="G23" si="20">IF(SUM(G24:G25)=0,"NO",SUM(G24:G25))</f>
        <v>166.61669266666667</v>
      </c>
      <c r="H23" s="2993">
        <f t="shared" ref="H23" si="21">IF(SUM(H24:H25)=0,"NO",SUM(H24:H25))</f>
        <v>20.140479333333335</v>
      </c>
      <c r="I23" s="2999">
        <f t="shared" si="2"/>
        <v>6942.2939735911232</v>
      </c>
    </row>
    <row r="24" spans="2:9" ht="18" customHeight="1" x14ac:dyDescent="0.2">
      <c r="B24" s="474" t="s">
        <v>993</v>
      </c>
      <c r="C24" s="2995">
        <f>IF(SUM(Table4.E!S11,'Table4(IV)'!J60)=0,"IE",SUM(Table4.E!S11,'Table4(IV)'!J60))</f>
        <v>-29.530994482672295</v>
      </c>
      <c r="D24" s="2995" t="str">
        <f>'Table4(IV)'!K60</f>
        <v>IE</v>
      </c>
      <c r="E24" s="2995">
        <f>IF(SUM('Table4(III)'!I47,'Table4(IV)'!L60)=0,"IE",SUM('Table4(III)'!I47,'Table4(IV)'!L60))</f>
        <v>4.3398227409922272E-4</v>
      </c>
      <c r="F24" s="2905" t="s">
        <v>2154</v>
      </c>
      <c r="G24" s="2905" t="s">
        <v>2154</v>
      </c>
      <c r="H24" s="2906" t="s">
        <v>2154</v>
      </c>
      <c r="I24" s="2996">
        <f t="shared" si="2"/>
        <v>-29.415989180036</v>
      </c>
    </row>
    <row r="25" spans="2:9" ht="18" customHeight="1" thickBot="1" x14ac:dyDescent="0.25">
      <c r="B25" s="475" t="s">
        <v>994</v>
      </c>
      <c r="C25" s="2997">
        <f>IF(SUM(Table4.E!S13,'Table4(IV)'!J65)=0,"IE",SUM(Table4.E!S13,'Table4(IV)'!J65))</f>
        <v>6780.5121880453516</v>
      </c>
      <c r="D25" s="2997">
        <f>'Table4(IV)'!K65</f>
        <v>5.6497968000000007</v>
      </c>
      <c r="E25" s="2997">
        <f>IF(SUM('Table4(III)'!I48,'Table4(IV)'!L65)=0,"NO",SUM('Table4(III)'!I48,'Table4(IV)'!L65))</f>
        <v>0.12454137481436564</v>
      </c>
      <c r="F25" s="2908">
        <v>4.2541624714285717</v>
      </c>
      <c r="G25" s="2908">
        <v>166.61669266666667</v>
      </c>
      <c r="H25" s="2907">
        <v>20.140479333333335</v>
      </c>
      <c r="I25" s="2998">
        <f t="shared" si="2"/>
        <v>6971.7099627711586</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-6567.7012704187327</v>
      </c>
      <c r="D29" s="3004"/>
      <c r="E29" s="3004"/>
      <c r="F29" s="3004"/>
      <c r="G29" s="3004"/>
      <c r="H29" s="3005"/>
      <c r="I29" s="3006">
        <f t="shared" si="2"/>
        <v>-6567.7012704187327</v>
      </c>
    </row>
    <row r="30" spans="2:9" ht="18" customHeight="1" x14ac:dyDescent="0.2">
      <c r="B30" s="1168" t="s">
        <v>2063</v>
      </c>
      <c r="C30" s="3007" t="str">
        <f>IF(SUM(C31:C32)=0,"NO",SUM(C31:C32))</f>
        <v>NO</v>
      </c>
      <c r="D30" s="3007" t="str">
        <f t="shared" ref="D30" si="27">IF(SUM(D31:D32)=0,"NO",SUM(D31:D32))</f>
        <v>NO</v>
      </c>
      <c r="E30" s="3007">
        <f t="shared" ref="E30" si="28">IF(SUM(E31:E32)=0,"NO",SUM(E31:E32))</f>
        <v>1.6037858571428573E-2</v>
      </c>
      <c r="F30" s="3007" t="str">
        <f t="shared" ref="F30" si="29">IF(SUM(F31:F32)=0,"NO",SUM(F31:F32))</f>
        <v>NO</v>
      </c>
      <c r="G30" s="3007" t="str">
        <f t="shared" ref="G30" si="30">IF(SUM(G31:G32)=0,"NO",SUM(G31:G32))</f>
        <v>NO</v>
      </c>
      <c r="H30" s="3008" t="str">
        <f t="shared" ref="H30" si="31">IF(SUM(H31:H32)=0,"NO",SUM(H31:H32))</f>
        <v>NO</v>
      </c>
      <c r="I30" s="3009">
        <f t="shared" si="2"/>
        <v>4.2500325214285715</v>
      </c>
    </row>
    <row r="31" spans="2:9" ht="18" customHeight="1" x14ac:dyDescent="0.2">
      <c r="B31" s="2677" t="s">
        <v>2218</v>
      </c>
      <c r="C31" s="3010" t="s">
        <v>2146</v>
      </c>
      <c r="D31" s="3010" t="s">
        <v>2146</v>
      </c>
      <c r="E31" s="3010">
        <v>1.6037858571428573E-2</v>
      </c>
      <c r="F31" s="3010" t="s">
        <v>2146</v>
      </c>
      <c r="G31" s="3010" t="s">
        <v>2146</v>
      </c>
      <c r="H31" s="3011" t="s">
        <v>2146</v>
      </c>
      <c r="I31" s="3012">
        <f t="shared" si="2"/>
        <v>4.2500325214285715</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260937.17654980801</v>
      </c>
      <c r="D10" s="3765">
        <f t="shared" ref="D10:I10" si="0">IF(SUM(D11,D37,D47)=0,"NO",SUM(D11,D37,D47))</f>
        <v>1299.2288818725997</v>
      </c>
      <c r="E10" s="3765">
        <f t="shared" si="0"/>
        <v>6.6985612369461691</v>
      </c>
      <c r="F10" s="3765">
        <f t="shared" si="0"/>
        <v>1531.7060092690283</v>
      </c>
      <c r="G10" s="3765">
        <f t="shared" si="0"/>
        <v>5287.7693337574374</v>
      </c>
      <c r="H10" s="3765">
        <f t="shared" si="0"/>
        <v>790.86730814244902</v>
      </c>
      <c r="I10" s="3766">
        <f t="shared" si="0"/>
        <v>559.69869001546454</v>
      </c>
      <c r="J10" s="3028">
        <f t="shared" ref="J10:J40" si="1">IF(SUM(C10:E10)=0,"NO",SUM(C10,IFERROR(28*D10,0),IFERROR(265*E10,0)))</f>
        <v>299090.70397003152</v>
      </c>
    </row>
    <row r="11" spans="2:10" s="83" customFormat="1" ht="18" customHeight="1" thickBot="1" x14ac:dyDescent="0.25">
      <c r="B11" s="18" t="s">
        <v>75</v>
      </c>
      <c r="C11" s="3029">
        <f>IF(SUM(C12,C16,C24,C30,C34)=0,"NO",SUM(C12,C16,C24,C30,C34))</f>
        <v>253935.97573652305</v>
      </c>
      <c r="D11" s="3029">
        <f t="shared" ref="D11:I11" si="2">IF(SUM(D12,D16,D24,D30,D34)=0,"NO",SUM(D12,D16,D24,D30,D34))</f>
        <v>134.01977686044222</v>
      </c>
      <c r="E11" s="3029">
        <f t="shared" si="2"/>
        <v>6.5736259448986516</v>
      </c>
      <c r="F11" s="3029">
        <f t="shared" si="2"/>
        <v>1527.855247170884</v>
      </c>
      <c r="G11" s="3029">
        <f t="shared" si="2"/>
        <v>5265.4329135882008</v>
      </c>
      <c r="H11" s="3029">
        <f t="shared" si="2"/>
        <v>615.87240249080128</v>
      </c>
      <c r="I11" s="3030">
        <f t="shared" si="2"/>
        <v>559.69869001546454</v>
      </c>
      <c r="J11" s="3031">
        <f t="shared" si="1"/>
        <v>259430.54036401358</v>
      </c>
    </row>
    <row r="12" spans="2:10" s="83" customFormat="1" ht="18" customHeight="1" x14ac:dyDescent="0.2">
      <c r="B12" s="26" t="s">
        <v>76</v>
      </c>
      <c r="C12" s="3029">
        <f>IF(SUM(C13:C15)=0,"NO",SUM(C13:C15))</f>
        <v>145798.89301365922</v>
      </c>
      <c r="D12" s="3029">
        <f t="shared" ref="D12:I12" si="3">IF(SUM(D13:D15)=0,"NO",SUM(D13:D15))</f>
        <v>5.9268696876790408</v>
      </c>
      <c r="E12" s="3029">
        <f t="shared" si="3"/>
        <v>1.6290682412384687</v>
      </c>
      <c r="F12" s="3029">
        <f t="shared" si="3"/>
        <v>500.44882848646733</v>
      </c>
      <c r="G12" s="3029">
        <f t="shared" si="3"/>
        <v>71.673453178922742</v>
      </c>
      <c r="H12" s="3029">
        <f>IF(SUM(H13:H15)=0,"NO",SUM(H13:H15))</f>
        <v>10.412912143563178</v>
      </c>
      <c r="I12" s="3030">
        <f t="shared" si="3"/>
        <v>421.22909481238281</v>
      </c>
      <c r="J12" s="3031">
        <f t="shared" si="1"/>
        <v>146396.54844884243</v>
      </c>
    </row>
    <row r="13" spans="2:10" s="83" customFormat="1" ht="18" customHeight="1" x14ac:dyDescent="0.2">
      <c r="B13" s="20" t="s">
        <v>77</v>
      </c>
      <c r="C13" s="3032">
        <f>'Table1.A(a)s1'!H24</f>
        <v>131266.4980468491</v>
      </c>
      <c r="D13" s="3032">
        <f>'Table1.A(a)s1'!I24</f>
        <v>1.3000256251768831</v>
      </c>
      <c r="E13" s="3032">
        <f>'Table1.A(a)s1'!J24</f>
        <v>1.4237274972144647</v>
      </c>
      <c r="F13" s="3033">
        <v>394.52906692524772</v>
      </c>
      <c r="G13" s="3033">
        <v>46.504332712781519</v>
      </c>
      <c r="H13" s="3033">
        <v>3.5377459763063257</v>
      </c>
      <c r="I13" s="3034">
        <v>401.58742232143067</v>
      </c>
      <c r="J13" s="3035">
        <f t="shared" si="1"/>
        <v>131680.18655111588</v>
      </c>
    </row>
    <row r="14" spans="2:10" s="83" customFormat="1" ht="18" customHeight="1" x14ac:dyDescent="0.2">
      <c r="B14" s="20" t="s">
        <v>78</v>
      </c>
      <c r="C14" s="3032">
        <f>'Table1.A(a)s1'!H53</f>
        <v>5741.4770526762031</v>
      </c>
      <c r="D14" s="3032">
        <f>'Table1.A(a)s1'!I53</f>
        <v>6.3974759272727194E-2</v>
      </c>
      <c r="E14" s="3032">
        <f>'Table1.A(a)s1'!J53</f>
        <v>4.7297509187878735E-2</v>
      </c>
      <c r="F14" s="3033">
        <v>32.310278067878755</v>
      </c>
      <c r="G14" s="3033">
        <v>4.4837437963636315</v>
      </c>
      <c r="H14" s="3033">
        <v>7.4701940896969604E-2</v>
      </c>
      <c r="I14" s="3034">
        <v>4.5898659649122751</v>
      </c>
      <c r="J14" s="3035">
        <f t="shared" si="1"/>
        <v>5755.802185870627</v>
      </c>
    </row>
    <row r="15" spans="2:10" s="83" customFormat="1" ht="18" customHeight="1" thickBot="1" x14ac:dyDescent="0.25">
      <c r="B15" s="21" t="s">
        <v>79</v>
      </c>
      <c r="C15" s="3036">
        <f>'Table1.A(a)s1'!H60</f>
        <v>8790.9179141339337</v>
      </c>
      <c r="D15" s="3036">
        <f>'Table1.A(a)s1'!I60</f>
        <v>4.5628693032294301</v>
      </c>
      <c r="E15" s="3036">
        <f>'Table1.A(a)s1'!J60</f>
        <v>0.15804323483612537</v>
      </c>
      <c r="F15" s="3037">
        <v>73.609483493340875</v>
      </c>
      <c r="G15" s="3037">
        <v>20.685376669777593</v>
      </c>
      <c r="H15" s="3037">
        <v>6.8004642263598818</v>
      </c>
      <c r="I15" s="3038">
        <v>15.051806526039879</v>
      </c>
      <c r="J15" s="3039">
        <f t="shared" si="1"/>
        <v>8960.5597118559308</v>
      </c>
    </row>
    <row r="16" spans="2:10" s="83" customFormat="1" ht="18" customHeight="1" x14ac:dyDescent="0.2">
      <c r="B16" s="25" t="s">
        <v>80</v>
      </c>
      <c r="C16" s="3029">
        <f>IF(SUM(C17:C23)=0,"NO",SUM(C17:C23))</f>
        <v>35411.642792381535</v>
      </c>
      <c r="D16" s="3029">
        <f t="shared" ref="D16:I16" si="4">IF(SUM(D17:D23)=0,"NO",SUM(D17:D23))</f>
        <v>1.9969221605944103</v>
      </c>
      <c r="E16" s="3029">
        <f t="shared" si="4"/>
        <v>1.1069438707977839</v>
      </c>
      <c r="F16" s="3029">
        <f t="shared" si="4"/>
        <v>473.24682207908074</v>
      </c>
      <c r="G16" s="3029">
        <f t="shared" si="4"/>
        <v>157.40624631822905</v>
      </c>
      <c r="H16" s="3029">
        <f t="shared" si="4"/>
        <v>67.830929665484291</v>
      </c>
      <c r="I16" s="3030">
        <f t="shared" si="4"/>
        <v>99.568597093550849</v>
      </c>
      <c r="J16" s="3031">
        <f t="shared" si="1"/>
        <v>35760.896738639589</v>
      </c>
    </row>
    <row r="17" spans="2:10" s="83" customFormat="1" ht="18" customHeight="1" x14ac:dyDescent="0.2">
      <c r="B17" s="20" t="s">
        <v>81</v>
      </c>
      <c r="C17" s="3032">
        <f>'Table1.A(a)s2'!H17</f>
        <v>2563.0038993119924</v>
      </c>
      <c r="D17" s="3032">
        <f>'Table1.A(a)s2'!I17</f>
        <v>8.7453920647880434E-2</v>
      </c>
      <c r="E17" s="3032">
        <f>'Table1.A(a)s2'!J17</f>
        <v>3.2962293845005312E-2</v>
      </c>
      <c r="F17" s="3033">
        <v>28.106932270641021</v>
      </c>
      <c r="G17" s="3033">
        <v>6.8214855130682013</v>
      </c>
      <c r="H17" s="3033">
        <v>2.6199764306308251</v>
      </c>
      <c r="I17" s="3034">
        <v>11.823044303643726</v>
      </c>
      <c r="J17" s="3035">
        <f t="shared" si="1"/>
        <v>2574.1876169590596</v>
      </c>
    </row>
    <row r="18" spans="2:10" s="83" customFormat="1" ht="18" customHeight="1" x14ac:dyDescent="0.2">
      <c r="B18" s="20" t="s">
        <v>82</v>
      </c>
      <c r="C18" s="3032">
        <f>'Table1.A(a)s2'!H24</f>
        <v>11594.361165315668</v>
      </c>
      <c r="D18" s="3032">
        <f>'Table1.A(a)s2'!I24</f>
        <v>0.22628862040433331</v>
      </c>
      <c r="E18" s="3032">
        <f>'Table1.A(a)s2'!J24</f>
        <v>0.13251215009317313</v>
      </c>
      <c r="F18" s="3033">
        <v>72.821510959790075</v>
      </c>
      <c r="G18" s="3033">
        <v>12.687625671188654</v>
      </c>
      <c r="H18" s="3033">
        <v>1.4729244200512568</v>
      </c>
      <c r="I18" s="3034">
        <v>54.977422333263036</v>
      </c>
      <c r="J18" s="3035">
        <f t="shared" si="1"/>
        <v>11635.812966461679</v>
      </c>
    </row>
    <row r="19" spans="2:10" s="83" customFormat="1" ht="18" customHeight="1" x14ac:dyDescent="0.2">
      <c r="B19" s="20" t="s">
        <v>83</v>
      </c>
      <c r="C19" s="3032">
        <f>'Table1.A(a)s2'!H31</f>
        <v>5778.9643242434813</v>
      </c>
      <c r="D19" s="3032">
        <f>'Table1.A(a)s2'!I31</f>
        <v>0.36630313985659657</v>
      </c>
      <c r="E19" s="3032">
        <f>'Table1.A(a)s2'!J31</f>
        <v>8.692184959490748E-2</v>
      </c>
      <c r="F19" s="3033">
        <v>45.149821337821479</v>
      </c>
      <c r="G19" s="3033">
        <v>28.604110957223668</v>
      </c>
      <c r="H19" s="3033">
        <v>22.102002812909056</v>
      </c>
      <c r="I19" s="3034">
        <v>4.5699653683078658</v>
      </c>
      <c r="J19" s="3035">
        <f t="shared" si="1"/>
        <v>5812.255102302116</v>
      </c>
    </row>
    <row r="20" spans="2:10" s="83" customFormat="1" ht="18" customHeight="1" x14ac:dyDescent="0.2">
      <c r="B20" s="20" t="s">
        <v>84</v>
      </c>
      <c r="C20" s="3032">
        <f>'Table1.A(a)s2'!H38</f>
        <v>1153.6984139456579</v>
      </c>
      <c r="D20" s="3032">
        <f>'Table1.A(a)s2'!I38</f>
        <v>0.16622620779220781</v>
      </c>
      <c r="E20" s="3032">
        <f>'Table1.A(a)s2'!J38</f>
        <v>0.11113160779220781</v>
      </c>
      <c r="F20" s="3033">
        <v>4.7278387532467532</v>
      </c>
      <c r="G20" s="3033">
        <v>3.9672720779220776</v>
      </c>
      <c r="H20" s="3033">
        <v>0.13283599220779219</v>
      </c>
      <c r="I20" s="3034">
        <v>1.4269711740890687</v>
      </c>
      <c r="J20" s="3035">
        <f t="shared" si="1"/>
        <v>1187.8026238287748</v>
      </c>
    </row>
    <row r="21" spans="2:10" s="83" customFormat="1" ht="18" customHeight="1" x14ac:dyDescent="0.2">
      <c r="B21" s="20" t="s">
        <v>85</v>
      </c>
      <c r="C21" s="3032">
        <f>'Table1.A(a)s2'!H45</f>
        <v>3005.066006979403</v>
      </c>
      <c r="D21" s="3032">
        <f>'Table1.A(a)s2'!I45</f>
        <v>0.68955586916671419</v>
      </c>
      <c r="E21" s="3032">
        <f>'Table1.A(a)s2'!J45</f>
        <v>0.45377165844644329</v>
      </c>
      <c r="F21" s="3033">
        <v>19.365657443335895</v>
      </c>
      <c r="G21" s="3033">
        <v>17.760494086082776</v>
      </c>
      <c r="H21" s="3033">
        <v>0.94323511273558591</v>
      </c>
      <c r="I21" s="3034">
        <v>7.7991697949031789</v>
      </c>
      <c r="J21" s="3035">
        <f t="shared" si="1"/>
        <v>3144.6230608043784</v>
      </c>
    </row>
    <row r="22" spans="2:10" s="83" customFormat="1" ht="18" customHeight="1" x14ac:dyDescent="0.2">
      <c r="B22" s="20" t="s">
        <v>86</v>
      </c>
      <c r="C22" s="3032">
        <f>'Table1.A(a)s2'!H52</f>
        <v>4972.9678353025156</v>
      </c>
      <c r="D22" s="3032">
        <f>'Table1.A(a)s2'!I52</f>
        <v>0.13761178533589485</v>
      </c>
      <c r="E22" s="3032">
        <f>'Table1.A(a)s2'!J52</f>
        <v>3.8504889596952495E-2</v>
      </c>
      <c r="F22" s="3033">
        <v>68.983078038201285</v>
      </c>
      <c r="G22" s="3033">
        <v>11.425920106988412</v>
      </c>
      <c r="H22" s="3033">
        <v>4.4474666758927137</v>
      </c>
      <c r="I22" s="3034">
        <v>9.6493767611336061</v>
      </c>
      <c r="J22" s="3035">
        <f t="shared" si="1"/>
        <v>4987.0247610351125</v>
      </c>
    </row>
    <row r="23" spans="2:10" s="83" customFormat="1" ht="18" customHeight="1" thickBot="1" x14ac:dyDescent="0.25">
      <c r="B23" s="3060" t="s">
        <v>2115</v>
      </c>
      <c r="C23" s="3032">
        <f>'Table1.A(a)s2'!H59</f>
        <v>6343.5811472828145</v>
      </c>
      <c r="D23" s="3032">
        <f>'Table1.A(a)s2'!I59</f>
        <v>0.32348261739078293</v>
      </c>
      <c r="E23" s="3032">
        <f>'Table1.A(a)s2'!J59</f>
        <v>0.25113942142909451</v>
      </c>
      <c r="F23" s="3033">
        <v>234.09198327604429</v>
      </c>
      <c r="G23" s="3033">
        <v>76.139337905755269</v>
      </c>
      <c r="H23" s="3033">
        <v>36.112488221057063</v>
      </c>
      <c r="I23" s="3034">
        <v>9.3226473582103644</v>
      </c>
      <c r="J23" s="3035">
        <f t="shared" si="1"/>
        <v>6419.1906072484662</v>
      </c>
    </row>
    <row r="24" spans="2:10" s="83" customFormat="1" ht="18" customHeight="1" x14ac:dyDescent="0.2">
      <c r="B24" s="25" t="s">
        <v>87</v>
      </c>
      <c r="C24" s="3029">
        <f>IF(SUM(C25:C29)=0,"NO",SUM(C25:C29))</f>
        <v>59194.715442148321</v>
      </c>
      <c r="D24" s="3029">
        <f t="shared" ref="D24:I24" si="5">IF(SUM(D25:D29)=0,"NO",SUM(D25:D29))</f>
        <v>26.299583078796019</v>
      </c>
      <c r="E24" s="3029">
        <f t="shared" si="5"/>
        <v>3.2846479580695087</v>
      </c>
      <c r="F24" s="3029">
        <f t="shared" si="5"/>
        <v>351.13605560725233</v>
      </c>
      <c r="G24" s="3029">
        <f t="shared" si="5"/>
        <v>3920.6312323594693</v>
      </c>
      <c r="H24" s="3029">
        <f t="shared" si="5"/>
        <v>373.79258534057078</v>
      </c>
      <c r="I24" s="3030">
        <f t="shared" si="5"/>
        <v>31.734117178368464</v>
      </c>
      <c r="J24" s="3031">
        <f t="shared" si="1"/>
        <v>60801.535477243029</v>
      </c>
    </row>
    <row r="25" spans="2:10" s="83" customFormat="1" ht="18" customHeight="1" x14ac:dyDescent="0.2">
      <c r="B25" s="20" t="s">
        <v>88</v>
      </c>
      <c r="C25" s="1878">
        <f>'Table1.A(a)s3'!H16</f>
        <v>3245.8447855142877</v>
      </c>
      <c r="D25" s="1878">
        <f>'Table1.A(a)s3'!I16</f>
        <v>2.4563887590651694E-2</v>
      </c>
      <c r="E25" s="1878">
        <f>'Table1.A(a)s3'!J16</f>
        <v>3.4162472217304299E-2</v>
      </c>
      <c r="F25" s="3033">
        <v>11.111401659294753</v>
      </c>
      <c r="G25" s="3033">
        <v>7.339244565518654</v>
      </c>
      <c r="H25" s="3033">
        <v>0.71778370999549046</v>
      </c>
      <c r="I25" s="3034">
        <v>0.38345887795492417</v>
      </c>
      <c r="J25" s="3035">
        <f t="shared" si="1"/>
        <v>3255.5856295044114</v>
      </c>
    </row>
    <row r="26" spans="2:10" s="83" customFormat="1" ht="18" customHeight="1" x14ac:dyDescent="0.2">
      <c r="B26" s="20" t="s">
        <v>89</v>
      </c>
      <c r="C26" s="1878">
        <f>'Table1.A(a)s3'!H20</f>
        <v>51703.654950362557</v>
      </c>
      <c r="D26" s="1878">
        <f>'Table1.A(a)s3'!I20</f>
        <v>22.459105494263305</v>
      </c>
      <c r="E26" s="1878">
        <f>'Table1.A(a)s3'!J20</f>
        <v>2.4589283739782752</v>
      </c>
      <c r="F26" s="3033">
        <v>264.98746203471279</v>
      </c>
      <c r="G26" s="3033">
        <v>3710.2389809951706</v>
      </c>
      <c r="H26" s="3033">
        <v>337.97676057632879</v>
      </c>
      <c r="I26" s="3034">
        <v>8.7377133220463925</v>
      </c>
      <c r="J26" s="3035">
        <f t="shared" si="1"/>
        <v>52984.125923306172</v>
      </c>
    </row>
    <row r="27" spans="2:10" s="83" customFormat="1" ht="18" customHeight="1" x14ac:dyDescent="0.2">
      <c r="B27" s="20" t="s">
        <v>90</v>
      </c>
      <c r="C27" s="1878">
        <f>'Table1.A(a)s3'!H81</f>
        <v>1734.548238366785</v>
      </c>
      <c r="D27" s="1878">
        <f>'Table1.A(a)s3'!I81</f>
        <v>9.9199999999999983E-2</v>
      </c>
      <c r="E27" s="1878">
        <f>'Table1.A(a)s3'!J81</f>
        <v>0.74399999999999988</v>
      </c>
      <c r="F27" s="3033">
        <v>37.943999999999996</v>
      </c>
      <c r="G27" s="3033">
        <v>5.0095999999999989</v>
      </c>
      <c r="H27" s="3033">
        <v>1.7607999999999995</v>
      </c>
      <c r="I27" s="3034">
        <v>1.4140810877192977</v>
      </c>
      <c r="J27" s="3035">
        <f t="shared" si="1"/>
        <v>1934.4858383667847</v>
      </c>
    </row>
    <row r="28" spans="2:10" s="83" customFormat="1" ht="18" customHeight="1" x14ac:dyDescent="0.2">
      <c r="B28" s="20" t="s">
        <v>91</v>
      </c>
      <c r="C28" s="1878">
        <f>'Table1.A(a)s3'!H88</f>
        <v>2245.6188637116848</v>
      </c>
      <c r="D28" s="1878">
        <f>'Table1.A(a)s3'!I88</f>
        <v>3.6541319717361089</v>
      </c>
      <c r="E28" s="1878">
        <f>'Table1.A(a)s3'!J88</f>
        <v>4.7004852553014342E-2</v>
      </c>
      <c r="F28" s="3033">
        <v>36.05865372206317</v>
      </c>
      <c r="G28" s="3033">
        <v>193.91193056675044</v>
      </c>
      <c r="H28" s="3033">
        <v>32.720390310345834</v>
      </c>
      <c r="I28" s="3034">
        <v>21.19425113849033</v>
      </c>
      <c r="J28" s="3035">
        <f t="shared" si="1"/>
        <v>2360.3908448468446</v>
      </c>
    </row>
    <row r="29" spans="2:10" s="83" customFormat="1" ht="18" customHeight="1" thickBot="1" x14ac:dyDescent="0.25">
      <c r="B29" s="22" t="s">
        <v>92</v>
      </c>
      <c r="C29" s="1881">
        <f>'Table1.A(a)s3'!H99</f>
        <v>265.04860419300388</v>
      </c>
      <c r="D29" s="1881">
        <f>'Table1.A(a)s3'!I99</f>
        <v>6.2581725205952315E-2</v>
      </c>
      <c r="E29" s="1881">
        <f>'Table1.A(a)s3'!J99</f>
        <v>5.5225932091513348E-4</v>
      </c>
      <c r="F29" s="3040">
        <v>1.0345381911815825</v>
      </c>
      <c r="G29" s="3040">
        <v>4.1314762320296703</v>
      </c>
      <c r="H29" s="3040">
        <v>0.61685074390062467</v>
      </c>
      <c r="I29" s="3041">
        <v>4.6127521575204701E-3</v>
      </c>
      <c r="J29" s="3042">
        <f t="shared" si="1"/>
        <v>266.94724121881308</v>
      </c>
    </row>
    <row r="30" spans="2:10" ht="18" customHeight="1" x14ac:dyDescent="0.2">
      <c r="B30" s="26" t="s">
        <v>93</v>
      </c>
      <c r="C30" s="3029">
        <f>IF(SUM(C31:C33)=0,"NO",SUM(C31:C33))</f>
        <v>13119.620695746997</v>
      </c>
      <c r="D30" s="3029">
        <f t="shared" ref="D30" si="6">IF(SUM(D31:D33)=0,"NO",SUM(D31:D33))</f>
        <v>99.776396301818622</v>
      </c>
      <c r="E30" s="3029">
        <f t="shared" ref="E30" si="7">IF(SUM(E31:E33)=0,"NO",SUM(E31:E33))</f>
        <v>0.54180638504574485</v>
      </c>
      <c r="F30" s="3029">
        <f t="shared" ref="F30" si="8">IF(SUM(F31:F33)=0,"NO",SUM(F31:F33))</f>
        <v>199.63500866203975</v>
      </c>
      <c r="G30" s="3029">
        <f t="shared" ref="G30" si="9">IF(SUM(G31:G33)=0,"NO",SUM(G31:G33))</f>
        <v>1111.1459277610145</v>
      </c>
      <c r="H30" s="3029">
        <f t="shared" ref="H30" si="10">IF(SUM(H31:H33)=0,"NO",SUM(H31:H33))</f>
        <v>163.42475254547335</v>
      </c>
      <c r="I30" s="3030">
        <f t="shared" ref="I30" si="11">IF(SUM(I31:I33)=0,"NO",SUM(I31:I33))</f>
        <v>7.0272387887537597</v>
      </c>
      <c r="J30" s="3043">
        <f t="shared" si="1"/>
        <v>16056.938484235041</v>
      </c>
    </row>
    <row r="31" spans="2:10" ht="18" customHeight="1" x14ac:dyDescent="0.2">
      <c r="B31" s="20" t="s">
        <v>94</v>
      </c>
      <c r="C31" s="3032">
        <f>'Table1.A(a)s4'!H17</f>
        <v>3650.3461010439078</v>
      </c>
      <c r="D31" s="3032">
        <f>'Table1.A(a)s4'!I17</f>
        <v>5.8236242099567098E-2</v>
      </c>
      <c r="E31" s="3032">
        <f>'Table1.A(a)s4'!J17</f>
        <v>7.3182380194805191E-2</v>
      </c>
      <c r="F31" s="3033">
        <v>6.8602332334415577</v>
      </c>
      <c r="G31" s="3033">
        <v>2.1315704551948049</v>
      </c>
      <c r="H31" s="3033">
        <v>0.49199337349567102</v>
      </c>
      <c r="I31" s="3034">
        <v>3.3197943765182196</v>
      </c>
      <c r="J31" s="3035">
        <f t="shared" si="1"/>
        <v>3671.3700465743191</v>
      </c>
    </row>
    <row r="32" spans="2:10" ht="18" customHeight="1" x14ac:dyDescent="0.2">
      <c r="B32" s="20" t="s">
        <v>95</v>
      </c>
      <c r="C32" s="3032">
        <f>'Table1.A(a)s4'!H38</f>
        <v>6042.3745947030902</v>
      </c>
      <c r="D32" s="3032">
        <f>'Table1.A(a)s4'!I38</f>
        <v>99.537112440671436</v>
      </c>
      <c r="E32" s="3032">
        <f>'Table1.A(a)s4'!J38</f>
        <v>0.28649067151760627</v>
      </c>
      <c r="F32" s="3033">
        <v>8.3381087619315366</v>
      </c>
      <c r="G32" s="3033">
        <v>1051.9475001629626</v>
      </c>
      <c r="H32" s="3033">
        <v>137.42837821959674</v>
      </c>
      <c r="I32" s="3034">
        <v>0.94063153504255781</v>
      </c>
      <c r="J32" s="3035">
        <f t="shared" si="1"/>
        <v>8905.333770994057</v>
      </c>
    </row>
    <row r="33" spans="2:10" ht="18" customHeight="1" thickBot="1" x14ac:dyDescent="0.25">
      <c r="B33" s="20" t="s">
        <v>96</v>
      </c>
      <c r="C33" s="3032">
        <f>'Table1.A(a)s4'!H59</f>
        <v>3426.9</v>
      </c>
      <c r="D33" s="3032">
        <f>'Table1.A(a)s4'!I59</f>
        <v>0.18104761904761901</v>
      </c>
      <c r="E33" s="3032">
        <f>'Table1.A(a)s4'!J59</f>
        <v>0.18213333333333334</v>
      </c>
      <c r="F33" s="3033">
        <v>184.43666666666667</v>
      </c>
      <c r="G33" s="3033">
        <v>57.066857142857145</v>
      </c>
      <c r="H33" s="3033">
        <v>25.504380952380945</v>
      </c>
      <c r="I33" s="3034">
        <v>2.7668128771929825</v>
      </c>
      <c r="J33" s="3035">
        <f t="shared" si="1"/>
        <v>3480.2346666666667</v>
      </c>
    </row>
    <row r="34" spans="2:10" ht="18" customHeight="1" x14ac:dyDescent="0.2">
      <c r="B34" s="25" t="s">
        <v>2116</v>
      </c>
      <c r="C34" s="3029">
        <f>IF(SUM(C35:C36)=0,"NO",SUM(C35:C36))</f>
        <v>411.10379258697037</v>
      </c>
      <c r="D34" s="3029">
        <f t="shared" ref="D34:E34" si="12">IF(SUM(D35:D36)=0,"NO",SUM(D35:D36))</f>
        <v>2.0005631554104654E-2</v>
      </c>
      <c r="E34" s="3029">
        <f t="shared" si="12"/>
        <v>1.1159489747144877E-2</v>
      </c>
      <c r="F34" s="3029">
        <f t="shared" ref="F34:I34" si="13">IF(SUM(F35:F36)=0,"NO",SUM(F35:F36))</f>
        <v>3.3885323360439097</v>
      </c>
      <c r="G34" s="3029">
        <f t="shared" si="13"/>
        <v>4.5760539705648036</v>
      </c>
      <c r="H34" s="3029">
        <f t="shared" si="13"/>
        <v>0.41122279570969167</v>
      </c>
      <c r="I34" s="3030">
        <f t="shared" si="13"/>
        <v>0.13964214240868875</v>
      </c>
      <c r="J34" s="3031">
        <f t="shared" si="1"/>
        <v>414.62121505347869</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411.10379258697037</v>
      </c>
      <c r="D36" s="3044">
        <f>'Table1.A(a)s4'!I108</f>
        <v>2.0005631554104654E-2</v>
      </c>
      <c r="E36" s="3044">
        <f>'Table1.A(a)s4'!J108</f>
        <v>1.1159489747144877E-2</v>
      </c>
      <c r="F36" s="3040">
        <v>3.3885323360439097</v>
      </c>
      <c r="G36" s="3040">
        <v>4.5760539705648036</v>
      </c>
      <c r="H36" s="3040">
        <v>0.41122279570969167</v>
      </c>
      <c r="I36" s="3041">
        <v>0.13964214240868875</v>
      </c>
      <c r="J36" s="3042">
        <f t="shared" si="1"/>
        <v>414.62121505347869</v>
      </c>
    </row>
    <row r="37" spans="2:10" ht="18" customHeight="1" thickBot="1" x14ac:dyDescent="0.25">
      <c r="B37" s="18" t="s">
        <v>99</v>
      </c>
      <c r="C37" s="3029">
        <f>IF(SUM(C38,C42)=0,"NO",SUM(C38,C42))</f>
        <v>7001.2008132849478</v>
      </c>
      <c r="D37" s="3029">
        <f t="shared" ref="D37:I37" si="14">IF(SUM(D38,D42)=0,"NO",SUM(D38,D42))</f>
        <v>1165.2091050121576</v>
      </c>
      <c r="E37" s="3029">
        <f t="shared" si="14"/>
        <v>0.12493529204751767</v>
      </c>
      <c r="F37" s="3029">
        <f t="shared" si="14"/>
        <v>3.8507620981442696</v>
      </c>
      <c r="G37" s="3029">
        <f t="shared" si="14"/>
        <v>22.33642016923676</v>
      </c>
      <c r="H37" s="3029">
        <f t="shared" si="14"/>
        <v>174.99490565164777</v>
      </c>
      <c r="I37" s="3030" t="str">
        <f t="shared" si="14"/>
        <v>NO</v>
      </c>
      <c r="J37" s="3031">
        <f t="shared" si="1"/>
        <v>39660.163606017952</v>
      </c>
    </row>
    <row r="38" spans="2:10" ht="18" customHeight="1" x14ac:dyDescent="0.2">
      <c r="B38" s="26" t="s">
        <v>100</v>
      </c>
      <c r="C38" s="3029">
        <f>IF(SUM(C39:C41)=0,"NO",SUM(C39:C41))</f>
        <v>1171.7683050721826</v>
      </c>
      <c r="D38" s="3029">
        <f t="shared" ref="D38" si="15">IF(SUM(D39:D41)=0,"NO",SUM(D39:D41))</f>
        <v>885.67165362847061</v>
      </c>
      <c r="E38" s="3029">
        <f t="shared" ref="E38" si="16">IF(SUM(E39:E41)=0,"NO",SUM(E39:E41))</f>
        <v>7.2957855859744104E-7</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25970.574800007678</v>
      </c>
    </row>
    <row r="39" spans="2:10" ht="18" customHeight="1" x14ac:dyDescent="0.2">
      <c r="B39" s="20" t="s">
        <v>101</v>
      </c>
      <c r="C39" s="3032">
        <f>'Table1.B.1'!G10</f>
        <v>1171.7683050721826</v>
      </c>
      <c r="D39" s="3032">
        <f>SUM('Table1.B.1'!F10,'Table1.B.1'!H10)</f>
        <v>885.67165362847061</v>
      </c>
      <c r="E39" s="3033">
        <v>7.2957855859744104E-7</v>
      </c>
      <c r="F39" s="3033" t="s">
        <v>2146</v>
      </c>
      <c r="G39" s="3033" t="s">
        <v>2146</v>
      </c>
      <c r="H39" s="3033" t="s">
        <v>2146</v>
      </c>
      <c r="I39" s="2931"/>
      <c r="J39" s="3035">
        <f t="shared" si="1"/>
        <v>25970.574800007678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5829.4325082127652</v>
      </c>
      <c r="D42" s="3029">
        <f t="shared" ref="D42:I42" si="21">IF(SUM(D43:D46)=0,"NO",SUM(D43:D46))</f>
        <v>279.53745138368686</v>
      </c>
      <c r="E42" s="3029">
        <f t="shared" si="21"/>
        <v>0.12493456246895908</v>
      </c>
      <c r="F42" s="3029">
        <f t="shared" si="21"/>
        <v>3.8507620981442696</v>
      </c>
      <c r="G42" s="3029">
        <f t="shared" si="21"/>
        <v>22.33642016923676</v>
      </c>
      <c r="H42" s="3029">
        <f t="shared" si="21"/>
        <v>174.99490565164777</v>
      </c>
      <c r="I42" s="3030" t="str">
        <f t="shared" si="21"/>
        <v>NO</v>
      </c>
      <c r="J42" s="3031">
        <f t="shared" ref="J42:J59" si="22">IF(SUM(C42:E42)=0,"NO",SUM(C42,IFERROR(28*D42,0),IFERROR(265*E42,0)))</f>
        <v>13689.588806010272</v>
      </c>
    </row>
    <row r="43" spans="2:10" ht="18" customHeight="1" x14ac:dyDescent="0.2">
      <c r="B43" s="20" t="s">
        <v>103</v>
      </c>
      <c r="C43" s="3032">
        <f>'Table1.B.2'!I10</f>
        <v>402.08005523101002</v>
      </c>
      <c r="D43" s="3032">
        <f>'Table1.B.2'!J10</f>
        <v>3.0825717712754521</v>
      </c>
      <c r="E43" s="3032">
        <f>'Table1.B.2'!K10</f>
        <v>1.2096326738209708E-2</v>
      </c>
      <c r="F43" s="3033">
        <v>0.22363360000000004</v>
      </c>
      <c r="G43" s="3033">
        <v>1.29707488</v>
      </c>
      <c r="H43" s="3033">
        <v>88.335426799999993</v>
      </c>
      <c r="I43" s="3034" t="s">
        <v>2146</v>
      </c>
      <c r="J43" s="3035">
        <f t="shared" si="22"/>
        <v>491.59759141234827</v>
      </c>
    </row>
    <row r="44" spans="2:10" ht="18" customHeight="1" x14ac:dyDescent="0.2">
      <c r="B44" s="20" t="s">
        <v>104</v>
      </c>
      <c r="C44" s="3032">
        <f>SUM('Table1.B.2'!I21,'Table1.B.2'!L21)</f>
        <v>20.943777308988878</v>
      </c>
      <c r="D44" s="3032">
        <f>'Table1.B.2'!J21</f>
        <v>166.84983089905054</v>
      </c>
      <c r="E44" s="3032">
        <f>'Table1.B.2'!K21</f>
        <v>3.1269559349611514E-4</v>
      </c>
      <c r="F44" s="3033">
        <v>5.7906591388169467E-3</v>
      </c>
      <c r="G44" s="3033">
        <v>3.3585823005138293E-2</v>
      </c>
      <c r="H44" s="3033">
        <v>50.442600461593258</v>
      </c>
      <c r="I44" s="3034" t="s">
        <v>2146</v>
      </c>
      <c r="J44" s="3035">
        <f t="shared" si="22"/>
        <v>4692.82190681468</v>
      </c>
    </row>
    <row r="45" spans="2:10" ht="18" customHeight="1" x14ac:dyDescent="0.2">
      <c r="B45" s="20" t="s">
        <v>105</v>
      </c>
      <c r="C45" s="3032">
        <f>'Table1.B.2'!I35</f>
        <v>5406.4086756727665</v>
      </c>
      <c r="D45" s="3032">
        <f>'Table1.B.2'!J35</f>
        <v>109.6050487133609</v>
      </c>
      <c r="E45" s="3032">
        <f>'Table1.B.2'!K35</f>
        <v>0.11252554013725326</v>
      </c>
      <c r="F45" s="3033">
        <v>3.6213378390054527</v>
      </c>
      <c r="G45" s="3033">
        <v>21.005759466231623</v>
      </c>
      <c r="H45" s="3033">
        <v>36.216878390054525</v>
      </c>
      <c r="I45" s="3034" t="s">
        <v>2146</v>
      </c>
      <c r="J45" s="3035">
        <f t="shared" si="22"/>
        <v>8505.1693077832442</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6436.1739999999991</v>
      </c>
      <c r="D52" s="3032">
        <f t="shared" ref="D52:I52" si="23">IF(SUM(D53:D54)=0,"NO",SUM(D53:D54))</f>
        <v>0.18826561</v>
      </c>
      <c r="E52" s="3032">
        <f t="shared" si="23"/>
        <v>7.5386837384210537E-2</v>
      </c>
      <c r="F52" s="3032">
        <f t="shared" si="23"/>
        <v>72.714301753157898</v>
      </c>
      <c r="G52" s="3032">
        <f t="shared" si="23"/>
        <v>8.8676910121052614</v>
      </c>
      <c r="H52" s="3032">
        <f t="shared" si="23"/>
        <v>5.026976773736842</v>
      </c>
      <c r="I52" s="3055">
        <f t="shared" si="23"/>
        <v>28.109630364372471</v>
      </c>
      <c r="J52" s="3035">
        <f t="shared" si="22"/>
        <v>6461.4229489868148</v>
      </c>
    </row>
    <row r="53" spans="2:10" ht="18" customHeight="1" x14ac:dyDescent="0.2">
      <c r="B53" s="164" t="s">
        <v>111</v>
      </c>
      <c r="C53" s="3032">
        <f>Table1.D!G10</f>
        <v>4558.7999999999993</v>
      </c>
      <c r="D53" s="3032">
        <f>Table1.D!H10</f>
        <v>8.1556099999999989E-3</v>
      </c>
      <c r="E53" s="3032">
        <f>Table1.D!I10</f>
        <v>2.3926837384210527E-2</v>
      </c>
      <c r="F53" s="3033">
        <v>23.11070175315789</v>
      </c>
      <c r="G53" s="3033">
        <v>7.2095910121052622</v>
      </c>
      <c r="H53" s="3033">
        <v>3.4811267737368423</v>
      </c>
      <c r="I53" s="3034">
        <v>0.53710000000000013</v>
      </c>
      <c r="J53" s="3035">
        <f t="shared" si="22"/>
        <v>4565.3689689868152</v>
      </c>
    </row>
    <row r="54" spans="2:10" ht="18" customHeight="1" x14ac:dyDescent="0.2">
      <c r="B54" s="164" t="s">
        <v>112</v>
      </c>
      <c r="C54" s="3032">
        <f>Table1.D!G14</f>
        <v>1877.374</v>
      </c>
      <c r="D54" s="3032">
        <f>Table1.D!H14</f>
        <v>0.18010999999999999</v>
      </c>
      <c r="E54" s="3032">
        <f>Table1.D!I14</f>
        <v>5.1460000000000006E-2</v>
      </c>
      <c r="F54" s="3033">
        <v>49.603600000000007</v>
      </c>
      <c r="G54" s="3033">
        <v>1.6581000000000001</v>
      </c>
      <c r="H54" s="3033">
        <v>1.5458499999999999</v>
      </c>
      <c r="I54" s="3034">
        <v>27.572530364372472</v>
      </c>
      <c r="J54" s="3035">
        <f t="shared" si="22"/>
        <v>1896.0539799999999</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15017.92222</v>
      </c>
      <c r="D56" s="3056"/>
      <c r="E56" s="3056"/>
      <c r="F56" s="3056"/>
      <c r="G56" s="3056"/>
      <c r="H56" s="3056"/>
      <c r="I56" s="2971"/>
      <c r="J56" s="3039">
        <f t="shared" si="22"/>
        <v>15017.92222</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133998.65309293699</v>
      </c>
      <c r="D10" s="3549" t="s">
        <v>2146</v>
      </c>
      <c r="E10" s="3549">
        <v>68.676128602999995</v>
      </c>
      <c r="F10" s="3549">
        <v>748.78879906700001</v>
      </c>
      <c r="G10" s="3549" t="s">
        <v>2146</v>
      </c>
      <c r="H10" s="3549">
        <v>2.027370082</v>
      </c>
      <c r="I10" s="3549" t="s">
        <v>2146</v>
      </c>
      <c r="J10" s="3549">
        <v>27.284681746</v>
      </c>
      <c r="K10" s="3549" t="s">
        <v>2146</v>
      </c>
      <c r="L10" s="3549" t="s">
        <v>2146</v>
      </c>
      <c r="M10" s="3550">
        <f>IF(SUM(C10:L10)=0,"NO",SUM(C10:L10))</f>
        <v>134845.430072435</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12.444424923</v>
      </c>
      <c r="D12" s="3549" t="s">
        <v>2146</v>
      </c>
      <c r="E12" s="3549">
        <v>39584.945565574002</v>
      </c>
      <c r="F12" s="3549" t="s">
        <v>2153</v>
      </c>
      <c r="G12" s="3549" t="s">
        <v>2146</v>
      </c>
      <c r="H12" s="3549" t="s">
        <v>2153</v>
      </c>
      <c r="I12" s="3549" t="s">
        <v>2146</v>
      </c>
      <c r="J12" s="3549" t="s">
        <v>2153</v>
      </c>
      <c r="K12" s="3549" t="s">
        <v>2146</v>
      </c>
      <c r="L12" s="3549" t="s">
        <v>2146</v>
      </c>
      <c r="M12" s="3550">
        <f t="shared" si="0"/>
        <v>39597.389990497002</v>
      </c>
    </row>
    <row r="13" spans="2:13" ht="18" customHeight="1" x14ac:dyDescent="0.2">
      <c r="B13" s="2277" t="s">
        <v>1961</v>
      </c>
      <c r="C13" s="3549">
        <v>654.81167579400005</v>
      </c>
      <c r="D13" s="3549" t="s">
        <v>2146</v>
      </c>
      <c r="E13" s="3549" t="s">
        <v>2153</v>
      </c>
      <c r="F13" s="3549">
        <v>518519.402078285</v>
      </c>
      <c r="G13" s="3549" t="s">
        <v>2146</v>
      </c>
      <c r="H13" s="3549" t="s">
        <v>2153</v>
      </c>
      <c r="I13" s="3549" t="s">
        <v>2146</v>
      </c>
      <c r="J13" s="3549" t="s">
        <v>2153</v>
      </c>
      <c r="K13" s="3549" t="s">
        <v>2146</v>
      </c>
      <c r="L13" s="3549" t="s">
        <v>2146</v>
      </c>
      <c r="M13" s="3550">
        <f t="shared" si="0"/>
        <v>519174.21375407901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5.9867725859999998</v>
      </c>
      <c r="D15" s="3549" t="s">
        <v>2146</v>
      </c>
      <c r="E15" s="3549">
        <v>0.63304705100000003</v>
      </c>
      <c r="F15" s="3549">
        <v>2.443871627</v>
      </c>
      <c r="G15" s="3549" t="s">
        <v>2146</v>
      </c>
      <c r="H15" s="3549">
        <v>13388.377870958</v>
      </c>
      <c r="I15" s="3549" t="s">
        <v>2146</v>
      </c>
      <c r="J15" s="3549" t="s">
        <v>2146</v>
      </c>
      <c r="K15" s="3549" t="s">
        <v>2146</v>
      </c>
      <c r="L15" s="3549" t="s">
        <v>2146</v>
      </c>
      <c r="M15" s="3550">
        <f t="shared" si="0"/>
        <v>13397.441562222</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4.6899369889999996</v>
      </c>
      <c r="D17" s="3549" t="s">
        <v>2146</v>
      </c>
      <c r="E17" s="3549" t="s">
        <v>2146</v>
      </c>
      <c r="F17" s="3549" t="s">
        <v>2146</v>
      </c>
      <c r="G17" s="3549" t="s">
        <v>2146</v>
      </c>
      <c r="H17" s="3549" t="s">
        <v>2146</v>
      </c>
      <c r="I17" s="3549" t="s">
        <v>2146</v>
      </c>
      <c r="J17" s="3549">
        <v>1117.2058379560001</v>
      </c>
      <c r="K17" s="3549" t="s">
        <v>2146</v>
      </c>
      <c r="L17" s="3549" t="s">
        <v>2146</v>
      </c>
      <c r="M17" s="3550">
        <f t="shared" si="0"/>
        <v>1121.8957749450001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134676.58590322896</v>
      </c>
      <c r="D20" s="3551" t="str">
        <f t="shared" ref="D20:L20" si="1">IF(SUM(D10:D19)=0,"NO",SUM(D10:D19))</f>
        <v>NO</v>
      </c>
      <c r="E20" s="3551">
        <f t="shared" si="1"/>
        <v>39654.254741228004</v>
      </c>
      <c r="F20" s="3551">
        <f t="shared" si="1"/>
        <v>519270.63474897901</v>
      </c>
      <c r="G20" s="3551" t="str">
        <f t="shared" si="1"/>
        <v>NO</v>
      </c>
      <c r="H20" s="3551">
        <f t="shared" si="1"/>
        <v>13390.40524104</v>
      </c>
      <c r="I20" s="3551" t="str">
        <f t="shared" si="1"/>
        <v>NO</v>
      </c>
      <c r="J20" s="3551">
        <f t="shared" si="1"/>
        <v>1144.490519702</v>
      </c>
      <c r="K20" s="3551">
        <f t="shared" si="1"/>
        <v>60692.328845821001</v>
      </c>
      <c r="L20" s="3551" t="str">
        <f t="shared" si="1"/>
        <v>NO</v>
      </c>
      <c r="M20" s="3550">
        <f t="shared" si="0"/>
        <v>768828.69999999891</v>
      </c>
    </row>
    <row r="21" spans="2:13" ht="18" customHeight="1" thickBot="1" x14ac:dyDescent="0.25">
      <c r="B21" s="2279" t="s">
        <v>1968</v>
      </c>
      <c r="C21" s="3552">
        <f>IF(SUM(C20)=0,"NO",C20-M10)</f>
        <v>-168.84416920604417</v>
      </c>
      <c r="D21" s="3552" t="str">
        <f>IF(SUM(D20)=0,"NO",D20-M11)</f>
        <v>NO</v>
      </c>
      <c r="E21" s="3552">
        <f>IF(SUM(E20)=0,"NO",E20-M12)</f>
        <v>56.86475073100155</v>
      </c>
      <c r="F21" s="3552">
        <f>IF(SUM(F20)=0,"NO",F20-M13)</f>
        <v>96.420994899992365</v>
      </c>
      <c r="G21" s="3552" t="str">
        <f>IF(SUM(G20)=0,"NO",G20-M14)</f>
        <v>NO</v>
      </c>
      <c r="H21" s="3552">
        <f>IF(SUM(H20)=0,"NO",H20-M15)</f>
        <v>-7.0363211820003926</v>
      </c>
      <c r="I21" s="3552" t="str">
        <f>IF(SUM(I20)=0,"NO",I20-M16)</f>
        <v>NO</v>
      </c>
      <c r="J21" s="3552">
        <f>IF(SUM(J20)=0,"NO",J20-M17)</f>
        <v>22.594744756999944</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134777.51233222641</v>
      </c>
      <c r="E10" s="3556">
        <f t="shared" ref="E10:U10" si="0">IF(SUM(E11,E16)=0,"IE",SUM(E11,E16))</f>
        <v>134676.58590323053</v>
      </c>
      <c r="F10" s="3557">
        <f t="shared" si="0"/>
        <v>100.9264289959045</v>
      </c>
      <c r="G10" s="3558">
        <f t="shared" ref="G10:K11" si="1">IFERROR(IF(SUM($D10)=0,"NA",N10/$D10),"NA")</f>
        <v>3.1685520944442325E-2</v>
      </c>
      <c r="H10" s="3078">
        <f t="shared" si="1"/>
        <v>-1.5501700477504999E-2</v>
      </c>
      <c r="I10" s="3078">
        <f t="shared" si="1"/>
        <v>1.6183820466937327E-2</v>
      </c>
      <c r="J10" s="3078">
        <f t="shared" si="1"/>
        <v>1.9220403317683519E-2</v>
      </c>
      <c r="K10" s="3078">
        <f t="shared" si="1"/>
        <v>5.881642480539631E-3</v>
      </c>
      <c r="L10" s="3078">
        <f>IFERROR(IF(SUM(E10)=0,"NA",S10/E10),"NA")</f>
        <v>-1.6485611763429078E-2</v>
      </c>
      <c r="M10" s="3128">
        <f>IFERROR(IF(SUM(F10)=0,"NA",T10/F10),"NA")</f>
        <v>-0.48629904394692958</v>
      </c>
      <c r="N10" s="3559">
        <f t="shared" si="0"/>
        <v>4270.4956898425935</v>
      </c>
      <c r="O10" s="3560">
        <f t="shared" si="0"/>
        <v>-2089.2806272774101</v>
      </c>
      <c r="P10" s="3560">
        <f t="shared" si="0"/>
        <v>2181.2150625651839</v>
      </c>
      <c r="Q10" s="3560">
        <f t="shared" si="0"/>
        <v>2590.4781451794561</v>
      </c>
      <c r="R10" s="3560">
        <f t="shared" si="0"/>
        <v>792.71314195467687</v>
      </c>
      <c r="S10" s="3560">
        <f t="shared" si="0"/>
        <v>-2220.2259088247638</v>
      </c>
      <c r="T10" s="3561">
        <f t="shared" si="0"/>
        <v>-49.080425929686029</v>
      </c>
      <c r="U10" s="3562">
        <f t="shared" si="0"/>
        <v>-12082.033388131182</v>
      </c>
      <c r="W10" s="2396"/>
    </row>
    <row r="11" spans="2:23" ht="18" customHeight="1" x14ac:dyDescent="0.2">
      <c r="B11" s="502" t="s">
        <v>982</v>
      </c>
      <c r="C11" s="2256"/>
      <c r="D11" s="3563">
        <f>IF(SUM(D12:D15)=0,"IE",SUM(D12:D15))</f>
        <v>130865.426481979</v>
      </c>
      <c r="E11" s="3564">
        <f t="shared" ref="E11:U11" si="2">IF(SUM(E12:E15)=0,"IE",SUM(E12:E15))</f>
        <v>130865.426481979</v>
      </c>
      <c r="F11" s="3565" t="str">
        <f t="shared" si="2"/>
        <v>IE</v>
      </c>
      <c r="G11" s="3558">
        <f t="shared" si="1"/>
        <v>9.8438926620673852E-3</v>
      </c>
      <c r="H11" s="3078">
        <f t="shared" si="1"/>
        <v>-1.5958233055626752E-2</v>
      </c>
      <c r="I11" s="3078">
        <f t="shared" si="1"/>
        <v>-6.1143403935593676E-3</v>
      </c>
      <c r="J11" s="3078">
        <f t="shared" si="1"/>
        <v>1.580373647824759E-2</v>
      </c>
      <c r="K11" s="3078">
        <f t="shared" si="1"/>
        <v>5.3698472816345183E-3</v>
      </c>
      <c r="L11" s="3078">
        <f t="shared" ref="L11:L28" si="3">IFERROR(IF(SUM(E11)=0,"NA",S11/E11),"NA")</f>
        <v>-5.0787671301147537E-3</v>
      </c>
      <c r="M11" s="3128" t="str">
        <f t="shared" ref="M11:M28" si="4">IFERROR(IF(SUM(F11)=0,"NA",T11/F11),"NA")</f>
        <v>NA</v>
      </c>
      <c r="N11" s="3109">
        <f t="shared" si="2"/>
        <v>1288.225211464272</v>
      </c>
      <c r="O11" s="3109">
        <f t="shared" si="2"/>
        <v>-2088.38097472341</v>
      </c>
      <c r="P11" s="3109">
        <f t="shared" si="2"/>
        <v>-800.15576325913798</v>
      </c>
      <c r="Q11" s="3109">
        <f t="shared" si="2"/>
        <v>2068.1627142346797</v>
      </c>
      <c r="R11" s="3566">
        <f t="shared" si="2"/>
        <v>702.7273546541968</v>
      </c>
      <c r="S11" s="3566">
        <f t="shared" si="2"/>
        <v>-664.63502648512372</v>
      </c>
      <c r="T11" s="3566" t="str">
        <f t="shared" si="2"/>
        <v>IE</v>
      </c>
      <c r="U11" s="3567">
        <f t="shared" si="2"/>
        <v>-4789.0306901969225</v>
      </c>
      <c r="W11" s="2397"/>
    </row>
    <row r="12" spans="2:23" ht="18" customHeight="1" x14ac:dyDescent="0.2">
      <c r="B12" s="500"/>
      <c r="C12" s="508" t="s">
        <v>2220</v>
      </c>
      <c r="D12" s="3568">
        <f>IF(SUM(E12:F12)=0,E12,SUM(E12:F12))</f>
        <v>12308.586329823975</v>
      </c>
      <c r="E12" s="3569">
        <v>12308.586329823975</v>
      </c>
      <c r="F12" s="3554" t="s">
        <v>2153</v>
      </c>
      <c r="G12" s="3558">
        <f>IFERROR(IF(SUM($D12)=0,"NA",N12/$D12),"NA")</f>
        <v>8.6155509469303129E-2</v>
      </c>
      <c r="H12" s="3078" t="str">
        <f>IFERROR(IF(SUM($D12)=0,"NA",O12/$D12),"NA")</f>
        <v>NA</v>
      </c>
      <c r="I12" s="3078">
        <f>IFERROR(IF(SUM($D12)=0,"NA",P12/$D12),"NA")</f>
        <v>8.6155509469303129E-2</v>
      </c>
      <c r="J12" s="3078">
        <f>IFERROR(IF(SUM($D12)=0,"NA",Q12/$D12),"NA")</f>
        <v>9.1276174530879814E-2</v>
      </c>
      <c r="K12" s="3078">
        <f>IFERROR(IF(SUM($D12)=0,"NA",R12/$D12),"NA")</f>
        <v>1.9239433689315896E-2</v>
      </c>
      <c r="L12" s="3078">
        <f t="shared" si="3"/>
        <v>-9.3414810508829493E-2</v>
      </c>
      <c r="M12" s="3128" t="str">
        <f t="shared" si="4"/>
        <v>NA</v>
      </c>
      <c r="N12" s="2905">
        <v>1060.4525260928845</v>
      </c>
      <c r="O12" s="2905" t="s">
        <v>2153</v>
      </c>
      <c r="P12" s="3109">
        <f>IF(SUM(N12:O12)=0,N12,SUM(N12:O12))</f>
        <v>1060.4525260928845</v>
      </c>
      <c r="Q12" s="2905">
        <v>1123.4806740694146</v>
      </c>
      <c r="R12" s="2906">
        <v>236.81023050186849</v>
      </c>
      <c r="S12" s="2906">
        <v>-1149.8042596320756</v>
      </c>
      <c r="T12" s="2906" t="s">
        <v>2153</v>
      </c>
      <c r="U12" s="3570">
        <f>IF(SUM(P12:T12)=0,P12,SUM(P12:T12)*-44/12)</f>
        <v>-4660.1102937843352</v>
      </c>
      <c r="W12" s="2398"/>
    </row>
    <row r="13" spans="2:23" ht="18" customHeight="1" x14ac:dyDescent="0.2">
      <c r="B13" s="500"/>
      <c r="C13" s="508" t="s">
        <v>2221</v>
      </c>
      <c r="D13" s="3568">
        <f t="shared" ref="D13:D15" si="5">IF(SUM(E13:F13)=0,E13,SUM(E13:F13))</f>
        <v>682.24894237664046</v>
      </c>
      <c r="E13" s="3569">
        <v>682.24894237664046</v>
      </c>
      <c r="F13" s="3554" t="s">
        <v>2153</v>
      </c>
      <c r="G13" s="3558">
        <f t="shared" ref="G13:K28" si="6">IFERROR(IF(SUM($D13)=0,"NA",N13/$D13),"NA")</f>
        <v>0.24759323774313452</v>
      </c>
      <c r="H13" s="3078" t="str">
        <f t="shared" si="6"/>
        <v>NA</v>
      </c>
      <c r="I13" s="3078">
        <f t="shared" si="6"/>
        <v>0.24759323774313452</v>
      </c>
      <c r="J13" s="3078">
        <f t="shared" si="6"/>
        <v>1.2454246372238931</v>
      </c>
      <c r="K13" s="3078">
        <f t="shared" si="6"/>
        <v>0.59316050777213647</v>
      </c>
      <c r="L13" s="3078">
        <f t="shared" si="3"/>
        <v>0.71113226127818707</v>
      </c>
      <c r="M13" s="3128" t="str">
        <f t="shared" si="4"/>
        <v>NA</v>
      </c>
      <c r="N13" s="2905">
        <v>168.92022458986162</v>
      </c>
      <c r="O13" s="2905" t="s">
        <v>2153</v>
      </c>
      <c r="P13" s="3109">
        <f t="shared" ref="P13:P15" si="7">IF(SUM(N13:O13)=0,N13,SUM(N13:O13))</f>
        <v>168.92022458986162</v>
      </c>
      <c r="Q13" s="2905">
        <v>849.68964155581216</v>
      </c>
      <c r="R13" s="2906">
        <v>404.68312908713114</v>
      </c>
      <c r="S13" s="2906">
        <v>485.16923314695191</v>
      </c>
      <c r="T13" s="2906" t="s">
        <v>2153</v>
      </c>
      <c r="U13" s="3570">
        <f t="shared" ref="U13:U15" si="8">IF(SUM(P13:T13)=0,P13,SUM(P13:T13)*-44/12)</f>
        <v>-6997.6948373924424</v>
      </c>
      <c r="W13" s="2398"/>
    </row>
    <row r="14" spans="2:23" ht="18" customHeight="1" x14ac:dyDescent="0.2">
      <c r="B14" s="500"/>
      <c r="C14" s="508" t="s">
        <v>2222</v>
      </c>
      <c r="D14" s="3568">
        <f t="shared" si="5"/>
        <v>117874.59120977839</v>
      </c>
      <c r="E14" s="3569">
        <v>117874.59120977839</v>
      </c>
      <c r="F14" s="3554" t="s">
        <v>2153</v>
      </c>
      <c r="G14" s="3558">
        <f t="shared" si="6"/>
        <v>4.9928029592728588E-4</v>
      </c>
      <c r="H14" s="3078" t="str">
        <f t="shared" si="6"/>
        <v>NA</v>
      </c>
      <c r="I14" s="3078">
        <f t="shared" si="6"/>
        <v>4.9928029592728588E-4</v>
      </c>
      <c r="J14" s="3078">
        <f t="shared" si="6"/>
        <v>-8.6336519296705905E-4</v>
      </c>
      <c r="K14" s="3078">
        <f t="shared" si="6"/>
        <v>5.1948426235659713E-4</v>
      </c>
      <c r="L14" s="3078" t="str">
        <f t="shared" si="3"/>
        <v>NA</v>
      </c>
      <c r="M14" s="3128" t="str">
        <f t="shared" si="4"/>
        <v>NA</v>
      </c>
      <c r="N14" s="2905">
        <v>58.852460781526005</v>
      </c>
      <c r="O14" s="2905" t="s">
        <v>2153</v>
      </c>
      <c r="P14" s="3109">
        <f t="shared" si="7"/>
        <v>58.852460781526005</v>
      </c>
      <c r="Q14" s="2905">
        <v>-101.76881918574352</v>
      </c>
      <c r="R14" s="2906">
        <v>61.233995065197149</v>
      </c>
      <c r="S14" s="2906" t="s">
        <v>2147</v>
      </c>
      <c r="T14" s="2906" t="s">
        <v>2147</v>
      </c>
      <c r="U14" s="3570">
        <f t="shared" si="8"/>
        <v>-67.164667756925311</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-2088.38097472341</v>
      </c>
      <c r="P15" s="3109">
        <f t="shared" si="7"/>
        <v>-2088.38097472341</v>
      </c>
      <c r="Q15" s="2905">
        <v>196.76121779519659</v>
      </c>
      <c r="R15" s="2906" t="s">
        <v>2147</v>
      </c>
      <c r="S15" s="2906" t="s">
        <v>2147</v>
      </c>
      <c r="T15" s="2906" t="s">
        <v>2147</v>
      </c>
      <c r="U15" s="3570">
        <f t="shared" si="8"/>
        <v>6935.9391087367812</v>
      </c>
      <c r="W15" s="2398"/>
    </row>
    <row r="16" spans="2:23" ht="18" customHeight="1" x14ac:dyDescent="0.2">
      <c r="B16" s="485" t="s">
        <v>1041</v>
      </c>
      <c r="C16" s="504"/>
      <c r="D16" s="3568">
        <f>IF(SUM(D17,D19,D23,D25,D27)=0,"IE",SUM(D17,D19,D23,D25,D27))</f>
        <v>3912.0858502474266</v>
      </c>
      <c r="E16" s="3571">
        <f t="shared" ref="E16:T16" si="9">IF(SUM(E17,E19,E23,E25,E27)=0,"IE",SUM(E17,E19,E23,E25,E27))</f>
        <v>3811.159421251522</v>
      </c>
      <c r="F16" s="3572">
        <f t="shared" si="9"/>
        <v>100.9264289959045</v>
      </c>
      <c r="G16" s="3558">
        <f t="shared" si="6"/>
        <v>0.76232234990183123</v>
      </c>
      <c r="H16" s="3078">
        <f t="shared" si="6"/>
        <v>-2.2996748753439431E-4</v>
      </c>
      <c r="I16" s="3078">
        <f t="shared" si="6"/>
        <v>0.762092382414297</v>
      </c>
      <c r="J16" s="3078">
        <f t="shared" si="6"/>
        <v>0.13351328445712449</v>
      </c>
      <c r="K16" s="3078">
        <f t="shared" si="6"/>
        <v>2.3001997079074517E-2</v>
      </c>
      <c r="L16" s="3078">
        <f t="shared" si="3"/>
        <v>-0.40816736074210441</v>
      </c>
      <c r="M16" s="3128">
        <f t="shared" si="4"/>
        <v>-0.48629904394692958</v>
      </c>
      <c r="N16" s="3078">
        <f t="shared" si="9"/>
        <v>2982.2704783783215</v>
      </c>
      <c r="O16" s="3078">
        <f t="shared" si="9"/>
        <v>-0.89965255400025546</v>
      </c>
      <c r="P16" s="3078">
        <f t="shared" si="9"/>
        <v>2981.3708258243219</v>
      </c>
      <c r="Q16" s="3078">
        <f t="shared" si="9"/>
        <v>522.31543094477638</v>
      </c>
      <c r="R16" s="3573">
        <f t="shared" si="9"/>
        <v>89.985787300480055</v>
      </c>
      <c r="S16" s="3573">
        <f t="shared" si="9"/>
        <v>-1555.5908823396398</v>
      </c>
      <c r="T16" s="3573">
        <f t="shared" si="9"/>
        <v>-49.080425929686029</v>
      </c>
      <c r="U16" s="3570">
        <f>IF(SUM(U17,U19,U23,U25,U27)=0,"IE",SUM(U17,U19,U23,U25,U27))</f>
        <v>-7293.0026979342583</v>
      </c>
      <c r="W16" s="2019"/>
    </row>
    <row r="17" spans="2:23" ht="18" customHeight="1" x14ac:dyDescent="0.2">
      <c r="B17" s="487" t="s">
        <v>1042</v>
      </c>
      <c r="C17" s="504"/>
      <c r="D17" s="3568">
        <f>D18</f>
        <v>38.078000000000003</v>
      </c>
      <c r="E17" s="3571">
        <f t="shared" ref="E17:U17" si="10">E18</f>
        <v>38.078000000000003</v>
      </c>
      <c r="F17" s="3572" t="str">
        <f t="shared" si="10"/>
        <v>NO</v>
      </c>
      <c r="G17" s="3558">
        <f t="shared" si="6"/>
        <v>1.2859131256893743</v>
      </c>
      <c r="H17" s="3078" t="str">
        <f t="shared" si="6"/>
        <v>NA</v>
      </c>
      <c r="I17" s="3078">
        <f t="shared" si="6"/>
        <v>1.2859131256893743</v>
      </c>
      <c r="J17" s="3078">
        <f t="shared" si="6"/>
        <v>-0.10084563264877355</v>
      </c>
      <c r="K17" s="3078">
        <f t="shared" si="6"/>
        <v>-2.9387047639056665E-2</v>
      </c>
      <c r="L17" s="3078">
        <f t="shared" si="3"/>
        <v>-0.44503387782971793</v>
      </c>
      <c r="M17" s="3128" t="str">
        <f t="shared" si="4"/>
        <v>NA</v>
      </c>
      <c r="N17" s="3078">
        <f t="shared" si="10"/>
        <v>48.965000000000003</v>
      </c>
      <c r="O17" s="3078" t="str">
        <f t="shared" si="10"/>
        <v>IE</v>
      </c>
      <c r="P17" s="3078">
        <f t="shared" si="10"/>
        <v>48.965000000000003</v>
      </c>
      <c r="Q17" s="3078">
        <f t="shared" si="10"/>
        <v>-3.84</v>
      </c>
      <c r="R17" s="3573">
        <f t="shared" si="10"/>
        <v>-1.1189999999999998</v>
      </c>
      <c r="S17" s="3573">
        <f t="shared" si="10"/>
        <v>-16.946000000000002</v>
      </c>
      <c r="T17" s="3573" t="str">
        <f t="shared" si="10"/>
        <v>NO</v>
      </c>
      <c r="U17" s="3570">
        <f t="shared" si="10"/>
        <v>-99.219999999999985</v>
      </c>
      <c r="W17" s="2019"/>
    </row>
    <row r="18" spans="2:23" ht="18" customHeight="1" x14ac:dyDescent="0.2">
      <c r="B18" s="488"/>
      <c r="C18" s="508" t="s">
        <v>278</v>
      </c>
      <c r="D18" s="3568">
        <f>IF(SUM(E18:F18)=0,E18,SUM(E18:F18))</f>
        <v>38.078000000000003</v>
      </c>
      <c r="E18" s="3569">
        <v>38.078000000000003</v>
      </c>
      <c r="F18" s="3554" t="s">
        <v>2146</v>
      </c>
      <c r="G18" s="3558">
        <f t="shared" si="6"/>
        <v>1.2859131256893743</v>
      </c>
      <c r="H18" s="3078" t="str">
        <f t="shared" si="6"/>
        <v>NA</v>
      </c>
      <c r="I18" s="3078">
        <f t="shared" si="6"/>
        <v>1.2859131256893743</v>
      </c>
      <c r="J18" s="3078">
        <f t="shared" si="6"/>
        <v>-0.10084563264877355</v>
      </c>
      <c r="K18" s="3078">
        <f t="shared" si="6"/>
        <v>-2.9387047639056665E-2</v>
      </c>
      <c r="L18" s="3078">
        <f t="shared" si="3"/>
        <v>-0.44503387782971793</v>
      </c>
      <c r="M18" s="3128" t="str">
        <f t="shared" si="4"/>
        <v>NA</v>
      </c>
      <c r="N18" s="2905">
        <v>48.965000000000003</v>
      </c>
      <c r="O18" s="2905" t="s">
        <v>2153</v>
      </c>
      <c r="P18" s="3109">
        <f>IF(SUM(N18:O18)=0,N18,SUM(N18:O18))</f>
        <v>48.965000000000003</v>
      </c>
      <c r="Q18" s="2905">
        <v>-3.84</v>
      </c>
      <c r="R18" s="2906">
        <v>-1.1189999999999998</v>
      </c>
      <c r="S18" s="2906">
        <v>-16.946000000000002</v>
      </c>
      <c r="T18" s="2906" t="s">
        <v>2146</v>
      </c>
      <c r="U18" s="3570">
        <f t="shared" ref="U18" si="11">IF(SUM(P18:T18)=0,P18,SUM(P18:T18)*-44/12)</f>
        <v>-99.219999999999985</v>
      </c>
      <c r="W18" s="2398"/>
    </row>
    <row r="19" spans="2:23" ht="18" customHeight="1" x14ac:dyDescent="0.2">
      <c r="B19" s="487" t="s">
        <v>1043</v>
      </c>
      <c r="C19" s="504"/>
      <c r="D19" s="3563">
        <f>IF(SUM(D20:D22)=0,"IE",SUM(D20:D22))</f>
        <v>3756.2784212515221</v>
      </c>
      <c r="E19" s="3571">
        <f t="shared" ref="E19:U19" si="12">IF(SUM(E20:E22)=0,"IE",SUM(E20:E22))</f>
        <v>3756.2784212515221</v>
      </c>
      <c r="F19" s="3572" t="str">
        <f t="shared" si="12"/>
        <v>IE</v>
      </c>
      <c r="G19" s="3558">
        <f t="shared" si="6"/>
        <v>0.56170561015379217</v>
      </c>
      <c r="H19" s="3078">
        <f t="shared" si="6"/>
        <v>-2.3950635525587797E-4</v>
      </c>
      <c r="I19" s="3078">
        <f t="shared" si="6"/>
        <v>0.56146610379853634</v>
      </c>
      <c r="J19" s="3078">
        <f t="shared" si="6"/>
        <v>0.15513530226294675</v>
      </c>
      <c r="K19" s="3078">
        <f t="shared" si="6"/>
        <v>1.225615769599332E-2</v>
      </c>
      <c r="L19" s="3078">
        <f t="shared" si="3"/>
        <v>-0.40600448404235073</v>
      </c>
      <c r="M19" s="3128" t="str">
        <f t="shared" si="4"/>
        <v>NA</v>
      </c>
      <c r="N19" s="3078">
        <f t="shared" si="12"/>
        <v>2109.9226625166093</v>
      </c>
      <c r="O19" s="3078">
        <f t="shared" si="12"/>
        <v>-0.89965255400025546</v>
      </c>
      <c r="P19" s="3078">
        <f t="shared" si="12"/>
        <v>2109.0230099626092</v>
      </c>
      <c r="Q19" s="3078">
        <f t="shared" si="12"/>
        <v>582.73138826463935</v>
      </c>
      <c r="R19" s="3573">
        <f t="shared" si="12"/>
        <v>46.037540680915484</v>
      </c>
      <c r="S19" s="3573">
        <f t="shared" si="12"/>
        <v>-1525.06588233964</v>
      </c>
      <c r="T19" s="3573" t="str">
        <f t="shared" si="12"/>
        <v>IE</v>
      </c>
      <c r="U19" s="3570">
        <f t="shared" si="12"/>
        <v>-4446.6622074179222</v>
      </c>
      <c r="W19" s="2019"/>
    </row>
    <row r="20" spans="2:23" ht="18" customHeight="1" x14ac:dyDescent="0.2">
      <c r="B20" s="496"/>
      <c r="C20" s="508" t="s">
        <v>2223</v>
      </c>
      <c r="D20" s="3568">
        <f>IF(SUM(E20:F20)=0,E20,SUM(E20:F20))</f>
        <v>951.48900000000003</v>
      </c>
      <c r="E20" s="3569">
        <v>951.48900000000003</v>
      </c>
      <c r="F20" s="3554" t="s">
        <v>2146</v>
      </c>
      <c r="G20" s="3558">
        <f t="shared" si="6"/>
        <v>1.1609183080413965</v>
      </c>
      <c r="H20" s="3078" t="str">
        <f t="shared" si="6"/>
        <v>NA</v>
      </c>
      <c r="I20" s="3078">
        <f t="shared" si="6"/>
        <v>1.1609183080413965</v>
      </c>
      <c r="J20" s="3078">
        <f t="shared" si="6"/>
        <v>-6.1677013607093753E-2</v>
      </c>
      <c r="K20" s="3078">
        <f t="shared" si="6"/>
        <v>-9.9675350949931952E-3</v>
      </c>
      <c r="L20" s="3078">
        <f t="shared" si="3"/>
        <v>-0.50917141448823844</v>
      </c>
      <c r="M20" s="3128" t="str">
        <f t="shared" si="4"/>
        <v>NA</v>
      </c>
      <c r="N20" s="2905">
        <v>1104.6010000000003</v>
      </c>
      <c r="O20" s="2905" t="s">
        <v>2153</v>
      </c>
      <c r="P20" s="3109">
        <f>IF(SUM(N20:O20)=0,N20,SUM(N20:O20))</f>
        <v>1104.6010000000003</v>
      </c>
      <c r="Q20" s="2905">
        <v>-58.685000000000031</v>
      </c>
      <c r="R20" s="2906">
        <v>-9.4839999999999804</v>
      </c>
      <c r="S20" s="2906">
        <v>-484.47099999999955</v>
      </c>
      <c r="T20" s="2906" t="s">
        <v>2146</v>
      </c>
      <c r="U20" s="3570">
        <f t="shared" ref="U20:U22" si="13">IF(SUM(P20:T20)=0,P20,SUM(P20:T20)*-44/12)</f>
        <v>-2023.8570000000034</v>
      </c>
      <c r="W20" s="2398"/>
    </row>
    <row r="21" spans="2:23" ht="18" customHeight="1" x14ac:dyDescent="0.2">
      <c r="B21" s="500"/>
      <c r="C21" s="508" t="s">
        <v>2291</v>
      </c>
      <c r="D21" s="3568">
        <f>IF(SUM(E21:F21)=0,E21,SUM(E21:F21))</f>
        <v>2804.7894212515221</v>
      </c>
      <c r="E21" s="3569">
        <v>2804.7894212515221</v>
      </c>
      <c r="F21" s="3554" t="s">
        <v>2146</v>
      </c>
      <c r="G21" s="3558">
        <f t="shared" si="6"/>
        <v>0.35843035305945559</v>
      </c>
      <c r="H21" s="3078" t="str">
        <f t="shared" si="6"/>
        <v>NA</v>
      </c>
      <c r="I21" s="3078">
        <f t="shared" si="6"/>
        <v>0.35843035305945559</v>
      </c>
      <c r="J21" s="3078">
        <f t="shared" si="6"/>
        <v>0.22870833894225956</v>
      </c>
      <c r="K21" s="3078">
        <f t="shared" si="6"/>
        <v>1.9795261726329977E-2</v>
      </c>
      <c r="L21" s="3078">
        <f t="shared" si="3"/>
        <v>-0.37100642010954166</v>
      </c>
      <c r="M21" s="3128" t="str">
        <f t="shared" si="4"/>
        <v>NA</v>
      </c>
      <c r="N21" s="2905">
        <v>1005.3216625166091</v>
      </c>
      <c r="O21" s="2905" t="s">
        <v>2153</v>
      </c>
      <c r="P21" s="3109">
        <f t="shared" ref="P21:P28" si="14">IF(SUM(N21:O21)=0,N21,SUM(N21:O21))</f>
        <v>1005.3216625166091</v>
      </c>
      <c r="Q21" s="2905">
        <v>641.47872961725716</v>
      </c>
      <c r="R21" s="2906">
        <v>55.521540680915464</v>
      </c>
      <c r="S21" s="2906">
        <v>-1040.5948823396404</v>
      </c>
      <c r="T21" s="2906" t="s">
        <v>2146</v>
      </c>
      <c r="U21" s="3570">
        <f t="shared" si="13"/>
        <v>-2426.3325184088517</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-0.89965255400025546</v>
      </c>
      <c r="P22" s="3109">
        <f t="shared" si="14"/>
        <v>-0.89965255400025546</v>
      </c>
      <c r="Q22" s="2905">
        <v>-6.2341352617778414E-2</v>
      </c>
      <c r="R22" s="2906" t="s">
        <v>2147</v>
      </c>
      <c r="S22" s="2906" t="s">
        <v>2147</v>
      </c>
      <c r="T22" s="2906" t="s">
        <v>2147</v>
      </c>
      <c r="U22" s="3570">
        <f t="shared" si="13"/>
        <v>3.5273109909327904</v>
      </c>
      <c r="W22" s="2398"/>
    </row>
    <row r="23" spans="2:23" ht="18" customHeight="1" x14ac:dyDescent="0.2">
      <c r="B23" s="487" t="s">
        <v>1044</v>
      </c>
      <c r="C23" s="504"/>
      <c r="D23" s="3568">
        <f>D24</f>
        <v>100.9264289959045</v>
      </c>
      <c r="E23" s="3571" t="str">
        <f t="shared" ref="E23" si="15">E24</f>
        <v>NO</v>
      </c>
      <c r="F23" s="3572">
        <f t="shared" ref="F23" si="16">F24</f>
        <v>100.9264289959045</v>
      </c>
      <c r="G23" s="3558">
        <f t="shared" si="6"/>
        <v>7.9162695421843701</v>
      </c>
      <c r="H23" s="3078" t="str">
        <f t="shared" si="6"/>
        <v>NA</v>
      </c>
      <c r="I23" s="3078">
        <f t="shared" si="6"/>
        <v>7.9162695421843701</v>
      </c>
      <c r="J23" s="3078">
        <f t="shared" si="6"/>
        <v>-0.53829267378584744</v>
      </c>
      <c r="K23" s="3078">
        <f t="shared" si="6"/>
        <v>0.45141046872284879</v>
      </c>
      <c r="L23" s="3078" t="str">
        <f t="shared" si="3"/>
        <v>NA</v>
      </c>
      <c r="M23" s="3128">
        <f t="shared" si="4"/>
        <v>-0.48629904394692958</v>
      </c>
      <c r="N23" s="3078">
        <f t="shared" ref="N23" si="17">N24</f>
        <v>798.96081586171226</v>
      </c>
      <c r="O23" s="3078" t="str">
        <f t="shared" ref="O23" si="18">O24</f>
        <v>IE</v>
      </c>
      <c r="P23" s="3078">
        <f t="shared" ref="P23" si="19">P24</f>
        <v>798.96081586171226</v>
      </c>
      <c r="Q23" s="3078">
        <f t="shared" ref="Q23" si="20">Q24</f>
        <v>-54.327957319862911</v>
      </c>
      <c r="R23" s="3573">
        <f t="shared" ref="R23" si="21">R24</f>
        <v>45.559246619564568</v>
      </c>
      <c r="S23" s="3573" t="str">
        <f t="shared" ref="S23" si="22">S24</f>
        <v>NO</v>
      </c>
      <c r="T23" s="3573">
        <f t="shared" ref="T23" si="23">T24</f>
        <v>-49.080425929686029</v>
      </c>
      <c r="U23" s="3570">
        <f t="shared" ref="U23" si="24">U24</f>
        <v>-2717.4094905163356</v>
      </c>
      <c r="W23" s="2019"/>
    </row>
    <row r="24" spans="2:23" ht="18" customHeight="1" x14ac:dyDescent="0.2">
      <c r="B24" s="488"/>
      <c r="C24" s="508" t="s">
        <v>278</v>
      </c>
      <c r="D24" s="3568">
        <f>IF(SUM(E24:F24)=0,E24,SUM(E24:F24))</f>
        <v>100.9264289959045</v>
      </c>
      <c r="E24" s="3569" t="s">
        <v>2146</v>
      </c>
      <c r="F24" s="3554">
        <v>100.9264289959045</v>
      </c>
      <c r="G24" s="3558">
        <f t="shared" si="6"/>
        <v>7.9162695421843701</v>
      </c>
      <c r="H24" s="3078" t="str">
        <f t="shared" si="6"/>
        <v>NA</v>
      </c>
      <c r="I24" s="3078">
        <f t="shared" si="6"/>
        <v>7.9162695421843701</v>
      </c>
      <c r="J24" s="3078">
        <f t="shared" si="6"/>
        <v>-0.53829267378584744</v>
      </c>
      <c r="K24" s="3078">
        <f t="shared" si="6"/>
        <v>0.45141046872284879</v>
      </c>
      <c r="L24" s="3078" t="str">
        <f t="shared" si="3"/>
        <v>NA</v>
      </c>
      <c r="M24" s="3128">
        <f t="shared" si="4"/>
        <v>-0.48629904394692958</v>
      </c>
      <c r="N24" s="2905">
        <v>798.96081586171226</v>
      </c>
      <c r="O24" s="2905" t="s">
        <v>2153</v>
      </c>
      <c r="P24" s="3109">
        <f t="shared" si="14"/>
        <v>798.96081586171226</v>
      </c>
      <c r="Q24" s="2905">
        <v>-54.327957319862911</v>
      </c>
      <c r="R24" s="2906">
        <v>45.559246619564568</v>
      </c>
      <c r="S24" s="2906" t="s">
        <v>2146</v>
      </c>
      <c r="T24" s="2906">
        <v>-49.080425929686029</v>
      </c>
      <c r="U24" s="3570">
        <f t="shared" ref="U24" si="25">IF(SUM(P24:T24)=0,P24,SUM(P24:T24)*-44/12)</f>
        <v>-2717.4094905163356</v>
      </c>
      <c r="W24" s="2398"/>
    </row>
    <row r="25" spans="2:23" ht="18" customHeight="1" x14ac:dyDescent="0.2">
      <c r="B25" s="487" t="s">
        <v>1045</v>
      </c>
      <c r="C25" s="504"/>
      <c r="D25" s="3568">
        <f>D26</f>
        <v>16.803000000000001</v>
      </c>
      <c r="E25" s="3571">
        <f t="shared" ref="E25" si="26">E26</f>
        <v>16.803000000000001</v>
      </c>
      <c r="F25" s="3572" t="str">
        <f t="shared" ref="F25" si="27">F26</f>
        <v>NO</v>
      </c>
      <c r="G25" s="3558">
        <f t="shared" si="6"/>
        <v>1.4534309349520917</v>
      </c>
      <c r="H25" s="3078" t="str">
        <f t="shared" si="6"/>
        <v>NA</v>
      </c>
      <c r="I25" s="3078">
        <f t="shared" si="6"/>
        <v>1.4534309349520917</v>
      </c>
      <c r="J25" s="3078">
        <f t="shared" si="6"/>
        <v>-0.13378563351782422</v>
      </c>
      <c r="K25" s="3078">
        <f t="shared" si="6"/>
        <v>-2.9280485627566504E-2</v>
      </c>
      <c r="L25" s="3078">
        <f t="shared" si="3"/>
        <v>-0.80812950068440159</v>
      </c>
      <c r="M25" s="3128" t="str">
        <f t="shared" si="4"/>
        <v>NA</v>
      </c>
      <c r="N25" s="3078">
        <f t="shared" ref="N25" si="28">N26</f>
        <v>24.422000000000001</v>
      </c>
      <c r="O25" s="3078" t="str">
        <f t="shared" ref="O25" si="29">O26</f>
        <v>IE</v>
      </c>
      <c r="P25" s="3078">
        <f t="shared" ref="P25" si="30">P26</f>
        <v>24.422000000000001</v>
      </c>
      <c r="Q25" s="3078">
        <f t="shared" ref="Q25" si="31">Q26</f>
        <v>-2.2480000000000002</v>
      </c>
      <c r="R25" s="3573">
        <f t="shared" ref="R25" si="32">R26</f>
        <v>-0.49199999999999999</v>
      </c>
      <c r="S25" s="3573">
        <f t="shared" ref="S25" si="33">S26</f>
        <v>-13.579000000000001</v>
      </c>
      <c r="T25" s="3573" t="str">
        <f t="shared" ref="T25" si="34">T26</f>
        <v>NO</v>
      </c>
      <c r="U25" s="3570">
        <f t="shared" ref="U25" si="35">U26</f>
        <v>-29.710999999999995</v>
      </c>
      <c r="W25" s="2019"/>
    </row>
    <row r="26" spans="2:23" ht="18" customHeight="1" x14ac:dyDescent="0.2">
      <c r="B26" s="488"/>
      <c r="C26" s="508" t="s">
        <v>278</v>
      </c>
      <c r="D26" s="3568">
        <f>IF(SUM(E26:F26)=0,E26,SUM(E26:F26))</f>
        <v>16.803000000000001</v>
      </c>
      <c r="E26" s="3569">
        <v>16.803000000000001</v>
      </c>
      <c r="F26" s="3554" t="s">
        <v>2146</v>
      </c>
      <c r="G26" s="3558">
        <f t="shared" si="6"/>
        <v>1.4534309349520917</v>
      </c>
      <c r="H26" s="3078" t="str">
        <f t="shared" si="6"/>
        <v>NA</v>
      </c>
      <c r="I26" s="3078">
        <f t="shared" si="6"/>
        <v>1.4534309349520917</v>
      </c>
      <c r="J26" s="3078">
        <f t="shared" si="6"/>
        <v>-0.13378563351782422</v>
      </c>
      <c r="K26" s="3078">
        <f t="shared" si="6"/>
        <v>-2.9280485627566504E-2</v>
      </c>
      <c r="L26" s="3078">
        <f t="shared" si="3"/>
        <v>-0.80812950068440159</v>
      </c>
      <c r="M26" s="3128" t="str">
        <f t="shared" si="4"/>
        <v>NA</v>
      </c>
      <c r="N26" s="2905">
        <v>24.422000000000001</v>
      </c>
      <c r="O26" s="2905" t="s">
        <v>2153</v>
      </c>
      <c r="P26" s="3109">
        <f t="shared" si="14"/>
        <v>24.422000000000001</v>
      </c>
      <c r="Q26" s="2905">
        <v>-2.2480000000000002</v>
      </c>
      <c r="R26" s="2906">
        <v>-0.49199999999999999</v>
      </c>
      <c r="S26" s="2906">
        <v>-13.579000000000001</v>
      </c>
      <c r="T26" s="2906" t="s">
        <v>2146</v>
      </c>
      <c r="U26" s="3570">
        <f t="shared" ref="U26" si="36">IF(SUM(P26:T26)=0,P26,SUM(P26:T26)*-44/12)</f>
        <v>-29.710999999999995</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39654.254741228811</v>
      </c>
      <c r="E10" s="3583">
        <f t="shared" ref="E10:F10" si="0">IF(SUM(E11,E13)=0,"IE",SUM(E11,E13))</f>
        <v>39651.254741228811</v>
      </c>
      <c r="F10" s="3584">
        <f t="shared" si="0"/>
        <v>3</v>
      </c>
      <c r="G10" s="3558">
        <f>IFERROR(IF(SUM($D10)=0,"NA",M10/$D10),"NA")</f>
        <v>1.4191472402281003E-4</v>
      </c>
      <c r="H10" s="3583">
        <f t="shared" ref="H10:J10" si="1">IFERROR(IF(SUM($D10)=0,"NA",N10/$D10),"NA")</f>
        <v>-7.2655583084366898E-2</v>
      </c>
      <c r="I10" s="3583">
        <f t="shared" si="1"/>
        <v>-7.2513668360344091E-2</v>
      </c>
      <c r="J10" s="3583">
        <f t="shared" si="1"/>
        <v>-3.3878836174500486E-2</v>
      </c>
      <c r="K10" s="3585">
        <f>IFERROR(IF(SUM(E10)=0,"NA",Q10/E10),"NA")</f>
        <v>-0.16583754049176819</v>
      </c>
      <c r="L10" s="3584">
        <f>IFERROR(IF(SUM(F10)=0,"NA",R10/F10),"NA")</f>
        <v>-12.475</v>
      </c>
      <c r="M10" s="3586">
        <f>IF(SUM(M11,M13)=0,"IE",SUM(M11,M13))</f>
        <v>5.6275226179316933</v>
      </c>
      <c r="N10" s="3583">
        <f t="shared" ref="N10:S10" si="2">IF(SUM(N11,N13)=0,"IE",SUM(N11,N13))</f>
        <v>-2881.1030000000001</v>
      </c>
      <c r="O10" s="3587">
        <f t="shared" si="2"/>
        <v>-2875.4754773820682</v>
      </c>
      <c r="P10" s="3583">
        <f t="shared" si="2"/>
        <v>-1343.44</v>
      </c>
      <c r="Q10" s="3585">
        <f t="shared" si="2"/>
        <v>-6575.6665636979487</v>
      </c>
      <c r="R10" s="3585">
        <f t="shared" si="2"/>
        <v>-37.424999999999997</v>
      </c>
      <c r="S10" s="3588">
        <f t="shared" si="2"/>
        <v>39717.359150626733</v>
      </c>
      <c r="U10" s="2261"/>
    </row>
    <row r="11" spans="2:21" ht="18" customHeight="1" x14ac:dyDescent="0.2">
      <c r="B11" s="499" t="s">
        <v>985</v>
      </c>
      <c r="C11" s="2256"/>
      <c r="D11" s="3589">
        <f>D12</f>
        <v>37661.491800201002</v>
      </c>
      <c r="E11" s="3078">
        <f t="shared" ref="E11" si="3">E12</f>
        <v>37661.491800201002</v>
      </c>
      <c r="F11" s="3078" t="str">
        <f t="shared" ref="F11" si="4">F12</f>
        <v>IE</v>
      </c>
      <c r="G11" s="3558">
        <f t="shared" ref="G11:G23" si="5">IFERROR(IF(SUM($D11)=0,"NA",M11/$D11),"NA")</f>
        <v>1.4942378405471605E-4</v>
      </c>
      <c r="H11" s="3078" t="str">
        <f t="shared" ref="H11:H23" si="6">IFERROR(IF(SUM($D11)=0,"NA",N11/$D11),"NA")</f>
        <v>NA</v>
      </c>
      <c r="I11" s="3078">
        <f t="shared" ref="I11:I23" si="7">IFERROR(IF(SUM($D11)=0,"NA",O11/$D11),"NA")</f>
        <v>1.4942378405471605E-4</v>
      </c>
      <c r="J11" s="3078" t="str">
        <f t="shared" ref="J11:J23" si="8">IFERROR(IF(SUM($D11)=0,"NA",P11/$D11),"NA")</f>
        <v>NA</v>
      </c>
      <c r="K11" s="3573">
        <f t="shared" ref="K11:K23" si="9">IFERROR(IF(SUM(E11)=0,"NA",Q11/E11),"NA")</f>
        <v>-0.16180001104155209</v>
      </c>
      <c r="L11" s="3128" t="str">
        <f t="shared" ref="L11:L23" si="10">IFERROR(IF(SUM(F11)=0,"NA",R11/F11),"NA")</f>
        <v>NA</v>
      </c>
      <c r="M11" s="3590">
        <f t="shared" ref="M11" si="11">M12</f>
        <v>5.6275226179316933</v>
      </c>
      <c r="N11" s="3591" t="str">
        <f t="shared" ref="N11" si="12">N12</f>
        <v>IE</v>
      </c>
      <c r="O11" s="3592">
        <f t="shared" ref="O11" si="13">O12</f>
        <v>5.6275226179316933</v>
      </c>
      <c r="P11" s="3591" t="str">
        <f t="shared" ref="P11" si="14">P12</f>
        <v>NA</v>
      </c>
      <c r="Q11" s="3593">
        <f t="shared" ref="Q11" si="15">Q12</f>
        <v>-6093.6297891138456</v>
      </c>
      <c r="R11" s="3593" t="str">
        <f t="shared" ref="R11" si="16">R12</f>
        <v>IE</v>
      </c>
      <c r="S11" s="3594">
        <f t="shared" ref="S11" si="17">S12</f>
        <v>22322.674977151688</v>
      </c>
      <c r="U11" s="2258"/>
    </row>
    <row r="12" spans="2:21" ht="18" customHeight="1" x14ac:dyDescent="0.2">
      <c r="B12" s="501"/>
      <c r="C12" s="508" t="s">
        <v>278</v>
      </c>
      <c r="D12" s="3568">
        <f>IF(SUM(E12:F12)=0,E12,SUM(E12:F12))</f>
        <v>37661.491800201002</v>
      </c>
      <c r="E12" s="3569">
        <v>37661.491800201002</v>
      </c>
      <c r="F12" s="3554" t="s">
        <v>2153</v>
      </c>
      <c r="G12" s="3558">
        <f t="shared" si="5"/>
        <v>1.4942378405471605E-4</v>
      </c>
      <c r="H12" s="3078" t="str">
        <f t="shared" si="6"/>
        <v>NA</v>
      </c>
      <c r="I12" s="3078">
        <f t="shared" si="7"/>
        <v>1.4942378405471605E-4</v>
      </c>
      <c r="J12" s="3078" t="str">
        <f t="shared" si="8"/>
        <v>NA</v>
      </c>
      <c r="K12" s="3573">
        <f t="shared" si="9"/>
        <v>-0.16180001104155209</v>
      </c>
      <c r="L12" s="3128" t="str">
        <f t="shared" si="10"/>
        <v>NA</v>
      </c>
      <c r="M12" s="2905">
        <v>5.6275226179316933</v>
      </c>
      <c r="N12" s="2905" t="s">
        <v>2153</v>
      </c>
      <c r="O12" s="3109">
        <f>IF(SUM(M12:N12)=0,M12,SUM(M12:N12))</f>
        <v>5.6275226179316933</v>
      </c>
      <c r="P12" s="2905" t="s">
        <v>2147</v>
      </c>
      <c r="Q12" s="2906">
        <v>-6093.6297891138456</v>
      </c>
      <c r="R12" s="2906" t="s">
        <v>2153</v>
      </c>
      <c r="S12" s="3594">
        <f>IF(SUM(O12:R12)=0,Q12,SUM(O12:R12)*-44/12)</f>
        <v>22322.674977151688</v>
      </c>
      <c r="U12" s="2398"/>
    </row>
    <row r="13" spans="2:21" ht="18" customHeight="1" x14ac:dyDescent="0.2">
      <c r="B13" s="485" t="s">
        <v>1054</v>
      </c>
      <c r="C13" s="504"/>
      <c r="D13" s="3589">
        <f>IF(SUM(D14,D16,D18,D20,D22)=0,"IE",SUM(D14,D16,D18,D20,D22))</f>
        <v>1992.7629410278123</v>
      </c>
      <c r="E13" s="3591">
        <f t="shared" ref="E13:F13" si="18">IF(SUM(E14,E16,E18,E20,E22)=0,"IE",SUM(E14,E16,E18,E20,E22))</f>
        <v>1989.7629410278123</v>
      </c>
      <c r="F13" s="3595">
        <f t="shared" si="18"/>
        <v>3</v>
      </c>
      <c r="G13" s="3558" t="str">
        <f t="shared" si="5"/>
        <v>NA</v>
      </c>
      <c r="H13" s="3078">
        <f t="shared" si="6"/>
        <v>-1.4457831088097244</v>
      </c>
      <c r="I13" s="3078">
        <f t="shared" si="7"/>
        <v>-1.4457831088097244</v>
      </c>
      <c r="J13" s="3078">
        <f t="shared" si="8"/>
        <v>-0.67415946590570908</v>
      </c>
      <c r="K13" s="3573">
        <f t="shared" si="9"/>
        <v>-0.242258394025123</v>
      </c>
      <c r="L13" s="3128">
        <f t="shared" si="10"/>
        <v>-12.475</v>
      </c>
      <c r="M13" s="3590" t="str">
        <f>IF(SUM(M14,M16,M18,M20,M22)=0,"IE",SUM(M14,M16,M18,M20,M22))</f>
        <v>IE</v>
      </c>
      <c r="N13" s="3591">
        <f t="shared" ref="N13" si="19">IF(SUM(N14,N16,N18,N20,N22)=0,"IE",SUM(N14,N16,N18,N20,N22))</f>
        <v>-2881.1030000000001</v>
      </c>
      <c r="O13" s="3592">
        <f t="shared" ref="O13" si="20">IF(SUM(O14,O16,O18,O20,O22)=0,"IE",SUM(O14,O16,O18,O20,O22))</f>
        <v>-2881.1030000000001</v>
      </c>
      <c r="P13" s="3592">
        <f t="shared" ref="P13" si="21">IF(SUM(P14,P16,P18,P20,P22)=0,"IE",SUM(P14,P16,P18,P20,P22))</f>
        <v>-1343.44</v>
      </c>
      <c r="Q13" s="3592">
        <f t="shared" ref="Q13" si="22">IF(SUM(Q14,Q16,Q18,Q20,Q22)=0,"IE",SUM(Q14,Q16,Q18,Q20,Q22))</f>
        <v>-482.03677458410334</v>
      </c>
      <c r="R13" s="3592">
        <f t="shared" ref="R13" si="23">IF(SUM(R14,R16,R18,R20,R22)=0,"IE",SUM(R14,R16,R18,R20,R22))</f>
        <v>-37.424999999999997</v>
      </c>
      <c r="S13" s="3594">
        <f t="shared" ref="S13" si="24">IF(SUM(S14,S16,S18,S20,S22)=0,"IE",SUM(S14,S16,S18,S20,S22))</f>
        <v>17394.684173475045</v>
      </c>
      <c r="U13" s="503"/>
    </row>
    <row r="14" spans="2:21" ht="18" customHeight="1" x14ac:dyDescent="0.2">
      <c r="B14" s="487" t="s">
        <v>1055</v>
      </c>
      <c r="C14" s="504"/>
      <c r="D14" s="3589">
        <f>D15</f>
        <v>1980.1020000000001</v>
      </c>
      <c r="E14" s="3078">
        <f t="shared" ref="E14" si="25">E15</f>
        <v>1980.1020000000001</v>
      </c>
      <c r="F14" s="3078" t="str">
        <f t="shared" ref="F14" si="26">F15</f>
        <v>IE</v>
      </c>
      <c r="G14" s="3558" t="str">
        <f t="shared" si="5"/>
        <v>NA</v>
      </c>
      <c r="H14" s="3078">
        <f t="shared" si="6"/>
        <v>-1.4550275692868346</v>
      </c>
      <c r="I14" s="3078">
        <f t="shared" si="7"/>
        <v>-1.4550275692868346</v>
      </c>
      <c r="J14" s="3078">
        <f t="shared" si="8"/>
        <v>-0.67847009901510125</v>
      </c>
      <c r="K14" s="3573">
        <f t="shared" si="9"/>
        <v>-0.2291866782620289</v>
      </c>
      <c r="L14" s="3128" t="str">
        <f t="shared" si="10"/>
        <v>NA</v>
      </c>
      <c r="M14" s="3590" t="str">
        <f t="shared" ref="M14" si="27">M15</f>
        <v>IE</v>
      </c>
      <c r="N14" s="3591">
        <f t="shared" ref="N14" si="28">N15</f>
        <v>-2881.1030000000001</v>
      </c>
      <c r="O14" s="3592">
        <f t="shared" ref="O14" si="29">O15</f>
        <v>-2881.1030000000001</v>
      </c>
      <c r="P14" s="3591">
        <f t="shared" ref="P14" si="30">P15</f>
        <v>-1343.44</v>
      </c>
      <c r="Q14" s="3593">
        <f t="shared" ref="Q14" si="31">Q15</f>
        <v>-453.81299999999999</v>
      </c>
      <c r="R14" s="3593" t="str">
        <f t="shared" ref="R14" si="32">R15</f>
        <v>IE</v>
      </c>
      <c r="S14" s="3594">
        <f t="shared" ref="S14" si="33">S15</f>
        <v>17153.971999999998</v>
      </c>
      <c r="U14" s="503"/>
    </row>
    <row r="15" spans="2:21" ht="18" customHeight="1" x14ac:dyDescent="0.2">
      <c r="B15" s="501"/>
      <c r="C15" s="508" t="s">
        <v>278</v>
      </c>
      <c r="D15" s="3568">
        <f>IF(SUM(E15:F15)=0,E15,SUM(E15:F15))</f>
        <v>1980.1020000000001</v>
      </c>
      <c r="E15" s="3569">
        <v>1980.1020000000001</v>
      </c>
      <c r="F15" s="3554" t="s">
        <v>2153</v>
      </c>
      <c r="G15" s="3558" t="str">
        <f t="shared" si="5"/>
        <v>NA</v>
      </c>
      <c r="H15" s="3078">
        <f t="shared" si="6"/>
        <v>-1.4550275692868346</v>
      </c>
      <c r="I15" s="3078">
        <f t="shared" si="7"/>
        <v>-1.4550275692868346</v>
      </c>
      <c r="J15" s="3078">
        <f t="shared" si="8"/>
        <v>-0.67847009901510125</v>
      </c>
      <c r="K15" s="3573">
        <f t="shared" si="9"/>
        <v>-0.2291866782620289</v>
      </c>
      <c r="L15" s="3128" t="str">
        <f t="shared" si="10"/>
        <v>NA</v>
      </c>
      <c r="M15" s="2905" t="s">
        <v>2153</v>
      </c>
      <c r="N15" s="2905">
        <v>-2881.1030000000001</v>
      </c>
      <c r="O15" s="3109">
        <f>IF(SUM(M15:N15)=0,M15,SUM(M15:N15))</f>
        <v>-2881.1030000000001</v>
      </c>
      <c r="P15" s="2905">
        <v>-1343.44</v>
      </c>
      <c r="Q15" s="2906">
        <v>-453.81299999999999</v>
      </c>
      <c r="R15" s="2906" t="s">
        <v>2153</v>
      </c>
      <c r="S15" s="3594">
        <f>IF(SUM(O15:R15)=0,Q15,SUM(O15:R15)*-44/12)</f>
        <v>17153.971999999998</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519270.63474897912</v>
      </c>
      <c r="E10" s="3583">
        <f t="shared" ref="E10:F10" si="0">IF(SUM(E11,E15)=0,"IE",SUM(E11,E15))</f>
        <v>519269.63474897912</v>
      </c>
      <c r="F10" s="3584">
        <f t="shared" si="0"/>
        <v>1</v>
      </c>
      <c r="G10" s="3558">
        <f>IFERROR(IF(SUM($D10)=0,"NA",M10/$D10),"NA")</f>
        <v>6.2765134996187167E-4</v>
      </c>
      <c r="H10" s="3583">
        <f t="shared" ref="H10:J10" si="1">IFERROR(IF(SUM($D10)=0,"NA",N10/$D10),"NA")</f>
        <v>-5.511087024601239E-2</v>
      </c>
      <c r="I10" s="3583">
        <f t="shared" si="1"/>
        <v>-5.4483218896050525E-2</v>
      </c>
      <c r="J10" s="3583">
        <f t="shared" si="1"/>
        <v>-1.1503253107376692E-2</v>
      </c>
      <c r="K10" s="3585">
        <f>IFERROR(IF(SUM(E10)=0,"NA",Q10/E10),"NA")</f>
        <v>-2.4376106539784784E-3</v>
      </c>
      <c r="L10" s="3584">
        <f>IFERROR(IF(SUM(F10)=0,"NA",R10/F10),"NA")</f>
        <v>-8.7249999999999996</v>
      </c>
      <c r="M10" s="3586">
        <f>IF(SUM(M11,M15)=0,"IE",SUM(M11,M15))</f>
        <v>325.92091489575472</v>
      </c>
      <c r="N10" s="3583">
        <f t="shared" ref="N10:S10" si="2">IF(SUM(N11,N15)=0,"IE",SUM(N11,N15))</f>
        <v>-28617.456574215481</v>
      </c>
      <c r="O10" s="3587">
        <f t="shared" si="2"/>
        <v>-28291.535659319728</v>
      </c>
      <c r="P10" s="3583">
        <f t="shared" si="2"/>
        <v>-5973.3015427456612</v>
      </c>
      <c r="Q10" s="3585">
        <f t="shared" si="2"/>
        <v>-1265.7771939516247</v>
      </c>
      <c r="R10" s="3585">
        <f t="shared" si="2"/>
        <v>-8.7249999999999996</v>
      </c>
      <c r="S10" s="3588">
        <f t="shared" si="2"/>
        <v>130310.91111872907</v>
      </c>
      <c r="U10" s="2261"/>
    </row>
    <row r="11" spans="2:21" ht="18" customHeight="1" x14ac:dyDescent="0.2">
      <c r="B11" s="493" t="s">
        <v>988</v>
      </c>
      <c r="C11" s="483"/>
      <c r="D11" s="3599">
        <f>IF(SUM(D12:D14)=0,"IE",SUM(D12:D14))</f>
        <v>511704.19129256392</v>
      </c>
      <c r="E11" s="3564">
        <f t="shared" ref="E11:F11" si="3">IF(SUM(E12:E14)=0,"IE",SUM(E12:E14))</f>
        <v>511704.19129256392</v>
      </c>
      <c r="F11" s="3565" t="str">
        <f t="shared" si="3"/>
        <v>IE</v>
      </c>
      <c r="G11" s="3599">
        <f t="shared" ref="G11:G26" si="4">IFERROR(IF(SUM($D11)=0,"NA",M11/$D11),"NA")</f>
        <v>6.277233307924587E-4</v>
      </c>
      <c r="H11" s="3109">
        <f t="shared" ref="H11:H26" si="5">IFERROR(IF(SUM($D11)=0,"NA",N11/$D11),"NA")</f>
        <v>-1.1175537823734745E-3</v>
      </c>
      <c r="I11" s="3109">
        <f t="shared" ref="I11:I26" si="6">IFERROR(IF(SUM($D11)=0,"NA",O11/$D11),"NA")</f>
        <v>-4.8983045158101576E-4</v>
      </c>
      <c r="J11" s="3109">
        <f t="shared" ref="J11:J26" si="7">IFERROR(IF(SUM($D11)=0,"NA",P11/$D11),"NA")</f>
        <v>4.3505184261764855E-4</v>
      </c>
      <c r="K11" s="3566">
        <f t="shared" ref="K11:K26" si="8">IFERROR(IF(SUM(E11)=0,"NA",Q11/E11),"NA")</f>
        <v>5.7967574770457966E-4</v>
      </c>
      <c r="L11" s="3249" t="str">
        <f t="shared" ref="L11:L26" si="9">IFERROR(IF(SUM(F11)=0,"NA",R11/F11),"NA")</f>
        <v>NA</v>
      </c>
      <c r="M11" s="3109">
        <f>IF(SUM(M12:M14)=0,"IE",SUM(M12:M14))</f>
        <v>321.20865933862967</v>
      </c>
      <c r="N11" s="3109">
        <f t="shared" ref="N11:O11" si="10">IF(SUM(N12:N14)=0,"IE",SUM(N12:N14))</f>
        <v>-571.85695443536474</v>
      </c>
      <c r="O11" s="3109">
        <f t="shared" si="10"/>
        <v>-250.64829509673507</v>
      </c>
      <c r="P11" s="3109">
        <f t="shared" ref="P11" si="11">IF(SUM(P12:P14)=0,"IE",SUM(P12:P14))</f>
        <v>222.61785129700365</v>
      </c>
      <c r="Q11" s="3566">
        <f t="shared" ref="Q11" si="12">IF(SUM(Q12:Q14)=0,"IE",SUM(Q12:Q14))</f>
        <v>296.62250969108425</v>
      </c>
      <c r="R11" s="3566" t="str">
        <f t="shared" ref="R11" si="13">IF(SUM(R12:R14)=0,"IE",SUM(R12:R14))</f>
        <v>IE</v>
      </c>
      <c r="S11" s="3567">
        <f t="shared" ref="S11" si="14">IF(SUM(S12:S14)=0,"IE",SUM(S12:S14))</f>
        <v>-984.83757493496046</v>
      </c>
      <c r="U11" s="2397"/>
    </row>
    <row r="12" spans="2:21" ht="18" customHeight="1" x14ac:dyDescent="0.2">
      <c r="B12" s="499"/>
      <c r="C12" s="484" t="s">
        <v>2226</v>
      </c>
      <c r="D12" s="3600">
        <f>IF(SUM(E12:F12)=0,E12,SUM(E12:F12))</f>
        <v>70456.100045431202</v>
      </c>
      <c r="E12" s="3569">
        <v>70456.100045431202</v>
      </c>
      <c r="F12" s="3554" t="s">
        <v>2153</v>
      </c>
      <c r="G12" s="3558">
        <f t="shared" si="4"/>
        <v>4.5589900538279765E-3</v>
      </c>
      <c r="H12" s="3078" t="str">
        <f t="shared" si="5"/>
        <v>NA</v>
      </c>
      <c r="I12" s="3078">
        <f t="shared" si="6"/>
        <v>4.5589900538279765E-3</v>
      </c>
      <c r="J12" s="3078">
        <f t="shared" si="7"/>
        <v>9.1179801076559557E-4</v>
      </c>
      <c r="K12" s="3573">
        <f t="shared" si="8"/>
        <v>3.6471920430623823E-3</v>
      </c>
      <c r="L12" s="3128" t="str">
        <f t="shared" si="9"/>
        <v>NA</v>
      </c>
      <c r="M12" s="2905">
        <v>321.20865933862967</v>
      </c>
      <c r="N12" s="2905" t="s">
        <v>2153</v>
      </c>
      <c r="O12" s="3109">
        <f>IF(SUM(M12:N12)=0,M12,SUM(M12:N12))</f>
        <v>321.20865933862967</v>
      </c>
      <c r="P12" s="2905">
        <v>64.24173186772596</v>
      </c>
      <c r="Q12" s="2906">
        <v>256.96692747090384</v>
      </c>
      <c r="R12" s="2906" t="s">
        <v>2153</v>
      </c>
      <c r="S12" s="3570">
        <f>IF(SUM(O12:R12)=0,Q12,SUM(O12:R12)*-44/12)</f>
        <v>-2355.5301684832848</v>
      </c>
      <c r="U12" s="2398"/>
    </row>
    <row r="13" spans="2:21" ht="18" customHeight="1" x14ac:dyDescent="0.2">
      <c r="B13" s="499"/>
      <c r="C13" s="484" t="s">
        <v>2227</v>
      </c>
      <c r="D13" s="3600">
        <f>IF(SUM(E13:F13)=0,E13,SUM(E13:F13))</f>
        <v>441248.09124713275</v>
      </c>
      <c r="E13" s="3569">
        <v>441248.09124713275</v>
      </c>
      <c r="F13" s="3554" t="s">
        <v>2153</v>
      </c>
      <c r="G13" s="3558" t="str">
        <f t="shared" si="4"/>
        <v>NA</v>
      </c>
      <c r="H13" s="3078" t="str">
        <f t="shared" si="5"/>
        <v>NA</v>
      </c>
      <c r="I13" s="3078" t="str">
        <f t="shared" si="6"/>
        <v>NA</v>
      </c>
      <c r="J13" s="3078" t="str">
        <f t="shared" si="7"/>
        <v>NA</v>
      </c>
      <c r="K13" s="3573">
        <f t="shared" si="8"/>
        <v>8.9871396628819002E-5</v>
      </c>
      <c r="L13" s="3128" t="str">
        <f t="shared" si="9"/>
        <v>NA</v>
      </c>
      <c r="M13" s="2905" t="s">
        <v>2147</v>
      </c>
      <c r="N13" s="2905" t="s">
        <v>2147</v>
      </c>
      <c r="O13" s="3109" t="str">
        <f>IF(SUM(M13:N13)=0,M13,SUM(M13:N13))</f>
        <v>NA</v>
      </c>
      <c r="P13" s="2905" t="s">
        <v>2147</v>
      </c>
      <c r="Q13" s="2906">
        <v>39.655582220180385</v>
      </c>
      <c r="R13" s="2906" t="s">
        <v>2153</v>
      </c>
      <c r="S13" s="3570">
        <f>IF(SUM(O13:R13)=0,Q13,SUM(O13:R13)*-44/12)</f>
        <v>-145.40380147399475</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-571.85695443536474</v>
      </c>
      <c r="O14" s="3109">
        <f>IF(SUM(M14:N14)=0,M14,SUM(M14:N14))</f>
        <v>-571.85695443536474</v>
      </c>
      <c r="P14" s="2905">
        <v>158.37611942927771</v>
      </c>
      <c r="Q14" s="2906" t="s">
        <v>2147</v>
      </c>
      <c r="R14" s="2906" t="s">
        <v>2147</v>
      </c>
      <c r="S14" s="3570">
        <f>IF(SUM(O14:R14)=0,Q14,SUM(O14:R14)*-44/12)</f>
        <v>1516.0963950223193</v>
      </c>
      <c r="U14" s="2398"/>
    </row>
    <row r="15" spans="2:21" ht="18" customHeight="1" x14ac:dyDescent="0.2">
      <c r="B15" s="485" t="s">
        <v>1066</v>
      </c>
      <c r="C15" s="486"/>
      <c r="D15" s="3589">
        <f>IF(SUM(D16,D19,D21,D23,D25)=0,"IE",SUM(D16,D19,D21,D23,D25))</f>
        <v>7566.443456415218</v>
      </c>
      <c r="E15" s="3591">
        <f t="shared" ref="E15:F15" si="15">IF(SUM(E16,E19,E21,E23,E25)=0,"IE",SUM(E16,E19,E21,E23,E25))</f>
        <v>7565.443456415218</v>
      </c>
      <c r="F15" s="3595">
        <f t="shared" si="15"/>
        <v>1</v>
      </c>
      <c r="G15" s="3558">
        <f t="shared" si="4"/>
        <v>6.2278342318539831E-4</v>
      </c>
      <c r="H15" s="3078">
        <f t="shared" si="5"/>
        <v>-3.7065762509599702</v>
      </c>
      <c r="I15" s="3078">
        <f t="shared" si="6"/>
        <v>-3.7059534675367849</v>
      </c>
      <c r="J15" s="3078">
        <f t="shared" si="7"/>
        <v>-0.8188681286965076</v>
      </c>
      <c r="K15" s="3573">
        <f t="shared" si="8"/>
        <v>-0.20651792755358597</v>
      </c>
      <c r="L15" s="3128">
        <f t="shared" si="9"/>
        <v>-8.7249999999999996</v>
      </c>
      <c r="M15" s="3590">
        <f>IF(SUM(M16,M19,M21,M23,M25)=0,"IE",SUM(M16,M19,M21,M23,M25))</f>
        <v>4.7122555571250269</v>
      </c>
      <c r="N15" s="3591">
        <f t="shared" ref="N15:S15" si="16">IF(SUM(N16,N19,N21,N23,N25)=0,"IE",SUM(N16,N19,N21,N23,N25))</f>
        <v>-28045.599619780118</v>
      </c>
      <c r="O15" s="3592">
        <f t="shared" si="16"/>
        <v>-28040.887364222992</v>
      </c>
      <c r="P15" s="3592">
        <f t="shared" si="16"/>
        <v>-6195.9193940426649</v>
      </c>
      <c r="Q15" s="3592">
        <f t="shared" si="16"/>
        <v>-1562.399703642709</v>
      </c>
      <c r="R15" s="3592">
        <f t="shared" si="16"/>
        <v>-8.7249999999999996</v>
      </c>
      <c r="S15" s="3594">
        <f t="shared" si="16"/>
        <v>131295.74869366403</v>
      </c>
      <c r="U15" s="2019"/>
    </row>
    <row r="16" spans="2:21" ht="18" customHeight="1" x14ac:dyDescent="0.2">
      <c r="B16" s="500" t="s">
        <v>1067</v>
      </c>
      <c r="C16" s="486"/>
      <c r="D16" s="3599">
        <f>IF(SUM(D17:D18)=0,"IE",SUM(D17:D18))</f>
        <v>7517.5660238786713</v>
      </c>
      <c r="E16" s="3564">
        <f t="shared" ref="E16:F16" si="17">IF(SUM(E17:E18)=0,"IE",SUM(E17:E18))</f>
        <v>7517.5660238786713</v>
      </c>
      <c r="F16" s="3565" t="str">
        <f t="shared" si="17"/>
        <v>IE</v>
      </c>
      <c r="G16" s="3558">
        <f t="shared" si="4"/>
        <v>6.2683261339602431E-4</v>
      </c>
      <c r="H16" s="3078">
        <f t="shared" si="5"/>
        <v>-3.7306755312419662</v>
      </c>
      <c r="I16" s="3078">
        <f t="shared" si="6"/>
        <v>-3.7300486986285701</v>
      </c>
      <c r="J16" s="3078">
        <f t="shared" si="7"/>
        <v>-0.82419221518800767</v>
      </c>
      <c r="K16" s="3573">
        <f t="shared" si="8"/>
        <v>-0.19208423338564631</v>
      </c>
      <c r="L16" s="3128" t="str">
        <f t="shared" si="9"/>
        <v>NA</v>
      </c>
      <c r="M16" s="3506">
        <f>IF(SUM(M17:M18)=0,"IE",SUM(M17:M18))</f>
        <v>4.7122555571250269</v>
      </c>
      <c r="N16" s="3506">
        <f t="shared" ref="N16:O16" si="18">IF(SUM(N17:N18)=0,"IE",SUM(N17:N18))</f>
        <v>-28045.599619780118</v>
      </c>
      <c r="O16" s="3506">
        <f t="shared" si="18"/>
        <v>-28040.887364222992</v>
      </c>
      <c r="P16" s="3506">
        <f t="shared" ref="P16" si="19">IF(SUM(P17:P18)=0,"IE",SUM(P17:P18))</f>
        <v>-6195.9193940426649</v>
      </c>
      <c r="Q16" s="3601">
        <f t="shared" ref="Q16" si="20">IF(SUM(Q17:Q18)=0,"IE",SUM(Q17:Q18))</f>
        <v>-1444.0059066227159</v>
      </c>
      <c r="R16" s="3601" t="str">
        <f t="shared" ref="R16" si="21">IF(SUM(R17:R18)=0,"IE",SUM(R17:R18))</f>
        <v>IE</v>
      </c>
      <c r="S16" s="3287">
        <f t="shared" ref="S16" si="22">IF(SUM(S17:S18)=0,"IE",SUM(S17:S18))</f>
        <v>130829.64643792405</v>
      </c>
      <c r="U16" s="2400"/>
    </row>
    <row r="17" spans="2:21" ht="18" customHeight="1" x14ac:dyDescent="0.2">
      <c r="B17" s="500"/>
      <c r="C17" s="484" t="s">
        <v>2228</v>
      </c>
      <c r="D17" s="3600">
        <f>IF(SUM(E17:F17)=0,E17,SUM(E17:F17))</f>
        <v>7517.5660238786713</v>
      </c>
      <c r="E17" s="3569">
        <v>7517.5660238786713</v>
      </c>
      <c r="F17" s="3554" t="s">
        <v>2153</v>
      </c>
      <c r="G17" s="3558" t="str">
        <f t="shared" si="4"/>
        <v>NA</v>
      </c>
      <c r="H17" s="3078">
        <f t="shared" si="5"/>
        <v>-3.7306755312419662</v>
      </c>
      <c r="I17" s="3078">
        <f t="shared" si="6"/>
        <v>-3.7306755312419662</v>
      </c>
      <c r="J17" s="3078">
        <f t="shared" si="7"/>
        <v>-0.82453998346201929</v>
      </c>
      <c r="K17" s="3573">
        <f t="shared" si="8"/>
        <v>-0.19208423338564631</v>
      </c>
      <c r="L17" s="3128" t="str">
        <f t="shared" si="9"/>
        <v>NA</v>
      </c>
      <c r="M17" s="2905" t="s">
        <v>2153</v>
      </c>
      <c r="N17" s="2905">
        <v>-28045.599619780118</v>
      </c>
      <c r="O17" s="3109">
        <f>IF(SUM(M17:N17)=0,M17,SUM(M17:N17))</f>
        <v>-28045.599619780118</v>
      </c>
      <c r="P17" s="2905">
        <v>-6198.5337650035581</v>
      </c>
      <c r="Q17" s="2906">
        <v>-1444.0059066227159</v>
      </c>
      <c r="R17" s="2906" t="s">
        <v>2153</v>
      </c>
      <c r="S17" s="3570">
        <f>IF(SUM(O17:R17)=0,Q17,SUM(O17:R17)*-44/12)</f>
        <v>130856.51073515679</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4.7122555571250269</v>
      </c>
      <c r="N18" s="2905" t="s">
        <v>2153</v>
      </c>
      <c r="O18" s="3109">
        <f>IF(SUM(M18:N18)=0,M18,SUM(M18:N18))</f>
        <v>4.7122555571250269</v>
      </c>
      <c r="P18" s="2905">
        <v>2.6143709608928889</v>
      </c>
      <c r="Q18" s="2906" t="s">
        <v>2147</v>
      </c>
      <c r="R18" s="2906" t="s">
        <v>2147</v>
      </c>
      <c r="S18" s="3570">
        <f>IF(SUM(O18:R18)=0,Q18,SUM(O18:R18)*-44/12)</f>
        <v>-26.864297232732358</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13390.405241039998</v>
      </c>
      <c r="E10" s="3583">
        <f>IF(SUM(E11,E23)=0,"IE",SUM(E11,E23))</f>
        <v>13289.433453765219</v>
      </c>
      <c r="F10" s="3584">
        <f>IF(SUM(F11,F23)=0,"IE",SUM(F11,F23))</f>
        <v>100.9717872747795</v>
      </c>
      <c r="G10" s="3608" t="str">
        <f>IFERROR(IF(SUM($D10)=0,"NA",M10/$D10),"NA")</f>
        <v>NA</v>
      </c>
      <c r="H10" s="3609">
        <f t="shared" ref="H10:J10" si="0">IFERROR(IF(SUM($D10)=0,"NA",N10/$D10),"NA")</f>
        <v>-3.2472201810667331E-2</v>
      </c>
      <c r="I10" s="3610">
        <f t="shared" si="0"/>
        <v>-3.2472201810667331E-2</v>
      </c>
      <c r="J10" s="3609">
        <f t="shared" si="0"/>
        <v>1.4963192497928211E-3</v>
      </c>
      <c r="K10" s="3609">
        <f>IFERROR(IF(SUM(E10)=0,"NA",Q10/E10),"NA")</f>
        <v>-3.2305559979207087E-3</v>
      </c>
      <c r="L10" s="3611" t="str">
        <f>IFERROR(IF(SUM(F10)=0,"NA",R10/F10),"NA")</f>
        <v>NA</v>
      </c>
      <c r="M10" s="3610" t="str">
        <f t="shared" ref="M10:S10" si="1">IF(SUM(M11,M23)=0,"IE",SUM(M11,M23))</f>
        <v>IE</v>
      </c>
      <c r="N10" s="3609">
        <f t="shared" si="1"/>
        <v>-434.8159413136683</v>
      </c>
      <c r="O10" s="3610">
        <f t="shared" si="1"/>
        <v>-434.8159413136683</v>
      </c>
      <c r="P10" s="3609">
        <f t="shared" si="1"/>
        <v>20.03632112469483</v>
      </c>
      <c r="Q10" s="3612">
        <f t="shared" si="1"/>
        <v>-42.932258953029347</v>
      </c>
      <c r="R10" s="3612" t="str">
        <f t="shared" si="1"/>
        <v>IE</v>
      </c>
      <c r="S10" s="3588">
        <f t="shared" si="1"/>
        <v>1678.2768901873435</v>
      </c>
      <c r="U10" s="2401"/>
    </row>
    <row r="11" spans="1:23" ht="18" customHeight="1" x14ac:dyDescent="0.2">
      <c r="B11" s="501" t="s">
        <v>990</v>
      </c>
      <c r="C11" s="483"/>
      <c r="D11" s="3613">
        <f>IF(SUM(D12,D14,D17)=0,"IE",SUM(D12,D14,D17))</f>
        <v>13358.375241039997</v>
      </c>
      <c r="E11" s="3614">
        <f t="shared" ref="E11:S11" si="2">IF(SUM(E12,E14,E17)=0,"IE",SUM(E12,E14,E17))</f>
        <v>13257.403453765219</v>
      </c>
      <c r="F11" s="3615">
        <f t="shared" si="2"/>
        <v>100.9717872747795</v>
      </c>
      <c r="G11" s="3616" t="str">
        <f t="shared" ref="G11:G56" si="3">IFERROR(IF(SUM($D11)=0,"NA",M11/$D11),"NA")</f>
        <v>NA</v>
      </c>
      <c r="H11" s="3617">
        <f t="shared" ref="H11:H56" si="4">IFERROR(IF(SUM($D11)=0,"NA",N11/$D11),"NA")</f>
        <v>-9.5390299354809645E-3</v>
      </c>
      <c r="I11" s="3618">
        <f t="shared" ref="I11:I56" si="5">IFERROR(IF(SUM($D11)=0,"NA",O11/$D11),"NA")</f>
        <v>-9.5390299354809645E-3</v>
      </c>
      <c r="J11" s="3617">
        <f t="shared" ref="J11:J56" si="6">IFERROR(IF(SUM($D11)=0,"NA",P11/$D11),"NA")</f>
        <v>1.4999070443191809E-3</v>
      </c>
      <c r="K11" s="3617">
        <f t="shared" ref="K11:K56" si="7">IFERROR(IF(SUM(E11)=0,"NA",Q11/E11),"NA")</f>
        <v>-3.2383610488097661E-3</v>
      </c>
      <c r="L11" s="3619" t="str">
        <f t="shared" ref="L11:L56" si="8">IFERROR(IF(SUM(F11)=0,"NA",R11/F11),"NA")</f>
        <v>NA</v>
      </c>
      <c r="M11" s="3618" t="str">
        <f t="shared" si="2"/>
        <v>IE</v>
      </c>
      <c r="N11" s="3617">
        <f t="shared" si="2"/>
        <v>-127.42594131366829</v>
      </c>
      <c r="O11" s="3618">
        <f t="shared" si="2"/>
        <v>-127.42594131366829</v>
      </c>
      <c r="P11" s="3617">
        <f t="shared" si="2"/>
        <v>20.03632112469483</v>
      </c>
      <c r="Q11" s="3620">
        <f t="shared" si="2"/>
        <v>-42.932258953029347</v>
      </c>
      <c r="R11" s="3620" t="str">
        <f t="shared" si="2"/>
        <v>IE</v>
      </c>
      <c r="S11" s="3621">
        <f t="shared" si="2"/>
        <v>551.18022352067692</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597.82799347714035</v>
      </c>
      <c r="E14" s="3564">
        <f>IF(SUM(E15:E16)=0,"IE",SUM(E15:E16))</f>
        <v>597.82799347714035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265.03790000000004</v>
      </c>
      <c r="E15" s="3569">
        <v>265.03790000000004</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12760.547247562858</v>
      </c>
      <c r="E17" s="3564">
        <f>IF(SUM(E18:E21)=0,"IE",SUM(E18:E21))</f>
        <v>12659.575460288079</v>
      </c>
      <c r="F17" s="3565">
        <f>IF(SUM(F18:F21)=0,"IE",SUM(F18:F21))</f>
        <v>100.9717872747795</v>
      </c>
      <c r="G17" s="3622" t="str">
        <f t="shared" si="3"/>
        <v>NA</v>
      </c>
      <c r="H17" s="3591">
        <f t="shared" si="4"/>
        <v>-9.9859307631187545E-3</v>
      </c>
      <c r="I17" s="3623">
        <f t="shared" si="5"/>
        <v>-9.9859307631187545E-3</v>
      </c>
      <c r="J17" s="3591">
        <f t="shared" si="6"/>
        <v>1.5701772608946356E-3</v>
      </c>
      <c r="K17" s="3591">
        <f t="shared" si="7"/>
        <v>-3.3912874162094838E-3</v>
      </c>
      <c r="L17" s="3595" t="str">
        <f t="shared" si="8"/>
        <v>NA</v>
      </c>
      <c r="M17" s="3564" t="str">
        <f t="shared" ref="M17:S17" si="16">IF(SUM(M18:M21)=0,"IE",SUM(M18:M21))</f>
        <v>IE</v>
      </c>
      <c r="N17" s="3617">
        <f t="shared" si="16"/>
        <v>-127.42594131366829</v>
      </c>
      <c r="O17" s="3618">
        <f t="shared" si="16"/>
        <v>-127.42594131366829</v>
      </c>
      <c r="P17" s="3617">
        <f t="shared" si="16"/>
        <v>20.03632112469483</v>
      </c>
      <c r="Q17" s="3620">
        <f t="shared" si="16"/>
        <v>-42.932258953029347</v>
      </c>
      <c r="R17" s="3620" t="str">
        <f t="shared" si="16"/>
        <v>IE</v>
      </c>
      <c r="S17" s="3634">
        <f t="shared" si="16"/>
        <v>551.18022352067692</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-3.126077135899117E-2</v>
      </c>
      <c r="I18" s="3632">
        <f t="shared" si="5"/>
        <v>-3.126077135899117E-2</v>
      </c>
      <c r="J18" s="3631">
        <f t="shared" si="6"/>
        <v>-6.2521542717982343E-3</v>
      </c>
      <c r="K18" s="3631">
        <f t="shared" si="7"/>
        <v>-2.5008617087192937E-2</v>
      </c>
      <c r="L18" s="3633" t="str">
        <f t="shared" si="8"/>
        <v>NA</v>
      </c>
      <c r="M18" s="3624" t="s">
        <v>2153</v>
      </c>
      <c r="N18" s="3625">
        <v>-53.66532369128668</v>
      </c>
      <c r="O18" s="3109">
        <f>IF(SUM(M18:N18)=0,M18,SUM(M18:N18))</f>
        <v>-53.66532369128668</v>
      </c>
      <c r="P18" s="3625">
        <v>-10.733064738257337</v>
      </c>
      <c r="Q18" s="3626">
        <v>-42.932258953029347</v>
      </c>
      <c r="R18" s="3636" t="s">
        <v>2153</v>
      </c>
      <c r="S18" s="3570">
        <f>IF(SUM(O18:R18)=0,Q18,SUM(O18:R18)*-44/12)</f>
        <v>393.54570706943565</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-73.760617622381602</v>
      </c>
      <c r="O19" s="3109">
        <f t="shared" ref="O19:O22" si="18">IF(SUM(M19:N19)=0,M19,SUM(M19:N19))</f>
        <v>-73.760617622381602</v>
      </c>
      <c r="P19" s="3625">
        <v>30.769385862952166</v>
      </c>
      <c r="Q19" s="3628" t="s">
        <v>2147</v>
      </c>
      <c r="R19" s="3627" t="s">
        <v>2147</v>
      </c>
      <c r="S19" s="3570">
        <f t="shared" ref="S19:S22" si="19">IF(SUM(O19:R19)=0,Q19,SUM(O19:R19)*-44/12)</f>
        <v>157.6345164512413</v>
      </c>
      <c r="T19" s="2502"/>
      <c r="U19" s="2684"/>
      <c r="V19" s="2502"/>
      <c r="W19" s="2502"/>
    </row>
    <row r="20" spans="1:23" ht="18" customHeight="1" x14ac:dyDescent="0.2">
      <c r="A20" s="2502"/>
      <c r="B20" s="2682"/>
      <c r="C20" s="2683" t="s">
        <v>2234</v>
      </c>
      <c r="D20" s="3600">
        <f t="shared" si="17"/>
        <v>10942.876819841655</v>
      </c>
      <c r="E20" s="3607">
        <v>10942.876819841655</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100.9717872747795</v>
      </c>
      <c r="E21" s="3564" t="str">
        <f t="shared" ref="E21:F21" si="20">E22</f>
        <v>IE</v>
      </c>
      <c r="F21" s="3565">
        <f t="shared" si="20"/>
        <v>100.9717872747795</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100.9717872747795</v>
      </c>
      <c r="E22" s="3569" t="s">
        <v>2153</v>
      </c>
      <c r="F22" s="3554">
        <v>100.9717872747795</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32.03</v>
      </c>
      <c r="E23" s="3591">
        <f t="shared" ref="E23:F23" si="22">IF(SUM(E24,E35,E46)=0,"IE",SUM(E24,E35,E46))</f>
        <v>32.03</v>
      </c>
      <c r="F23" s="3595" t="str">
        <f t="shared" si="22"/>
        <v>IE</v>
      </c>
      <c r="G23" s="3622" t="str">
        <f t="shared" si="3"/>
        <v>NA</v>
      </c>
      <c r="H23" s="3591">
        <f t="shared" si="4"/>
        <v>-9.5969403684046206</v>
      </c>
      <c r="I23" s="3623">
        <f t="shared" si="5"/>
        <v>-9.5969403684046206</v>
      </c>
      <c r="J23" s="3591" t="str">
        <f t="shared" si="6"/>
        <v>NA</v>
      </c>
      <c r="K23" s="3591" t="str">
        <f t="shared" si="7"/>
        <v>NA</v>
      </c>
      <c r="L23" s="3595" t="str">
        <f t="shared" si="8"/>
        <v>NA</v>
      </c>
      <c r="M23" s="3591" t="str">
        <f t="shared" ref="M23" si="23">IF(SUM(M24,M35,M46)=0,"IE",SUM(M24,M35,M46))</f>
        <v>IE</v>
      </c>
      <c r="N23" s="3591">
        <f t="shared" ref="N23" si="24">IF(SUM(N24,N35,N46)=0,"IE",SUM(N24,N35,N46))</f>
        <v>-307.39</v>
      </c>
      <c r="O23" s="3623">
        <f t="shared" ref="O23" si="25">IF(SUM(O24,O35,O46)=0,"IE",SUM(O24,O35,O46))</f>
        <v>-307.39</v>
      </c>
      <c r="P23" s="3591" t="str">
        <f>IF(SUM(P24,P35,P46)=0,"NO",SUM(P24,P35,P46))</f>
        <v>NO</v>
      </c>
      <c r="Q23" s="3590" t="str">
        <f>IF(SUM(Q24,Q35,Q46)=0,"NO",SUM(Q24,Q35,Q46))</f>
        <v>NO</v>
      </c>
      <c r="R23" s="3590" t="str">
        <f>IF(SUM(R24,R35,R46)=0,"NO",SUM(R24,R35,R46))</f>
        <v>NO</v>
      </c>
      <c r="S23" s="3594">
        <f t="shared" ref="S23" si="26">IF(SUM(S24,S35,S46)=0,"IE",SUM(S24,S35,S46))</f>
        <v>1127.0966666666666</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32.03</v>
      </c>
      <c r="E35" s="3591">
        <f>IF(SUM(E36,E38,E40,E42,E44)=0,"IE",SUM(E36,E38,E40,E42,E44))</f>
        <v>32.03</v>
      </c>
      <c r="F35" s="3595" t="str">
        <f>IF(SUM(F36,F38,F40,F42,F44)=0,"IE",SUM(F36,F38,F40,F42,F44))</f>
        <v>IE</v>
      </c>
      <c r="G35" s="3622" t="str">
        <f t="shared" si="3"/>
        <v>NA</v>
      </c>
      <c r="H35" s="3591">
        <f t="shared" si="4"/>
        <v>-9.5969403684046206</v>
      </c>
      <c r="I35" s="3623">
        <f t="shared" si="5"/>
        <v>-9.5969403684046206</v>
      </c>
      <c r="J35" s="3591" t="str">
        <f t="shared" si="6"/>
        <v>NA</v>
      </c>
      <c r="K35" s="3591" t="str">
        <f t="shared" si="7"/>
        <v>NA</v>
      </c>
      <c r="L35" s="3595" t="str">
        <f t="shared" si="8"/>
        <v>NA</v>
      </c>
      <c r="M35" s="3591" t="str">
        <f t="shared" ref="M35:S35" si="48">IF(SUM(M36,M38,M40,M42,M44)=0,"IE",SUM(M36,M38,M40,M42,M44))</f>
        <v>IE</v>
      </c>
      <c r="N35" s="3591">
        <f t="shared" si="48"/>
        <v>-307.39</v>
      </c>
      <c r="O35" s="3623">
        <f t="shared" si="48"/>
        <v>-307.39</v>
      </c>
      <c r="P35" s="3591" t="str">
        <f>IF(SUM(P36,P38,P40,P42,P44)=0,"NO",SUM(P36,P38,P40,P42,P44))</f>
        <v>NO</v>
      </c>
      <c r="Q35" s="3590" t="str">
        <f>IF(SUM(Q36,Q38,Q40,Q42,Q44)=0,"NO",SUM(Q36,Q38,Q40,Q42,Q44))</f>
        <v>NO</v>
      </c>
      <c r="R35" s="3590" t="str">
        <f>IF(SUM(R36,R38,R40,R42,R44)=0,"NO",SUM(R36,R38,R40,R42,R44))</f>
        <v>NO</v>
      </c>
      <c r="S35" s="3594">
        <f t="shared" si="48"/>
        <v>1127.0966666666666</v>
      </c>
      <c r="U35" s="503"/>
    </row>
    <row r="36" spans="2:21" ht="18" customHeight="1" x14ac:dyDescent="0.2">
      <c r="B36" s="505" t="s">
        <v>1087</v>
      </c>
      <c r="C36" s="486"/>
      <c r="D36" s="3600">
        <f>D37</f>
        <v>32.03</v>
      </c>
      <c r="E36" s="3564">
        <f t="shared" ref="E36:F36" si="49">E37</f>
        <v>32.03</v>
      </c>
      <c r="F36" s="3565" t="str">
        <f t="shared" si="49"/>
        <v>IE</v>
      </c>
      <c r="G36" s="3558" t="str">
        <f t="shared" si="3"/>
        <v>NA</v>
      </c>
      <c r="H36" s="3078">
        <f t="shared" si="4"/>
        <v>-9.5969403684046206</v>
      </c>
      <c r="I36" s="3078">
        <f t="shared" si="5"/>
        <v>-9.5969403684046206</v>
      </c>
      <c r="J36" s="3078" t="str">
        <f t="shared" si="6"/>
        <v>NA</v>
      </c>
      <c r="K36" s="3573" t="str">
        <f t="shared" si="7"/>
        <v>NA</v>
      </c>
      <c r="L36" s="3128" t="str">
        <f t="shared" si="8"/>
        <v>NA</v>
      </c>
      <c r="M36" s="3505" t="str">
        <f t="shared" ref="M36:S36" si="50">M37</f>
        <v>IE</v>
      </c>
      <c r="N36" s="3506">
        <f t="shared" si="50"/>
        <v>-307.39</v>
      </c>
      <c r="O36" s="3506">
        <f t="shared" si="50"/>
        <v>-307.39</v>
      </c>
      <c r="P36" s="3506" t="str">
        <f t="shared" si="50"/>
        <v>NA</v>
      </c>
      <c r="Q36" s="3601" t="str">
        <f t="shared" si="50"/>
        <v>NA</v>
      </c>
      <c r="R36" s="3601" t="str">
        <f t="shared" si="50"/>
        <v>NA</v>
      </c>
      <c r="S36" s="3287">
        <f t="shared" si="50"/>
        <v>1127.0966666666666</v>
      </c>
      <c r="U36" s="2402"/>
    </row>
    <row r="37" spans="2:21" ht="18" customHeight="1" x14ac:dyDescent="0.2">
      <c r="B37" s="1479"/>
      <c r="C37" s="885" t="s">
        <v>278</v>
      </c>
      <c r="D37" s="3600">
        <f>IF(SUM(E37:F37)=0,E37,SUM(E37:F37))</f>
        <v>32.03</v>
      </c>
      <c r="E37" s="3569">
        <v>32.03</v>
      </c>
      <c r="F37" s="3554" t="s">
        <v>2153</v>
      </c>
      <c r="G37" s="3622" t="str">
        <f t="shared" si="3"/>
        <v>NA</v>
      </c>
      <c r="H37" s="3591">
        <f t="shared" si="4"/>
        <v>-9.5969403684046206</v>
      </c>
      <c r="I37" s="3623">
        <f t="shared" si="5"/>
        <v>-9.5969403684046206</v>
      </c>
      <c r="J37" s="3591" t="str">
        <f t="shared" si="6"/>
        <v>NA</v>
      </c>
      <c r="K37" s="3591" t="str">
        <f t="shared" si="7"/>
        <v>NA</v>
      </c>
      <c r="L37" s="3595" t="str">
        <f t="shared" si="8"/>
        <v>NA</v>
      </c>
      <c r="M37" s="3624" t="s">
        <v>2153</v>
      </c>
      <c r="N37" s="3625">
        <v>-307.39</v>
      </c>
      <c r="O37" s="3109">
        <f t="shared" ref="O37" si="51">IF(SUM(M37:N37)=0,M37,SUM(M37:N37))</f>
        <v>-307.39</v>
      </c>
      <c r="P37" s="3625" t="s">
        <v>2147</v>
      </c>
      <c r="Q37" s="3626" t="s">
        <v>2147</v>
      </c>
      <c r="R37" s="3626" t="s">
        <v>2147</v>
      </c>
      <c r="S37" s="3570">
        <f t="shared" ref="S37" si="52">IF(SUM(O37:R37)=0,Q37,SUM(O37:R37)*-44/12)</f>
        <v>1127.0966666666666</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1144.4905197024511</v>
      </c>
      <c r="E10" s="3583">
        <f t="shared" ref="E10:F10" si="0">IF(SUM(E11,E13)=0,"IE",SUM(E11,E13))</f>
        <v>1096.863956295</v>
      </c>
      <c r="F10" s="3584">
        <f t="shared" si="0"/>
        <v>47.626563407451215</v>
      </c>
      <c r="G10" s="3582">
        <f>IFERROR(IF(SUM($D10)=0,"NA",M10/$D10),"NA")</f>
        <v>3.5185558322830134E-3</v>
      </c>
      <c r="H10" s="3583">
        <f t="shared" ref="H10:J10" si="1">IFERROR(IF(SUM($D10)=0,"NA",N10/$D10),"NA")</f>
        <v>-1.6435895136425216</v>
      </c>
      <c r="I10" s="3583">
        <f t="shared" si="1"/>
        <v>-1.6400709578102386</v>
      </c>
      <c r="J10" s="3583">
        <f t="shared" si="1"/>
        <v>3.1872250871844879E-2</v>
      </c>
      <c r="K10" s="3585">
        <f>IFERROR(IF(SUM(E10)=0,"NA",Q10/E10),"NA")</f>
        <v>-7.2930135507171548E-2</v>
      </c>
      <c r="L10" s="3584">
        <f>IFERROR(IF(SUM(F10)=0,"NA",R10/F10),"NA")</f>
        <v>1.6668412755638924</v>
      </c>
      <c r="M10" s="3586">
        <f>IF(SUM(M11,M13)=0,"IE",SUM(M11,M13))</f>
        <v>4.0269537930916766</v>
      </c>
      <c r="N10" s="3583">
        <f t="shared" ref="N10:S10" si="2">IF(SUM(N11,N13)=0,"IE",SUM(N11,N13))</f>
        <v>-1881.0726166462284</v>
      </c>
      <c r="O10" s="3587">
        <f t="shared" si="2"/>
        <v>-1877.0456628531367</v>
      </c>
      <c r="P10" s="3583">
        <f t="shared" si="2"/>
        <v>36.47748896440465</v>
      </c>
      <c r="Q10" s="3585">
        <f t="shared" si="2"/>
        <v>-79.994436965526646</v>
      </c>
      <c r="R10" s="3585">
        <f t="shared" si="2"/>
        <v>79.38592170080058</v>
      </c>
      <c r="S10" s="3588">
        <f t="shared" si="2"/>
        <v>6750.9811935626794</v>
      </c>
      <c r="U10" s="2261"/>
    </row>
    <row r="11" spans="2:21" ht="18" customHeight="1" x14ac:dyDescent="0.2">
      <c r="B11" s="493" t="s">
        <v>993</v>
      </c>
      <c r="C11" s="2256"/>
      <c r="D11" s="3589">
        <f>D12</f>
        <v>930.55595629499999</v>
      </c>
      <c r="E11" s="3078">
        <f t="shared" ref="E11:F11" si="3">E12</f>
        <v>930.55595629499999</v>
      </c>
      <c r="F11" s="3078" t="str">
        <f t="shared" si="3"/>
        <v>IE</v>
      </c>
      <c r="G11" s="3558">
        <f t="shared" ref="G11:G24" si="4">IFERROR(IF(SUM($D11)=0,"NA",M11/$D11),"NA")</f>
        <v>4.3274708692693301E-3</v>
      </c>
      <c r="H11" s="3078" t="str">
        <f t="shared" ref="H11:H24" si="5">IFERROR(IF(SUM($D11)=0,"NA",N11/$D11),"NA")</f>
        <v>NA</v>
      </c>
      <c r="I11" s="3078">
        <f t="shared" ref="I11:I24" si="6">IFERROR(IF(SUM($D11)=0,"NA",O11/$D11),"NA")</f>
        <v>4.3274708692693301E-3</v>
      </c>
      <c r="J11" s="3078">
        <f t="shared" ref="J11:J24" si="7">IFERROR(IF(SUM($D11)=0,"NA",P11/$D11),"NA")</f>
        <v>8.6549417385386616E-4</v>
      </c>
      <c r="K11" s="3573">
        <f t="shared" ref="K11:K24" si="8">IFERROR(IF(SUM(E11)=0,"NA",Q11/E11),"NA")</f>
        <v>3.4619766954154647E-3</v>
      </c>
      <c r="L11" s="3128" t="str">
        <f t="shared" ref="L11:L24" si="9">IFERROR(IF(SUM(F11)=0,"NA",R11/F11),"NA")</f>
        <v>NA</v>
      </c>
      <c r="M11" s="3590">
        <f t="shared" ref="M11:S11" si="10">M12</f>
        <v>4.0269537930916766</v>
      </c>
      <c r="N11" s="3591" t="str">
        <f t="shared" si="10"/>
        <v>IE</v>
      </c>
      <c r="O11" s="3592">
        <f t="shared" si="10"/>
        <v>4.0269537930916766</v>
      </c>
      <c r="P11" s="3591">
        <f t="shared" si="10"/>
        <v>0.80539075861833542</v>
      </c>
      <c r="Q11" s="3593">
        <f t="shared" si="10"/>
        <v>3.2215630344733417</v>
      </c>
      <c r="R11" s="3593" t="str">
        <f t="shared" si="10"/>
        <v>IE</v>
      </c>
      <c r="S11" s="3594">
        <f t="shared" si="10"/>
        <v>-29.530994482672295</v>
      </c>
      <c r="U11" s="2397"/>
    </row>
    <row r="12" spans="2:21" ht="18" customHeight="1" x14ac:dyDescent="0.2">
      <c r="B12" s="501"/>
      <c r="C12" s="885" t="s">
        <v>278</v>
      </c>
      <c r="D12" s="3600">
        <f>IF(SUM(E12:F12)=0,E12,SUM(E12:F12))</f>
        <v>930.55595629499999</v>
      </c>
      <c r="E12" s="3569">
        <v>930.55595629499999</v>
      </c>
      <c r="F12" s="3554" t="s">
        <v>2153</v>
      </c>
      <c r="G12" s="3558">
        <f t="shared" si="4"/>
        <v>4.3274708692693301E-3</v>
      </c>
      <c r="H12" s="3078" t="str">
        <f t="shared" si="5"/>
        <v>NA</v>
      </c>
      <c r="I12" s="3078">
        <f t="shared" si="6"/>
        <v>4.3274708692693301E-3</v>
      </c>
      <c r="J12" s="3078">
        <f t="shared" si="7"/>
        <v>8.6549417385386616E-4</v>
      </c>
      <c r="K12" s="3573">
        <f t="shared" si="8"/>
        <v>3.4619766954154647E-3</v>
      </c>
      <c r="L12" s="3128" t="str">
        <f t="shared" si="9"/>
        <v>NA</v>
      </c>
      <c r="M12" s="2905">
        <v>4.0269537930916766</v>
      </c>
      <c r="N12" s="2905" t="s">
        <v>2153</v>
      </c>
      <c r="O12" s="3109">
        <f>IF(SUM(M12:N12)=0,M12,SUM(M12:N12))</f>
        <v>4.0269537930916766</v>
      </c>
      <c r="P12" s="2905">
        <v>0.80539075861833542</v>
      </c>
      <c r="Q12" s="2906">
        <v>3.2215630344733417</v>
      </c>
      <c r="R12" s="2906" t="s">
        <v>2153</v>
      </c>
      <c r="S12" s="3570">
        <f>IF(SUM(O12:R12)=0,Q12,SUM(O12:R12)*-44/12)</f>
        <v>-29.530994482672295</v>
      </c>
      <c r="U12" s="2398"/>
    </row>
    <row r="13" spans="2:21" ht="18" customHeight="1" x14ac:dyDescent="0.2">
      <c r="B13" s="493" t="s">
        <v>994</v>
      </c>
      <c r="C13" s="504"/>
      <c r="D13" s="3589">
        <f>IF(SUM(D14,D17,D19,D21,D23)=0,"IE",SUM(D14,D17,D19,D21,D23))</f>
        <v>213.93456340745121</v>
      </c>
      <c r="E13" s="3591">
        <f t="shared" ref="E13:S13" si="11">IF(SUM(E14,E17,E19,E21,E23)=0,"IE",SUM(E14,E17,E19,E21,E23))</f>
        <v>166.30799999999999</v>
      </c>
      <c r="F13" s="3595">
        <f t="shared" si="11"/>
        <v>47.626563407451215</v>
      </c>
      <c r="G13" s="3558" t="str">
        <f t="shared" si="4"/>
        <v>NA</v>
      </c>
      <c r="H13" s="3078">
        <f t="shared" si="5"/>
        <v>-8.7927475891944251</v>
      </c>
      <c r="I13" s="3078">
        <f t="shared" si="6"/>
        <v>-8.7927475891944251</v>
      </c>
      <c r="J13" s="3078">
        <f t="shared" si="7"/>
        <v>0.16674303412042243</v>
      </c>
      <c r="K13" s="3573">
        <f t="shared" si="8"/>
        <v>-0.50037280227048608</v>
      </c>
      <c r="L13" s="3128">
        <f t="shared" si="9"/>
        <v>1.6668412755638924</v>
      </c>
      <c r="M13" s="3078" t="str">
        <f t="shared" si="11"/>
        <v>IE</v>
      </c>
      <c r="N13" s="3078">
        <f t="shared" si="11"/>
        <v>-1881.0726166462284</v>
      </c>
      <c r="O13" s="3078">
        <f t="shared" si="11"/>
        <v>-1881.0726166462284</v>
      </c>
      <c r="P13" s="3078">
        <f t="shared" si="11"/>
        <v>35.672098205786313</v>
      </c>
      <c r="Q13" s="3573">
        <f t="shared" si="11"/>
        <v>-83.215999999999994</v>
      </c>
      <c r="R13" s="3573">
        <f t="shared" si="11"/>
        <v>79.38592170080058</v>
      </c>
      <c r="S13" s="3570">
        <f t="shared" si="11"/>
        <v>6780.5121880453516</v>
      </c>
      <c r="U13" s="2019"/>
    </row>
    <row r="14" spans="2:21" ht="18" customHeight="1" x14ac:dyDescent="0.2">
      <c r="B14" s="495" t="s">
        <v>1101</v>
      </c>
      <c r="C14" s="504"/>
      <c r="D14" s="3599">
        <f>IF(SUM(D15:D16)=0,"IE",SUM(D15:D16))</f>
        <v>213.93456340745121</v>
      </c>
      <c r="E14" s="3564">
        <f t="shared" ref="E14:F14" si="12">IF(SUM(E15:E16)=0,"IE",SUM(E15:E16))</f>
        <v>166.30799999999999</v>
      </c>
      <c r="F14" s="3565">
        <f t="shared" si="12"/>
        <v>47.626563407451215</v>
      </c>
      <c r="G14" s="3558" t="str">
        <f t="shared" si="4"/>
        <v>NA</v>
      </c>
      <c r="H14" s="3078">
        <f t="shared" si="5"/>
        <v>-8.7927475891944251</v>
      </c>
      <c r="I14" s="3078">
        <f t="shared" si="6"/>
        <v>-8.7927475891944251</v>
      </c>
      <c r="J14" s="3078">
        <f t="shared" si="7"/>
        <v>0.16674303412042243</v>
      </c>
      <c r="K14" s="3573">
        <f t="shared" si="8"/>
        <v>-0.50037280227048608</v>
      </c>
      <c r="L14" s="3128">
        <f t="shared" si="9"/>
        <v>1.6668412755638924</v>
      </c>
      <c r="M14" s="3506" t="str">
        <f>IF(SUM(M15:M16)=0,"IE",SUM(M15:M16))</f>
        <v>IE</v>
      </c>
      <c r="N14" s="3506">
        <f t="shared" ref="N14:S14" si="13">IF(SUM(N15:N16)=0,"IE",SUM(N15:N16))</f>
        <v>-1881.0726166462284</v>
      </c>
      <c r="O14" s="3506">
        <f t="shared" si="13"/>
        <v>-1881.0726166462284</v>
      </c>
      <c r="P14" s="3506">
        <f t="shared" si="13"/>
        <v>35.672098205786313</v>
      </c>
      <c r="Q14" s="3601">
        <f t="shared" si="13"/>
        <v>-83.215999999999994</v>
      </c>
      <c r="R14" s="3601">
        <f t="shared" si="13"/>
        <v>79.38592170080058</v>
      </c>
      <c r="S14" s="3287">
        <f t="shared" si="13"/>
        <v>6780.5121880453516</v>
      </c>
      <c r="U14" s="2019"/>
    </row>
    <row r="15" spans="2:21" ht="18" customHeight="1" x14ac:dyDescent="0.2">
      <c r="B15" s="496"/>
      <c r="C15" s="508" t="s">
        <v>2235</v>
      </c>
      <c r="D15" s="3600">
        <f>IF(SUM(E15:F15)=0,E15,SUM(E15:F15))</f>
        <v>47.626563407451215</v>
      </c>
      <c r="E15" s="3569" t="s">
        <v>2146</v>
      </c>
      <c r="F15" s="3554">
        <v>47.626563407451215</v>
      </c>
      <c r="G15" s="3558" t="str">
        <f t="shared" si="4"/>
        <v>NA</v>
      </c>
      <c r="H15" s="3078">
        <f t="shared" si="5"/>
        <v>-21.673044259261793</v>
      </c>
      <c r="I15" s="3078">
        <f t="shared" si="6"/>
        <v>-21.673044259261793</v>
      </c>
      <c r="J15" s="3078">
        <f t="shared" si="7"/>
        <v>3.9589692120487361</v>
      </c>
      <c r="K15" s="3573" t="str">
        <f t="shared" si="8"/>
        <v>NA</v>
      </c>
      <c r="L15" s="3128">
        <f t="shared" si="9"/>
        <v>1.6668412755638924</v>
      </c>
      <c r="M15" s="2905" t="s">
        <v>2153</v>
      </c>
      <c r="N15" s="2905">
        <v>-1032.2126166462283</v>
      </c>
      <c r="O15" s="3109">
        <f>IF(SUM(M15:N15)=0,M15,SUM(M15:N15))</f>
        <v>-1032.2126166462283</v>
      </c>
      <c r="P15" s="2905">
        <v>188.55209820578631</v>
      </c>
      <c r="Q15" s="2906" t="s">
        <v>2146</v>
      </c>
      <c r="R15" s="2906">
        <v>79.38592170080058</v>
      </c>
      <c r="S15" s="3570">
        <f>IF(SUM(O15:R15)=0,Q15,SUM(O15:R15)*-44/12)</f>
        <v>2802.3401880453516</v>
      </c>
      <c r="U15" s="2019"/>
    </row>
    <row r="16" spans="2:21" ht="18" customHeight="1" x14ac:dyDescent="0.2">
      <c r="B16" s="494"/>
      <c r="C16" s="508" t="s">
        <v>2236</v>
      </c>
      <c r="D16" s="3600">
        <f>IF(SUM(E16:F16)=0,E16,SUM(E16:F16))</f>
        <v>166.30799999999999</v>
      </c>
      <c r="E16" s="3569">
        <v>166.30799999999999</v>
      </c>
      <c r="F16" s="3554" t="s">
        <v>2153</v>
      </c>
      <c r="G16" s="3558" t="str">
        <f t="shared" si="4"/>
        <v>NA</v>
      </c>
      <c r="H16" s="3078">
        <f t="shared" si="5"/>
        <v>-5.1041441181422433</v>
      </c>
      <c r="I16" s="3078">
        <f t="shared" si="6"/>
        <v>-5.1041441181422433</v>
      </c>
      <c r="J16" s="3078">
        <f t="shared" si="7"/>
        <v>-0.91925824374052967</v>
      </c>
      <c r="K16" s="3573">
        <f t="shared" si="8"/>
        <v>-0.50037280227048608</v>
      </c>
      <c r="L16" s="3128" t="str">
        <f t="shared" si="9"/>
        <v>NA</v>
      </c>
      <c r="M16" s="2905" t="s">
        <v>2153</v>
      </c>
      <c r="N16" s="2905">
        <v>-848.86000000000013</v>
      </c>
      <c r="O16" s="3109">
        <f>IF(SUM(M16:N16)=0,M16,SUM(M16:N16))</f>
        <v>-848.86000000000013</v>
      </c>
      <c r="P16" s="2905">
        <v>-152.88</v>
      </c>
      <c r="Q16" s="2906">
        <v>-83.215999999999994</v>
      </c>
      <c r="R16" s="2906" t="s">
        <v>2153</v>
      </c>
      <c r="S16" s="3570">
        <f>IF(SUM(O16:R16)=0,Q16,SUM(O16:R16)*-44/12)</f>
        <v>3978.1720000000005</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80.628751472216479</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80.628751472216479</v>
      </c>
    </row>
    <row r="270" spans="2:10" ht="18" customHeight="1" x14ac:dyDescent="0.2">
      <c r="B270" s="2827" t="s">
        <v>1187</v>
      </c>
      <c r="C270" s="2828"/>
      <c r="D270" s="2808"/>
      <c r="E270" s="2809"/>
      <c r="F270" s="2810"/>
      <c r="G270" s="2811"/>
      <c r="H270" s="2819" t="s">
        <v>2154</v>
      </c>
      <c r="I270" s="2815" t="s">
        <v>2154</v>
      </c>
      <c r="J270" s="3741">
        <f>J277</f>
        <v>38.054576938056108</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403.11140103043181</v>
      </c>
      <c r="E277" s="2755" t="s">
        <v>2147</v>
      </c>
      <c r="F277" s="2753" t="s">
        <v>2147</v>
      </c>
      <c r="G277" s="3735">
        <f>IF(SUM(D277)=0,"NA",J277*1000/D277)</f>
        <v>94.402135094123238</v>
      </c>
      <c r="H277" s="2778" t="str">
        <f t="shared" ref="H277:J277" si="1">H302</f>
        <v>NE</v>
      </c>
      <c r="I277" s="2777" t="str">
        <f t="shared" si="1"/>
        <v>NE</v>
      </c>
      <c r="J277" s="3734">
        <f t="shared" si="1"/>
        <v>38.054576938056108</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171.90258139310683</v>
      </c>
      <c r="E281" s="2755" t="str">
        <f t="shared" si="2"/>
        <v>NA</v>
      </c>
      <c r="F281" s="2753" t="str">
        <f t="shared" si="2"/>
        <v>NA</v>
      </c>
      <c r="G281" s="3735">
        <f t="shared" si="2"/>
        <v>113.18365227072346</v>
      </c>
      <c r="H281" s="2780" t="str">
        <f t="shared" ref="H281" si="3">H306</f>
        <v>NA</v>
      </c>
      <c r="I281" s="2758" t="str">
        <f t="shared" ref="I281:J281" si="4">I306</f>
        <v>NA</v>
      </c>
      <c r="J281" s="3744">
        <f t="shared" si="4"/>
        <v>19.456561996837138</v>
      </c>
    </row>
    <row r="282" spans="2:10" ht="18" customHeight="1" outlineLevel="1" x14ac:dyDescent="0.2">
      <c r="B282" s="2847" t="str">
        <f>B307</f>
        <v>Other Constructed Water Bodies</v>
      </c>
      <c r="C282" s="2835" t="str">
        <f t="shared" si="2"/>
        <v>Other Constructed Water Bodies</v>
      </c>
      <c r="D282" s="3729">
        <f t="shared" si="2"/>
        <v>231.20881963732501</v>
      </c>
      <c r="E282" s="2755" t="str">
        <f t="shared" si="2"/>
        <v>NA</v>
      </c>
      <c r="F282" s="2753" t="str">
        <f t="shared" si="2"/>
        <v>NA</v>
      </c>
      <c r="G282" s="3735">
        <f t="shared" si="2"/>
        <v>80.438172602549869</v>
      </c>
      <c r="H282" s="2845" t="str">
        <f t="shared" ref="H282" si="5">H307</f>
        <v>NA</v>
      </c>
      <c r="I282" s="2846" t="str">
        <f t="shared" ref="I282:J282" si="6">I307</f>
        <v>NA</v>
      </c>
      <c r="J282" s="3744">
        <f t="shared" si="6"/>
        <v>18.59801494121897</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38.054576938056108</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403.11140103043181</v>
      </c>
      <c r="E302" s="2755" t="s">
        <v>2147</v>
      </c>
      <c r="F302" s="2753" t="s">
        <v>2147</v>
      </c>
      <c r="G302" s="3735">
        <f>IF(SUM(D302)=0,"NA",J302*1000/D302)</f>
        <v>94.402135094123238</v>
      </c>
      <c r="H302" s="2778" t="s">
        <v>2154</v>
      </c>
      <c r="I302" s="2777" t="s">
        <v>2154</v>
      </c>
      <c r="J302" s="3734">
        <f t="shared" ref="J302" si="7">IF(SUM(J306:J307)=0,"NO",SUM(J306:J307))</f>
        <v>38.054576938056108</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171.90258139310683</v>
      </c>
      <c r="E306" s="2755" t="s">
        <v>2147</v>
      </c>
      <c r="F306" s="2753" t="s">
        <v>2147</v>
      </c>
      <c r="G306" s="3735">
        <f>IF(SUM(D306)=0,"NA",J306*1000/D306)</f>
        <v>113.18365227072346</v>
      </c>
      <c r="H306" s="2780" t="s">
        <v>2147</v>
      </c>
      <c r="I306" s="2758" t="s">
        <v>2147</v>
      </c>
      <c r="J306" s="3744">
        <v>19.456561996837138</v>
      </c>
    </row>
    <row r="307" spans="2:10" ht="18" customHeight="1" outlineLevel="2" x14ac:dyDescent="0.2">
      <c r="B307" s="2847" t="s">
        <v>2245</v>
      </c>
      <c r="C307" s="2835" t="s">
        <v>2245</v>
      </c>
      <c r="D307" s="3732">
        <v>231.20881963732501</v>
      </c>
      <c r="E307" s="2755" t="s">
        <v>2147</v>
      </c>
      <c r="F307" s="2753" t="s">
        <v>2147</v>
      </c>
      <c r="G307" s="3735">
        <f>IF(SUM(D307)=0,"NA",J307*1000/D307)</f>
        <v>80.438172602549869</v>
      </c>
      <c r="H307" s="2780" t="s">
        <v>2147</v>
      </c>
      <c r="I307" s="2758" t="s">
        <v>2147</v>
      </c>
      <c r="J307" s="3744">
        <v>18.59801494121897</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42.57417453416037</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217.29397573069292</v>
      </c>
      <c r="E327" s="2776" t="str">
        <f t="shared" ref="E327:J327" si="8">E331</f>
        <v>NA</v>
      </c>
      <c r="F327" s="2777" t="str">
        <f t="shared" si="8"/>
        <v>NA</v>
      </c>
      <c r="G327" s="3737">
        <f t="shared" si="8"/>
        <v>195.92892251612815</v>
      </c>
      <c r="H327" s="2778" t="str">
        <f t="shared" si="8"/>
        <v>IE</v>
      </c>
      <c r="I327" s="2777" t="str">
        <f t="shared" si="8"/>
        <v>NA</v>
      </c>
      <c r="J327" s="3734">
        <f t="shared" si="8"/>
        <v>42.57417453416037</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217.29397573069292</v>
      </c>
      <c r="E331" s="2755" t="str">
        <f t="shared" si="9"/>
        <v>NA</v>
      </c>
      <c r="F331" s="2753" t="str">
        <f t="shared" si="9"/>
        <v>NA</v>
      </c>
      <c r="G331" s="3735">
        <f t="shared" si="9"/>
        <v>195.92892251612815</v>
      </c>
      <c r="H331" s="2765" t="str">
        <f t="shared" si="9"/>
        <v>IE</v>
      </c>
      <c r="I331" s="2758" t="str">
        <f t="shared" si="9"/>
        <v>NA</v>
      </c>
      <c r="J331" s="3744">
        <f t="shared" si="9"/>
        <v>42.57417453416037</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42.57417453416037</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217.29397573069292</v>
      </c>
      <c r="E411" s="2776" t="str">
        <f t="shared" ref="E411:J411" si="10">E415</f>
        <v>NA</v>
      </c>
      <c r="F411" s="2777" t="str">
        <f t="shared" si="10"/>
        <v>NA</v>
      </c>
      <c r="G411" s="3737">
        <f t="shared" si="10"/>
        <v>195.92892251612815</v>
      </c>
      <c r="H411" s="2778" t="str">
        <f t="shared" si="10"/>
        <v>IE</v>
      </c>
      <c r="I411" s="2777" t="str">
        <f t="shared" si="10"/>
        <v>NA</v>
      </c>
      <c r="J411" s="3734">
        <f t="shared" si="10"/>
        <v>42.57417453416037</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217.29397573069292</v>
      </c>
      <c r="E415" s="2755" t="str">
        <f>E427</f>
        <v>NA</v>
      </c>
      <c r="F415" s="2753" t="str">
        <f>F427</f>
        <v>NA</v>
      </c>
      <c r="G415" s="3735">
        <f t="shared" ref="G415:J415" si="11">G427</f>
        <v>195.92892251612815</v>
      </c>
      <c r="H415" s="2780" t="str">
        <f t="shared" si="11"/>
        <v>IE</v>
      </c>
      <c r="I415" s="2758" t="str">
        <f t="shared" si="11"/>
        <v>NA</v>
      </c>
      <c r="J415" s="3744">
        <f t="shared" si="11"/>
        <v>42.57417453416037</v>
      </c>
    </row>
    <row r="416" spans="2:10" ht="18" customHeight="1" outlineLevel="2" x14ac:dyDescent="0.2">
      <c r="B416" s="2842" t="s">
        <v>1199</v>
      </c>
      <c r="C416" s="2828"/>
      <c r="D416" s="3731"/>
      <c r="E416" s="2809"/>
      <c r="F416" s="2810"/>
      <c r="G416" s="3738"/>
      <c r="H416" s="2819" t="s">
        <v>2154</v>
      </c>
      <c r="I416" s="2815" t="s">
        <v>2154</v>
      </c>
      <c r="J416" s="3741">
        <f>J423</f>
        <v>42.57417453416037</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217.29397573069292</v>
      </c>
      <c r="E423" s="2776" t="str">
        <f t="shared" ref="E423:J423" si="12">E427</f>
        <v>NA</v>
      </c>
      <c r="F423" s="2777" t="str">
        <f t="shared" si="12"/>
        <v>NA</v>
      </c>
      <c r="G423" s="3737">
        <f t="shared" si="12"/>
        <v>195.92892251612815</v>
      </c>
      <c r="H423" s="2778" t="str">
        <f t="shared" si="12"/>
        <v>IE</v>
      </c>
      <c r="I423" s="2777" t="str">
        <f t="shared" si="12"/>
        <v>NA</v>
      </c>
      <c r="J423" s="3734">
        <f t="shared" si="12"/>
        <v>42.57417453416037</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217.29397573069292</v>
      </c>
      <c r="E427" s="2755" t="s">
        <v>2147</v>
      </c>
      <c r="F427" s="2753" t="s">
        <v>2147</v>
      </c>
      <c r="G427" s="3735">
        <f>IF(SUM(D427)=0,"NA",J427*1000/D427)</f>
        <v>195.92892251612815</v>
      </c>
      <c r="H427" s="2780" t="s">
        <v>2153</v>
      </c>
      <c r="I427" s="2758" t="s">
        <v>2147</v>
      </c>
      <c r="J427" s="3744">
        <v>42.57417453416037</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656975.30917596817</v>
      </c>
      <c r="D10" s="4332">
        <f>IF(SUM(D11,D20,D28,D37,D46,D55)=0,"NO",SUM(D11,D20,D28,D37,D46,D55))</f>
        <v>60699.291895253511</v>
      </c>
      <c r="E10" s="4333">
        <f t="shared" ref="E10:E12" si="0">IF(SUM(C10)=0,"NA",G10/C10*1000/(44/28))</f>
        <v>1.7947343396485268E-3</v>
      </c>
      <c r="F10" s="4332">
        <f t="shared" ref="F10:F11" si="1">IF(SUM(D10)=0,"NA",H10/D10*1000/(44/28))</f>
        <v>7.4999999999999971E-3</v>
      </c>
      <c r="G10" s="4331">
        <f>IF(SUM(G11,G20,G28,G37,G46,G55)=0,"NO",SUM(G11,G20,G28,G37,G46,G55))</f>
        <v>1.8528653749246424</v>
      </c>
      <c r="H10" s="4334">
        <f>IF(SUM(H11,H20,H28,H37,H46,H55)=0,"NO",SUM(H11,H20,H28,H37,H46,H55))</f>
        <v>0.71538451162263039</v>
      </c>
      <c r="I10" s="4335">
        <f t="shared" ref="I10:I11" si="2">IF(SUM(G10:H10)=0,"NO",SUM(G10:H10))</f>
        <v>2.5682498865472727</v>
      </c>
    </row>
    <row r="11" spans="2:10" ht="18" customHeight="1" x14ac:dyDescent="0.2">
      <c r="B11" s="2848" t="s">
        <v>1901</v>
      </c>
      <c r="C11" s="4336">
        <f>IF(SUM(C12:C13)=0,"NO",SUM(C12:C13))</f>
        <v>134676.58590323053</v>
      </c>
      <c r="D11" s="4337">
        <f>IF(SUM(D12:D13)=0,"NO",SUM(D12:D13))</f>
        <v>24508.265549613025</v>
      </c>
      <c r="E11" s="4336">
        <f t="shared" si="0"/>
        <v>2.4447234717843149E-3</v>
      </c>
      <c r="F11" s="4337">
        <f t="shared" si="1"/>
        <v>7.4999999999999989E-3</v>
      </c>
      <c r="G11" s="4336">
        <f>IF(SUM(G12:G13)=0,"NO",SUM(G12:G13))</f>
        <v>0.51738815960449247</v>
      </c>
      <c r="H11" s="4338">
        <f>IF(SUM(H12:H13)=0,"NO",SUM(H12:H13))</f>
        <v>0.28884741540615344</v>
      </c>
      <c r="I11" s="4337">
        <f t="shared" si="2"/>
        <v>0.80623557501064591</v>
      </c>
    </row>
    <row r="12" spans="2:10" ht="18" customHeight="1" x14ac:dyDescent="0.2">
      <c r="B12" s="914" t="s">
        <v>1228</v>
      </c>
      <c r="C12" s="4339">
        <f>Table4.A!E11</f>
        <v>130865.426481979</v>
      </c>
      <c r="D12" s="4340">
        <f>H12/F12*1000/(44/28)</f>
        <v>14003.27658944038</v>
      </c>
      <c r="E12" s="4341">
        <f t="shared" si="0"/>
        <v>1.1266178510275296E-3</v>
      </c>
      <c r="F12" s="4342">
        <v>7.4999999999999997E-3</v>
      </c>
      <c r="G12" s="4339">
        <v>0.23168408301803026</v>
      </c>
      <c r="H12" s="4343">
        <v>0.16503861694697589</v>
      </c>
      <c r="I12" s="4344">
        <f>IF(SUM(G12:H12)=0,"NO",SUM(G12:H12))</f>
        <v>0.39672269996500614</v>
      </c>
    </row>
    <row r="13" spans="2:10" ht="18" customHeight="1" x14ac:dyDescent="0.2">
      <c r="B13" s="914" t="s">
        <v>1902</v>
      </c>
      <c r="C13" s="4345">
        <f>IF(SUM(C15:C19)=0,"NO",SUM(C15:C19))</f>
        <v>3811.159421251522</v>
      </c>
      <c r="D13" s="4344">
        <f>IF(SUM(D15:D19)=0,"NO",SUM(D15:D19))</f>
        <v>10504.988960172645</v>
      </c>
      <c r="E13" s="4345">
        <f>IF(SUM(C13)=0,"NA",G13/C13*1000/(44/28))</f>
        <v>4.7705085252186058E-2</v>
      </c>
      <c r="F13" s="4344">
        <f>IF(SUM(D13)=0,"NA",H13/D13*1000/(44/28))</f>
        <v>7.4999999999999997E-3</v>
      </c>
      <c r="G13" s="4345">
        <f>IF(SUM(G15:G19)=0,"NO",SUM(G15:G19))</f>
        <v>0.28570407658646219</v>
      </c>
      <c r="H13" s="4346">
        <f>IF(SUM(H15:H19)=0,"NO",SUM(H15:H19))</f>
        <v>0.12380879845917758</v>
      </c>
      <c r="I13" s="4344">
        <f>IF(SUM(G13:H13)=0,"NO",SUM(G13:H13))</f>
        <v>0.40951287504563977</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38.078000000000003</v>
      </c>
      <c r="D15" s="4340">
        <f>H15/F15*1000/(44/28)</f>
        <v>84.051340996773462</v>
      </c>
      <c r="E15" s="4345">
        <f>IF(SUM(C15)=0,"NA",G15/C15*1000/(44/28))</f>
        <v>5.1920619080133762E-2</v>
      </c>
      <c r="F15" s="4342">
        <v>7.4999999999999997E-3</v>
      </c>
      <c r="G15" s="4350">
        <v>3.1067666666666667E-3</v>
      </c>
      <c r="H15" s="4351">
        <v>9.9060509031911577E-4</v>
      </c>
      <c r="I15" s="4344">
        <f>IF(SUM(G15:H15)=0,"NO",SUM(G15:H15))</f>
        <v>4.097371756985782E-3</v>
      </c>
    </row>
    <row r="16" spans="2:10" ht="18" customHeight="1" x14ac:dyDescent="0.2">
      <c r="B16" s="528" t="s">
        <v>1230</v>
      </c>
      <c r="C16" s="4350">
        <f>Table4.A!E19</f>
        <v>3756.2784212515221</v>
      </c>
      <c r="D16" s="4340">
        <f>H16/F16*1000/(44/28)</f>
        <v>10352.379156839597</v>
      </c>
      <c r="E16" s="4345">
        <f t="shared" ref="E16:E21" si="3">IF(SUM(C16)=0,"NA",G16/C16*1000/(44/28))</f>
        <v>4.7453999706732662E-2</v>
      </c>
      <c r="F16" s="4342">
        <v>7.4999999999999997E-3</v>
      </c>
      <c r="G16" s="4350">
        <v>0.28010782658646222</v>
      </c>
      <c r="H16" s="4351">
        <v>0.12201018291989522</v>
      </c>
      <c r="I16" s="4344">
        <f t="shared" ref="I16:I21" si="4">IF(SUM(G16:H16)=0,"NO",SUM(G16:H16))</f>
        <v>0.40211800950635745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16.803000000000001</v>
      </c>
      <c r="D18" s="4340">
        <f>H18/F18*1000/(44/28)</f>
        <v>68.55846233627453</v>
      </c>
      <c r="E18" s="4345">
        <f t="shared" si="3"/>
        <v>9.4281775079846863E-2</v>
      </c>
      <c r="F18" s="4342">
        <v>7.4999999999999997E-3</v>
      </c>
      <c r="G18" s="4350">
        <v>2.4894833333333334E-3</v>
      </c>
      <c r="H18" s="4351">
        <v>8.0801044896323558E-4</v>
      </c>
      <c r="I18" s="4344">
        <f t="shared" si="4"/>
        <v>3.297493782296569E-3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1980.1020000000001</v>
      </c>
      <c r="D20" s="4360">
        <f>D21</f>
        <v>2761.1171332629779</v>
      </c>
      <c r="E20" s="4359">
        <f t="shared" si="3"/>
        <v>2.673844579723671E-2</v>
      </c>
      <c r="F20" s="4360">
        <f t="shared" si="5"/>
        <v>7.4999999999999997E-3</v>
      </c>
      <c r="G20" s="4359">
        <f>G21</f>
        <v>8.3199049999999997E-2</v>
      </c>
      <c r="H20" s="4361">
        <f>H21</f>
        <v>3.2541737642027953E-2</v>
      </c>
      <c r="I20" s="4360">
        <f t="shared" si="4"/>
        <v>0.11574078764202794</v>
      </c>
    </row>
    <row r="21" spans="2:9" ht="18" customHeight="1" x14ac:dyDescent="0.2">
      <c r="B21" s="914" t="s">
        <v>1904</v>
      </c>
      <c r="C21" s="4345">
        <f>IF(SUM(C23:C27)=0,"NO",SUM(C23:C27))</f>
        <v>1980.1020000000001</v>
      </c>
      <c r="D21" s="4344">
        <f>IF(SUM(D23:D27)=0,"NO",SUM(D23:D27))</f>
        <v>2761.1171332629779</v>
      </c>
      <c r="E21" s="4345">
        <f t="shared" si="3"/>
        <v>2.673844579723671E-2</v>
      </c>
      <c r="F21" s="4344">
        <f t="shared" si="5"/>
        <v>7.4999999999999997E-3</v>
      </c>
      <c r="G21" s="4345">
        <f>IF(SUM(G23:G27)=0,"NO",SUM(G23:G27))</f>
        <v>8.3199049999999997E-2</v>
      </c>
      <c r="H21" s="4346">
        <f>IF(SUM(H23:H27)=0,"NO",SUM(H23:H27))</f>
        <v>3.2541737642027953E-2</v>
      </c>
      <c r="I21" s="4344">
        <f t="shared" si="4"/>
        <v>0.11574078764202794</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1980.1020000000001</v>
      </c>
      <c r="D23" s="4340">
        <f>H23/F23*1000/(44/28)</f>
        <v>2761.1171332629779</v>
      </c>
      <c r="E23" s="4345">
        <f>IF(SUM(C23)=0,"NA",G23/C23*1000/(44/28))</f>
        <v>2.673844579723671E-2</v>
      </c>
      <c r="F23" s="4342">
        <v>7.4999999999999997E-3</v>
      </c>
      <c r="G23" s="4350">
        <v>8.3199049999999997E-2</v>
      </c>
      <c r="H23" s="4351">
        <v>3.2541737642027953E-2</v>
      </c>
      <c r="I23" s="4344">
        <f>IF(SUM(G23:H23)=0,"NO",SUM(G23:H23))</f>
        <v>0.11574078764202794</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519221.75731644261</v>
      </c>
      <c r="D28" s="4337">
        <f>IF(SUM(D29:D30)=0,"NO",SUM(D29:D30))</f>
        <v>33006.774609747343</v>
      </c>
      <c r="E28" s="4336">
        <f t="shared" si="6"/>
        <v>1.5157523631455447E-3</v>
      </c>
      <c r="F28" s="4337">
        <f t="shared" si="7"/>
        <v>7.4999999999999997E-3</v>
      </c>
      <c r="G28" s="4336">
        <f>IF(SUM(G29:G30)=0,"NO",SUM(G29:G30))</f>
        <v>1.2367325231626836</v>
      </c>
      <c r="H28" s="4338">
        <f>IF(SUM(H29:H30)=0,"NO",SUM(H29:H30))</f>
        <v>0.38900841504345079</v>
      </c>
      <c r="I28" s="4360">
        <f t="shared" si="8"/>
        <v>1.6257409382061343</v>
      </c>
    </row>
    <row r="29" spans="2:9" ht="18" customHeight="1" x14ac:dyDescent="0.2">
      <c r="B29" s="914" t="s">
        <v>1239</v>
      </c>
      <c r="C29" s="4339">
        <f>Table4.C!E11</f>
        <v>511704.19129256392</v>
      </c>
      <c r="D29" s="4340">
        <f>H29/F29*1000/(44/28)</f>
        <v>26645.520343422424</v>
      </c>
      <c r="E29" s="4341">
        <f t="shared" si="6"/>
        <v>1.2087851377339091E-3</v>
      </c>
      <c r="F29" s="4342">
        <v>7.4999999999999997E-3</v>
      </c>
      <c r="G29" s="4339">
        <v>0.97199209069380066</v>
      </c>
      <c r="H29" s="4343">
        <v>0.31403648976176424</v>
      </c>
      <c r="I29" s="4344">
        <f t="shared" si="8"/>
        <v>1.2860285804555649</v>
      </c>
    </row>
    <row r="30" spans="2:9" ht="18" customHeight="1" x14ac:dyDescent="0.2">
      <c r="B30" s="914" t="s">
        <v>1906</v>
      </c>
      <c r="C30" s="4345">
        <f>IF(SUM(C32:C36)=0,"NO",SUM(C32:C36))</f>
        <v>7517.5660238786713</v>
      </c>
      <c r="D30" s="4344">
        <f>IF(SUM(D32:D36)=0,"NO",SUM(D32:D36))</f>
        <v>6361.2542663249214</v>
      </c>
      <c r="E30" s="4345">
        <f>IF(SUM(C30)=0,"NA",G30/C30*1000/(44/28))</f>
        <v>2.2410336505625746E-2</v>
      </c>
      <c r="F30" s="4344">
        <f>IF(SUM(D30)=0,"NA",H30/D30*1000/(44/28))</f>
        <v>7.4999999999999997E-3</v>
      </c>
      <c r="G30" s="4345">
        <f>IF(SUM(G32:G36)=0,"NO",SUM(G32:G36))</f>
        <v>0.26474043246888285</v>
      </c>
      <c r="H30" s="4346">
        <f>IF(SUM(H32:H36)=0,"NO",SUM(H32:H36))</f>
        <v>7.4971925281686572E-2</v>
      </c>
      <c r="I30" s="4344">
        <f t="shared" si="8"/>
        <v>0.3397123577505694</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7517.5660238786713</v>
      </c>
      <c r="D32" s="4340">
        <f>H32/F32*1000/(44/28)</f>
        <v>6361.2542663249214</v>
      </c>
      <c r="E32" s="4345">
        <f>IF(SUM(C32)=0,"NA",G32/C32*1000/(44/28))</f>
        <v>2.2410336505625746E-2</v>
      </c>
      <c r="F32" s="4342">
        <v>7.4999999999999997E-3</v>
      </c>
      <c r="G32" s="4350">
        <v>0.26474043246888285</v>
      </c>
      <c r="H32" s="4351">
        <v>7.4971925281686572E-2</v>
      </c>
      <c r="I32" s="4344">
        <f t="shared" si="8"/>
        <v>0.3397123577505694</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1096.863956295</v>
      </c>
      <c r="D46" s="4337">
        <f>IF(SUM(D47:D48)=0,"NO",SUM(D47:D48))</f>
        <v>423.13460263016015</v>
      </c>
      <c r="E46" s="4336">
        <f t="shared" si="11"/>
        <v>9.0190595799581816E-3</v>
      </c>
      <c r="F46" s="4337">
        <f t="shared" si="12"/>
        <v>7.4999999999999997E-3</v>
      </c>
      <c r="G46" s="4336">
        <f>IF(SUM(G47:G48)=0,"NO",SUM(G47:G48))</f>
        <v>1.5545642157466538E-2</v>
      </c>
      <c r="H46" s="4338">
        <f>IF(SUM(H47:H48)=0,"NO",SUM(H47:H48))</f>
        <v>4.9869435309983154E-3</v>
      </c>
      <c r="I46" s="4337">
        <f t="shared" si="8"/>
        <v>2.0532585688464854E-2</v>
      </c>
    </row>
    <row r="47" spans="2:9" ht="18" customHeight="1" x14ac:dyDescent="0.2">
      <c r="B47" s="914" t="s">
        <v>1251</v>
      </c>
      <c r="C47" s="4339">
        <f>Table4.E!E11</f>
        <v>930.55595629499999</v>
      </c>
      <c r="D47" s="4340">
        <f>H47/F47*1000/(44/28)</f>
        <v>12.269666461763199</v>
      </c>
      <c r="E47" s="4341">
        <f t="shared" si="11"/>
        <v>1.9789034539427532E-4</v>
      </c>
      <c r="F47" s="4342">
        <v>7.4999999999999997E-3</v>
      </c>
      <c r="G47" s="4339">
        <v>2.8937549079987072E-4</v>
      </c>
      <c r="H47" s="4343">
        <v>1.4460678329935201E-4</v>
      </c>
      <c r="I47" s="4344">
        <f t="shared" si="8"/>
        <v>4.3398227409922272E-4</v>
      </c>
    </row>
    <row r="48" spans="2:9" ht="18" customHeight="1" x14ac:dyDescent="0.2">
      <c r="B48" s="914" t="s">
        <v>1910</v>
      </c>
      <c r="C48" s="4345">
        <f>IF(SUM(C50:C54)=0,"NO",SUM(C50:C54))</f>
        <v>166.30799999999999</v>
      </c>
      <c r="D48" s="4344">
        <f>IF(SUM(D50:D54)=0,"NO",SUM(D50:D54))</f>
        <v>410.86493616839692</v>
      </c>
      <c r="E48" s="4345">
        <f>IF(SUM(C48)=0,"NA",G48/C48*1000/(44/28))</f>
        <v>5.837682693155672E-2</v>
      </c>
      <c r="F48" s="4344">
        <f>IF(SUM(D48)=0,"NA",H48/D48*1000/(44/28))</f>
        <v>7.4999999999999997E-3</v>
      </c>
      <c r="G48" s="4345">
        <f>IF(SUM(G50:G54)=0,"NO",SUM(G50:G54))</f>
        <v>1.5256266666666667E-2</v>
      </c>
      <c r="H48" s="4346">
        <f>IF(SUM(H50:H54)=0,"NO",SUM(H50:H54))</f>
        <v>4.8423367476989635E-3</v>
      </c>
      <c r="I48" s="4344">
        <f t="shared" si="8"/>
        <v>2.0098603414365632E-2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166.30799999999999</v>
      </c>
      <c r="D50" s="4340">
        <f>H50/F50*1000/(44/28)</f>
        <v>410.86493616839692</v>
      </c>
      <c r="E50" s="4345">
        <f>IF(SUM(C50)=0,"NA",G50/C50*1000/(44/28))</f>
        <v>5.837682693155672E-2</v>
      </c>
      <c r="F50" s="4342">
        <v>7.4999999999999997E-3</v>
      </c>
      <c r="G50" s="4350">
        <v>1.5256266666666667E-2</v>
      </c>
      <c r="H50" s="4351">
        <v>4.8423367476989635E-3</v>
      </c>
      <c r="I50" s="4344">
        <f t="shared" si="8"/>
        <v>2.0098603414365632E-2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3548880.1374166831</v>
      </c>
      <c r="D10" s="3076" t="s">
        <v>1814</v>
      </c>
      <c r="E10" s="628"/>
      <c r="F10" s="628"/>
      <c r="G10" s="628"/>
      <c r="H10" s="1913">
        <f>IF(SUM(H11:H15)=0,"NO",SUM(H11:H15))</f>
        <v>253935.97573652308</v>
      </c>
      <c r="I10" s="1913">
        <f t="shared" ref="I10:K10" si="0">IF(SUM(I11:I16)=0,"NO",SUM(I11:I16))</f>
        <v>134.01977686044222</v>
      </c>
      <c r="J10" s="1913">
        <f t="shared" si="0"/>
        <v>6.5736259448986498</v>
      </c>
      <c r="K10" s="3085" t="str">
        <f t="shared" si="0"/>
        <v>NO</v>
      </c>
    </row>
    <row r="11" spans="2:11" ht="18" customHeight="1" x14ac:dyDescent="0.2">
      <c r="B11" s="282" t="s">
        <v>132</v>
      </c>
      <c r="C11" s="3086">
        <f>IF(SUM(C18,'Table1.A(a)s2'!C11,'Table1.A(a)s3'!C11,'Table1.A(a)s4'!C11,'Table1.A(a)s4'!C94)=0,"NO",SUM(C18,'Table1.A(a)s2'!C11,'Table1.A(a)s3'!C11,'Table1.A(a)s4'!C11,'Table1.A(a)s4'!C94))</f>
        <v>1260400.4596642591</v>
      </c>
      <c r="D11" s="3077" t="s">
        <v>2145</v>
      </c>
      <c r="E11" s="1913">
        <f>IFERROR(H11*1000/$C11,"NA")</f>
        <v>68.025206073166117</v>
      </c>
      <c r="F11" s="1913">
        <f t="shared" ref="F11:G16" si="1">IFERROR(I11*1000000/$C11,"NA")</f>
        <v>22.188092185100871</v>
      </c>
      <c r="G11" s="1913">
        <f t="shared" si="1"/>
        <v>3.1513561574256848</v>
      </c>
      <c r="H11" s="1913">
        <f>IF(SUM(H18,'Table1.A(a)s2'!H11,'Table1.A(a)s3'!H11,'Table1.A(a)s4'!H11,'Table1.A(a)s4'!H94)=0,"NO",SUM(H18,'Table1.A(a)s2'!H11,'Table1.A(a)s3'!H11,'Table1.A(a)s4'!H11,'Table1.A(a)s4'!H94))</f>
        <v>85739.00100337452</v>
      </c>
      <c r="I11" s="1913">
        <f>IF(SUM(I18,'Table1.A(a)s2'!I11,'Table1.A(a)s3'!I11,'Table1.A(a)s4'!I11,'Table1.A(a)s4'!I94)=0,"NO",SUM(I18,'Table1.A(a)s2'!I11,'Table1.A(a)s3'!I11,'Table1.A(a)s4'!I11,'Table1.A(a)s4'!I94))</f>
        <v>27.965881589174092</v>
      </c>
      <c r="J11" s="1913">
        <f>IF(SUM(J18,'Table1.A(a)s2'!J11,'Table1.A(a)s3'!J11,'Table1.A(a)s4'!J11,'Table1.A(a)s4'!J94)=0,"NO",SUM(J18,'Table1.A(a)s2'!J11,'Table1.A(a)s3'!J11,'Table1.A(a)s4'!J11,'Table1.A(a)s4'!J94))</f>
        <v>3.9719707493851262</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1491051.59171932</v>
      </c>
      <c r="D12" s="3077" t="s">
        <v>1814</v>
      </c>
      <c r="E12" s="1913">
        <f t="shared" ref="E12:E16" si="2">IFERROR(H12*1000/$C12,"NA")</f>
        <v>91.34733470087636</v>
      </c>
      <c r="F12" s="1913">
        <f t="shared" si="1"/>
        <v>0.68654892768946429</v>
      </c>
      <c r="G12" s="1913">
        <f t="shared" si="1"/>
        <v>0.90580445296267242</v>
      </c>
      <c r="H12" s="1913">
        <f>IF(SUM(H19,'Table1.A(a)s2'!H12,'Table1.A(a)s3'!H12,'Table1.A(a)s4'!H12,'Table1.A(a)s4'!H95)=0,"NO",SUM(H19,'Table1.A(a)s2'!H12,'Table1.A(a)s3'!H12,'Table1.A(a)s4'!H12,'Table1.A(a)s4'!H95))</f>
        <v>136203.58880505917</v>
      </c>
      <c r="I12" s="1913">
        <f>IF(SUM(I19,'Table1.A(a)s2'!I12,'Table1.A(a)s3'!I12,'Table1.A(a)s4'!I12,'Table1.A(a)s4'!I95)=0,"NO",SUM(I19,'Table1.A(a)s2'!I12,'Table1.A(a)s3'!I12,'Table1.A(a)s4'!I12,'Table1.A(a)s4'!I95))</f>
        <v>1.0236798714245681</v>
      </c>
      <c r="J12" s="1913">
        <f>IF(SUM(J19,'Table1.A(a)s2'!J12,'Table1.A(a)s3'!J12,'Table1.A(a)s4'!J12,'Table1.A(a)s4'!J95)=0,"NO",SUM(J19,'Table1.A(a)s2'!J12,'Table1.A(a)s3'!J12,'Table1.A(a)s4'!J12,'Table1.A(a)s4'!J95))</f>
        <v>1.3506011713764408</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615632.88361668459</v>
      </c>
      <c r="D13" s="3077" t="s">
        <v>2145</v>
      </c>
      <c r="E13" s="1913">
        <f t="shared" si="2"/>
        <v>51.420625272635988</v>
      </c>
      <c r="F13" s="1913">
        <f t="shared" si="1"/>
        <v>8.3894180383083938</v>
      </c>
      <c r="G13" s="1913">
        <f t="shared" si="1"/>
        <v>0.73415340497565251</v>
      </c>
      <c r="H13" s="1913">
        <f>IF(SUM(H20,'Table1.A(a)s2'!H13,'Table1.A(a)s3'!H13,'Table1.A(a)s4'!H13,'Table1.A(a)s4'!H96)=0,"NO",SUM(H20,'Table1.A(a)s2'!H13,'Table1.A(a)s3'!H13,'Table1.A(a)s4'!H13,'Table1.A(a)s4'!H96))</f>
        <v>31656.227813965859</v>
      </c>
      <c r="I13" s="1913">
        <f>IF(SUM(I20,'Table1.A(a)s2'!I13,'Table1.A(a)s3'!I13,'Table1.A(a)s4'!I13,'Table1.A(a)s4'!I96)=0,"NO",SUM(I20,'Table1.A(a)s2'!I13,'Table1.A(a)s3'!I13,'Table1.A(a)s4'!I13,'Table1.A(a)s4'!I96))</f>
        <v>5.1648016187896255</v>
      </c>
      <c r="J13" s="1913">
        <f>IF(SUM(J20,'Table1.A(a)s2'!J13,'Table1.A(a)s3'!J13,'Table1.A(a)s4'!J13,'Table1.A(a)s4'!J96)=0,"NO",SUM(J20,'Table1.A(a)s2'!J13,'Table1.A(a)s3'!J13,'Table1.A(a)s4'!J13,'Table1.A(a)s4'!J96))</f>
        <v>0.4519689777221686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3749.8924164192526</v>
      </c>
      <c r="D14" s="3077" t="s">
        <v>2145</v>
      </c>
      <c r="E14" s="1913">
        <f t="shared" si="2"/>
        <v>89.91140989732213</v>
      </c>
      <c r="F14" s="1913">
        <f t="shared" si="1"/>
        <v>31.83024650983883</v>
      </c>
      <c r="G14" s="1913">
        <f t="shared" si="1"/>
        <v>0.99469520343246343</v>
      </c>
      <c r="H14" s="1913">
        <f>IF(SUM(H21,'Table1.A(a)s2'!H14,'Table1.A(a)s3'!H14,'Table1.A(a)s4'!H14,'Table1.A(a)s4'!H97)=0,"NO",SUM(H21,'Table1.A(a)s2'!H14,'Table1.A(a)s3'!H14,'Table1.A(a)s4'!H14,'Table1.A(a)s4'!H97))</f>
        <v>337.15811412353122</v>
      </c>
      <c r="I14" s="1913">
        <f>IF(SUM(I21,'Table1.A(a)s2'!I14,'Table1.A(a)s3'!I14,'Table1.A(a)s4'!I14,'Table1.A(a)s4'!I97)=0,"NO",SUM(I21,'Table1.A(a)s2'!I14,'Table1.A(a)s3'!I14,'Table1.A(a)s4'!I14,'Table1.A(a)s4'!I97))</f>
        <v>0.11936000000000001</v>
      </c>
      <c r="J14" s="1913">
        <f>IF(SUM(J21,'Table1.A(a)s2'!J14,'Table1.A(a)s3'!J14,'Table1.A(a)s4'!J14,'Table1.A(a)s4'!J97)=0,"NO",SUM(J21,'Table1.A(a)s2'!J14,'Table1.A(a)s3'!J14,'Table1.A(a)s4'!J14,'Table1.A(a)s4'!J97))</f>
        <v>3.7300000000000002E-3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178045.31</v>
      </c>
      <c r="D16" s="3079" t="s">
        <v>2145</v>
      </c>
      <c r="E16" s="2880">
        <f t="shared" si="2"/>
        <v>84.348878496153603</v>
      </c>
      <c r="F16" s="1913">
        <f t="shared" si="1"/>
        <v>560.22848218273157</v>
      </c>
      <c r="G16" s="1913">
        <f t="shared" si="1"/>
        <v>4.4671496621557454</v>
      </c>
      <c r="H16" s="2880">
        <f>IF(SUM(H23,'Table1.A(a)s2'!H16,'Table1.A(a)s3'!H15,'Table1.A(a)s4'!H16,'Table1.A(a)s4'!H99)=0,"NO",SUM(H23,'Table1.A(a)s2'!H16,'Table1.A(a)s3'!H15,'Table1.A(a)s4'!H16,'Table1.A(a)s4'!H99))</f>
        <v>15017.92222</v>
      </c>
      <c r="I16" s="2880">
        <f>IF(SUM(I23,'Table1.A(a)s2'!I16,'Table1.A(a)s3'!I15,'Table1.A(a)s4'!I16,'Table1.A(a)s4'!I99)=0,"NO",SUM(I23,'Table1.A(a)s2'!I16,'Table1.A(a)s3'!I15,'Table1.A(a)s4'!I16,'Table1.A(a)s4'!I99))</f>
        <v>99.746053781053917</v>
      </c>
      <c r="J16" s="2880">
        <f>IF(SUM(J23,'Table1.A(a)s2'!J16,'Table1.A(a)s3'!J15,'Table1.A(a)s4'!J16,'Table1.A(a)s4'!J99)=0,"NO",SUM(J23,'Table1.A(a)s2'!J16,'Table1.A(a)s3'!J15,'Table1.A(a)s4'!J16,'Table1.A(a)s4'!J99))</f>
        <v>0.79535504641491483</v>
      </c>
      <c r="K16" s="3066" t="str">
        <f>IF(SUM(K23,'Table1.A(a)s2'!K16,'Table1.A(a)s3'!K15,'Table1.A(a)s4'!K16,'Table1.A(a)s4'!K99)=0,"NO",SUM(K23,'Table1.A(a)s2'!K16,'Table1.A(a)s3'!K15,'Table1.A(a)s4'!K16,'Table1.A(a)s4'!K99))</f>
        <v>NO</v>
      </c>
    </row>
    <row r="17" spans="2:12" ht="18" customHeight="1" x14ac:dyDescent="0.2">
      <c r="B17" s="2184" t="s">
        <v>76</v>
      </c>
      <c r="C17" s="3067">
        <f>IF(SUM(C18:C23)=0,"NO",SUM(C18:C23))</f>
        <v>1724416.7267173463</v>
      </c>
      <c r="D17" s="3080" t="s">
        <v>1814</v>
      </c>
      <c r="E17" s="3081"/>
      <c r="F17" s="3081"/>
      <c r="G17" s="3081"/>
      <c r="H17" s="3067">
        <f>IF(SUM(H18:H22)=0,"NO",SUM(H18:H22))</f>
        <v>145798.89301365922</v>
      </c>
      <c r="I17" s="3067">
        <f t="shared" ref="I17" si="3">IF(SUM(I18:I23)=0,"NO",SUM(I18:I23))</f>
        <v>5.9268696876790408</v>
      </c>
      <c r="J17" s="3067">
        <f t="shared" ref="J17" si="4">IF(SUM(J18:J23)=0,"NO",SUM(J18:J23))</f>
        <v>1.6290682412384687</v>
      </c>
      <c r="K17" s="3068" t="str">
        <f t="shared" ref="K17" si="5">IF(SUM(K18:K23)=0,"NO",SUM(K18:K23))</f>
        <v>NO</v>
      </c>
    </row>
    <row r="18" spans="2:12" ht="18" customHeight="1" x14ac:dyDescent="0.2">
      <c r="B18" s="282" t="s">
        <v>132</v>
      </c>
      <c r="C18" s="3086">
        <f>IF(SUM(C25,C54,C61)=0,"NO",SUM(C25,C54,C61))</f>
        <v>135428.88882439988</v>
      </c>
      <c r="D18" s="3077" t="s">
        <v>1814</v>
      </c>
      <c r="E18" s="1913">
        <f>IFERROR(H18*1000/$C18,"NA")</f>
        <v>67.847638343277595</v>
      </c>
      <c r="F18" s="1913">
        <f t="shared" ref="F18:G23" si="6">IFERROR(I18*1000000/$C18,"NA")</f>
        <v>1.546891986418429</v>
      </c>
      <c r="G18" s="1913">
        <f t="shared" si="6"/>
        <v>0.77490640893379592</v>
      </c>
      <c r="H18" s="3086">
        <f>IF(SUM(H25,H54,H61)=0,"NO",SUM(H25,H54,H61))</f>
        <v>9188.5302701898308</v>
      </c>
      <c r="I18" s="3086">
        <f>IF(SUM(I25,I54,I61)=0,"NO",SUM(I25,I54,I61))</f>
        <v>0.20949386285201649</v>
      </c>
      <c r="J18" s="3086">
        <f>IF(SUM(J25,J54,J61)=0,"NO",SUM(J25,J54,J61))</f>
        <v>0.10494471390481</v>
      </c>
      <c r="K18" s="3069" t="str">
        <f>IF(SUM(K25,K54,K61)=0,"NO",SUM(K25,K54,K61))</f>
        <v>NO</v>
      </c>
      <c r="L18" s="19"/>
    </row>
    <row r="19" spans="2:12" ht="18" customHeight="1" x14ac:dyDescent="0.2">
      <c r="B19" s="282" t="s">
        <v>133</v>
      </c>
      <c r="C19" s="3086">
        <f t="shared" ref="C19:C23" si="7">IF(SUM(C26,C55,C62)=0,"NO",SUM(C26,C55,C62))</f>
        <v>1353824.2648588549</v>
      </c>
      <c r="D19" s="3077" t="s">
        <v>1814</v>
      </c>
      <c r="E19" s="1913">
        <f t="shared" ref="E19:E23" si="8">IFERROR(H19*1000/$C19,"NA")</f>
        <v>92.401796803820403</v>
      </c>
      <c r="F19" s="1913">
        <f t="shared" si="6"/>
        <v>0.6581990373101344</v>
      </c>
      <c r="G19" s="1913">
        <f t="shared" si="6"/>
        <v>0.92694370619528987</v>
      </c>
      <c r="H19" s="3086">
        <f t="shared" ref="H19:K23" si="9">IF(SUM(H26,H55,H62)=0,"NO",SUM(H26,H55,H62))</f>
        <v>125095.79462956944</v>
      </c>
      <c r="I19" s="3086">
        <f t="shared" si="9"/>
        <v>0.89108582781719869</v>
      </c>
      <c r="J19" s="3086">
        <f t="shared" si="9"/>
        <v>1.2549188816053807</v>
      </c>
      <c r="K19" s="3069" t="str">
        <f t="shared" si="9"/>
        <v>NO</v>
      </c>
      <c r="L19" s="19"/>
    </row>
    <row r="20" spans="2:12" ht="18" customHeight="1" x14ac:dyDescent="0.2">
      <c r="B20" s="282" t="s">
        <v>134</v>
      </c>
      <c r="C20" s="3086">
        <f t="shared" si="7"/>
        <v>224272.88472877358</v>
      </c>
      <c r="D20" s="3077" t="s">
        <v>1814</v>
      </c>
      <c r="E20" s="1913">
        <f t="shared" si="8"/>
        <v>51.341775568746179</v>
      </c>
      <c r="F20" s="1913">
        <f t="shared" si="6"/>
        <v>21.010997729864808</v>
      </c>
      <c r="G20" s="1913">
        <f t="shared" si="6"/>
        <v>0.87661090757323534</v>
      </c>
      <c r="H20" s="3086">
        <f t="shared" si="9"/>
        <v>11514.568113899975</v>
      </c>
      <c r="I20" s="3086">
        <f t="shared" si="9"/>
        <v>4.7121970719064938</v>
      </c>
      <c r="J20" s="3086">
        <f t="shared" si="9"/>
        <v>0.19660005702615779</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10890.688305318037</v>
      </c>
      <c r="D23" s="3077" t="s">
        <v>1814</v>
      </c>
      <c r="E23" s="1913">
        <f t="shared" si="8"/>
        <v>95</v>
      </c>
      <c r="F23" s="1913">
        <f t="shared" si="6"/>
        <v>10.476190476190476</v>
      </c>
      <c r="G23" s="1913">
        <f t="shared" si="6"/>
        <v>6.6666666666666652</v>
      </c>
      <c r="H23" s="3086">
        <f t="shared" si="9"/>
        <v>1034.6153890052135</v>
      </c>
      <c r="I23" s="3086">
        <f t="shared" si="9"/>
        <v>0.11409292510333183</v>
      </c>
      <c r="J23" s="3086">
        <f t="shared" si="9"/>
        <v>7.2604588702120235E-2</v>
      </c>
      <c r="K23" s="3069" t="str">
        <f t="shared" si="9"/>
        <v>NO</v>
      </c>
      <c r="L23" s="19"/>
    </row>
    <row r="24" spans="2:12" ht="18" customHeight="1" x14ac:dyDescent="0.2">
      <c r="B24" s="1237" t="s">
        <v>138</v>
      </c>
      <c r="C24" s="3086">
        <f>IF(SUM(C25:C30)=0,"NO",SUM(C25:C30))</f>
        <v>1491661.6771297178</v>
      </c>
      <c r="D24" s="3077" t="s">
        <v>1814</v>
      </c>
      <c r="E24" s="628"/>
      <c r="F24" s="628"/>
      <c r="G24" s="628"/>
      <c r="H24" s="3086">
        <f>IF(SUM(H25:H29)=0,"NO",SUM(H25:H29))</f>
        <v>131266.4980468491</v>
      </c>
      <c r="I24" s="3086">
        <f t="shared" ref="I24" si="10">IF(SUM(I25:I30)=0,"NO",SUM(I25:I30))</f>
        <v>1.3000256251768831</v>
      </c>
      <c r="J24" s="3086">
        <f t="shared" ref="J24" si="11">IF(SUM(J25:J30)=0,"NO",SUM(J25:J30))</f>
        <v>1.4237274972144647</v>
      </c>
      <c r="K24" s="3069" t="str">
        <f t="shared" ref="K24" si="12">IF(SUM(K25:K30)=0,"NO",SUM(K25:K30))</f>
        <v>NO</v>
      </c>
      <c r="L24" s="19"/>
    </row>
    <row r="25" spans="2:12" ht="18" customHeight="1" x14ac:dyDescent="0.2">
      <c r="B25" s="160" t="s">
        <v>132</v>
      </c>
      <c r="C25" s="3074">
        <f>IF(SUM(C33,C40,C47)=0,"NO",SUM(C33,C40,C47))</f>
        <v>40770.988824399996</v>
      </c>
      <c r="D25" s="3082" t="s">
        <v>1814</v>
      </c>
      <c r="E25" s="3086">
        <f>IFERROR(H25*1000/$C25,"NA")</f>
        <v>72.873627978620888</v>
      </c>
      <c r="F25" s="1913">
        <f t="shared" ref="F25:G30" si="13">IFERROR(I25*1000000/$C25,"NA")</f>
        <v>2.6134776284214607</v>
      </c>
      <c r="G25" s="1913">
        <f t="shared" si="13"/>
        <v>0.3435759377929325</v>
      </c>
      <c r="H25" s="3086">
        <f>IF(SUM(H33,H40,H47)=0,"NO",SUM(H33,H40,H47))</f>
        <v>2971.1298719098354</v>
      </c>
      <c r="I25" s="3086">
        <f>IF(SUM(I33,I40,I47)=0,"NO",SUM(I33,I40,I47))</f>
        <v>0.10655406718119079</v>
      </c>
      <c r="J25" s="3086">
        <f>IF(SUM(J33,J40,J47)=0,"NO",SUM(J33,J40,J47))</f>
        <v>1.40079307200884E-2</v>
      </c>
      <c r="K25" s="3069" t="str">
        <f>IF(SUM(K33,K40,K47)=0,"NO",SUM(K33,K40,K47))</f>
        <v>NO</v>
      </c>
      <c r="L25" s="19"/>
    </row>
    <row r="26" spans="2:12" ht="18" customHeight="1" x14ac:dyDescent="0.2">
      <c r="B26" s="160" t="s">
        <v>133</v>
      </c>
      <c r="C26" s="3086">
        <f t="shared" ref="C26:C30" si="14">IF(SUM(C34,C41,C48)=0,"NO",SUM(C34,C41,C48))</f>
        <v>1318739.9999999998</v>
      </c>
      <c r="D26" s="3082" t="s">
        <v>1814</v>
      </c>
      <c r="E26" s="3086">
        <f t="shared" ref="E26:E30" si="15">IFERROR(H26*1000/$C26,"NA")</f>
        <v>92.572188372946371</v>
      </c>
      <c r="F26" s="1913">
        <f t="shared" si="13"/>
        <v>0.65014124790026617</v>
      </c>
      <c r="G26" s="1913">
        <f t="shared" si="13"/>
        <v>0.93041668946493139</v>
      </c>
      <c r="H26" s="3086">
        <f t="shared" ref="H26:K30" si="16">IF(SUM(H34,H41,H48)=0,"NO",SUM(H34,H41,H48))</f>
        <v>122078.64769493927</v>
      </c>
      <c r="I26" s="3086">
        <f t="shared" si="16"/>
        <v>0.85736726925599693</v>
      </c>
      <c r="J26" s="3086">
        <f t="shared" si="16"/>
        <v>1.2269777050649833</v>
      </c>
      <c r="K26" s="3069" t="str">
        <f t="shared" si="16"/>
        <v>NO</v>
      </c>
      <c r="L26" s="19"/>
    </row>
    <row r="27" spans="2:12" ht="18" customHeight="1" x14ac:dyDescent="0.2">
      <c r="B27" s="160" t="s">
        <v>134</v>
      </c>
      <c r="C27" s="3086">
        <f t="shared" si="14"/>
        <v>121260.00000000001</v>
      </c>
      <c r="D27" s="3082" t="s">
        <v>1814</v>
      </c>
      <c r="E27" s="3086">
        <f t="shared" si="15"/>
        <v>51.267693221177637</v>
      </c>
      <c r="F27" s="1913">
        <f t="shared" si="13"/>
        <v>1.8308705561303285</v>
      </c>
      <c r="G27" s="1913">
        <f t="shared" si="13"/>
        <v>0.90827373187590899</v>
      </c>
      <c r="H27" s="3086">
        <f t="shared" si="16"/>
        <v>6216.7204800000018</v>
      </c>
      <c r="I27" s="3086">
        <f t="shared" si="16"/>
        <v>0.22201136363636365</v>
      </c>
      <c r="J27" s="3086">
        <f t="shared" si="16"/>
        <v>0.11013727272727274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10890.688305318037</v>
      </c>
      <c r="D30" s="3082" t="s">
        <v>1814</v>
      </c>
      <c r="E30" s="3086">
        <f t="shared" si="15"/>
        <v>95</v>
      </c>
      <c r="F30" s="1913">
        <f t="shared" si="13"/>
        <v>10.476190476190476</v>
      </c>
      <c r="G30" s="1913">
        <f t="shared" si="13"/>
        <v>6.6666666666666652</v>
      </c>
      <c r="H30" s="3086">
        <f t="shared" si="16"/>
        <v>1034.6153890052135</v>
      </c>
      <c r="I30" s="3086">
        <f t="shared" si="16"/>
        <v>0.11409292510333183</v>
      </c>
      <c r="J30" s="3086">
        <f t="shared" si="16"/>
        <v>7.2604588702120235E-2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1491661.6771297178</v>
      </c>
      <c r="D32" s="3077" t="s">
        <v>1814</v>
      </c>
      <c r="E32" s="1914"/>
      <c r="F32" s="1914"/>
      <c r="G32" s="1914"/>
      <c r="H32" s="3086">
        <f>IF(SUM(H33:H37)=0,"NO",SUM(H33:H37))</f>
        <v>131266.4980468491</v>
      </c>
      <c r="I32" s="3086">
        <f t="shared" ref="I32" si="17">IF(SUM(I33:I38)=0,"NO",SUM(I33:I38))</f>
        <v>1.3000256251768831</v>
      </c>
      <c r="J32" s="3086">
        <f t="shared" ref="J32" si="18">IF(SUM(J33:J38)=0,"NO",SUM(J33:J38))</f>
        <v>1.4237274972144647</v>
      </c>
      <c r="K32" s="3069" t="str">
        <f t="shared" ref="K32" si="19">IF(SUM(K33:K38)=0,"NO",SUM(K33:K38))</f>
        <v>NO</v>
      </c>
      <c r="L32" s="19"/>
    </row>
    <row r="33" spans="2:12" ht="18" customHeight="1" x14ac:dyDescent="0.2">
      <c r="B33" s="160" t="s">
        <v>132</v>
      </c>
      <c r="C33" s="3033">
        <v>40770.988824399996</v>
      </c>
      <c r="D33" s="3077" t="s">
        <v>1814</v>
      </c>
      <c r="E33" s="1913">
        <f>IFERROR(H33*1000/$C33,"NA")</f>
        <v>72.873627978620888</v>
      </c>
      <c r="F33" s="1913">
        <f t="shared" ref="F33:G38" si="20">IFERROR(I33*1000000/$C33,"NA")</f>
        <v>2.6134776284214607</v>
      </c>
      <c r="G33" s="1913">
        <f t="shared" si="20"/>
        <v>0.3435759377929325</v>
      </c>
      <c r="H33" s="3033">
        <v>2971.1298719098354</v>
      </c>
      <c r="I33" s="3033">
        <v>0.10655406718119079</v>
      </c>
      <c r="J33" s="3033">
        <v>1.40079307200884E-2</v>
      </c>
      <c r="K33" s="3072" t="s">
        <v>2146</v>
      </c>
      <c r="L33" s="19"/>
    </row>
    <row r="34" spans="2:12" ht="18" customHeight="1" x14ac:dyDescent="0.2">
      <c r="B34" s="160" t="s">
        <v>133</v>
      </c>
      <c r="C34" s="3033">
        <v>1318739.9999999998</v>
      </c>
      <c r="D34" s="3077" t="s">
        <v>1814</v>
      </c>
      <c r="E34" s="1913">
        <f t="shared" ref="E34:E38" si="21">IFERROR(H34*1000/$C34,"NA")</f>
        <v>92.572188372946371</v>
      </c>
      <c r="F34" s="1913">
        <f t="shared" si="20"/>
        <v>0.65014124790026617</v>
      </c>
      <c r="G34" s="1913">
        <f t="shared" si="20"/>
        <v>0.93041668946493139</v>
      </c>
      <c r="H34" s="3033">
        <v>122078.64769493927</v>
      </c>
      <c r="I34" s="3033">
        <v>0.85736726925599693</v>
      </c>
      <c r="J34" s="3033">
        <v>1.2269777050649833</v>
      </c>
      <c r="K34" s="3072" t="s">
        <v>2146</v>
      </c>
      <c r="L34" s="19"/>
    </row>
    <row r="35" spans="2:12" ht="18" customHeight="1" x14ac:dyDescent="0.2">
      <c r="B35" s="160" t="s">
        <v>134</v>
      </c>
      <c r="C35" s="3033">
        <v>121260.00000000001</v>
      </c>
      <c r="D35" s="3077" t="s">
        <v>1814</v>
      </c>
      <c r="E35" s="1913">
        <f t="shared" si="21"/>
        <v>51.267693221177637</v>
      </c>
      <c r="F35" s="1913">
        <f t="shared" si="20"/>
        <v>1.8308705561303285</v>
      </c>
      <c r="G35" s="1913">
        <f t="shared" si="20"/>
        <v>0.90827373187590899</v>
      </c>
      <c r="H35" s="3033">
        <v>6216.7204800000018</v>
      </c>
      <c r="I35" s="3033">
        <v>0.22201136363636365</v>
      </c>
      <c r="J35" s="3033">
        <v>0.11013727272727274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10890.688305318037</v>
      </c>
      <c r="D38" s="3077" t="s">
        <v>1814</v>
      </c>
      <c r="E38" s="1913">
        <f t="shared" si="21"/>
        <v>95</v>
      </c>
      <c r="F38" s="1913">
        <f t="shared" si="20"/>
        <v>10.476190476190476</v>
      </c>
      <c r="G38" s="1913">
        <f t="shared" si="20"/>
        <v>6.6666666666666652</v>
      </c>
      <c r="H38" s="3033">
        <v>1034.6153890052135</v>
      </c>
      <c r="I38" s="3033">
        <v>0.11409292510333183</v>
      </c>
      <c r="J38" s="3033">
        <v>7.2604588702120235E-2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90671.599999999889</v>
      </c>
      <c r="D53" s="3077" t="s">
        <v>1814</v>
      </c>
      <c r="E53" s="628"/>
      <c r="F53" s="628"/>
      <c r="G53" s="628"/>
      <c r="H53" s="3086">
        <f>IF(SUM(H54:H58)=0,"NO",SUM(H54:H58))</f>
        <v>5741.4770526762031</v>
      </c>
      <c r="I53" s="3086">
        <f t="shared" ref="I53:K53" si="28">IF(SUM(I54:I59)=0,"NO",SUM(I54:I59))</f>
        <v>6.3974759272727194E-2</v>
      </c>
      <c r="J53" s="3086">
        <f t="shared" si="28"/>
        <v>4.7297509187878735E-2</v>
      </c>
      <c r="K53" s="3069" t="str">
        <f t="shared" si="28"/>
        <v>NO</v>
      </c>
      <c r="L53" s="19"/>
    </row>
    <row r="54" spans="2:12" ht="18" customHeight="1" x14ac:dyDescent="0.2">
      <c r="B54" s="160" t="s">
        <v>132</v>
      </c>
      <c r="C54" s="3033">
        <v>80071.599999999904</v>
      </c>
      <c r="D54" s="3077" t="s">
        <v>1814</v>
      </c>
      <c r="E54" s="1913">
        <f>IFERROR(H54*1000/$C54,"NA")</f>
        <v>64.89830000000002</v>
      </c>
      <c r="F54" s="1913">
        <f t="shared" ref="F54:G59" si="29">IFERROR(I54*1000000/$C54,"NA")</f>
        <v>0.6628571428571427</v>
      </c>
      <c r="G54" s="1913">
        <f t="shared" si="29"/>
        <v>0.53447619047619055</v>
      </c>
      <c r="H54" s="3033">
        <v>5196.5107182799948</v>
      </c>
      <c r="I54" s="3033">
        <v>5.3076031999999926E-2</v>
      </c>
      <c r="J54" s="3033">
        <v>4.2796363733333287E-2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10599.999999999991</v>
      </c>
      <c r="D56" s="3077" t="s">
        <v>1814</v>
      </c>
      <c r="E56" s="1913">
        <f t="shared" si="30"/>
        <v>51.411918339265</v>
      </c>
      <c r="F56" s="1913">
        <f t="shared" si="29"/>
        <v>1.0281818181818179</v>
      </c>
      <c r="G56" s="1913">
        <f t="shared" si="29"/>
        <v>0.42463636363636353</v>
      </c>
      <c r="H56" s="3033">
        <v>544.96633439620848</v>
      </c>
      <c r="I56" s="3033">
        <v>1.0898727272727261E-2</v>
      </c>
      <c r="J56" s="3033">
        <v>4.5011454545454497E-3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142083.44958762868</v>
      </c>
      <c r="D60" s="3077" t="s">
        <v>1814</v>
      </c>
      <c r="E60" s="628"/>
      <c r="F60" s="628"/>
      <c r="G60" s="628"/>
      <c r="H60" s="3086">
        <f>IF(SUM(H61:H65)=0,"NO",SUM(H61:H65))</f>
        <v>8790.9179141339337</v>
      </c>
      <c r="I60" s="3086">
        <f t="shared" ref="I60:K60" si="31">IF(SUM(I61:I66)=0,"NO",SUM(I61:I66))</f>
        <v>4.5628693032294301</v>
      </c>
      <c r="J60" s="3086">
        <f t="shared" si="31"/>
        <v>0.15804323483612537</v>
      </c>
      <c r="K60" s="3069" t="str">
        <f t="shared" si="31"/>
        <v>NO</v>
      </c>
      <c r="L60" s="19"/>
    </row>
    <row r="61" spans="2:12" ht="18" customHeight="1" x14ac:dyDescent="0.2">
      <c r="B61" s="160" t="s">
        <v>132</v>
      </c>
      <c r="C61" s="3074">
        <f>IF(SUM(C69,C76,C83)=0,"NO",SUM(C69,C76,C83))</f>
        <v>14586.299999999997</v>
      </c>
      <c r="D61" s="3077" t="s">
        <v>1814</v>
      </c>
      <c r="E61" s="1913">
        <f>IFERROR(H61*1000/$C61,"NA")</f>
        <v>69.989625881820629</v>
      </c>
      <c r="F61" s="1913">
        <f t="shared" ref="F61:G66" si="32">IFERROR(I61*1000000/$C61,"NA")</f>
        <v>3.4185340813520777</v>
      </c>
      <c r="G61" s="1913">
        <f t="shared" si="32"/>
        <v>3.3003859410123422</v>
      </c>
      <c r="H61" s="3074">
        <f>IF(SUM(H69,H76,H83)=0,"NO",SUM(H69,H76,H83))</f>
        <v>1020.88968</v>
      </c>
      <c r="I61" s="3074">
        <f>IF(SUM(I69,I76,I83)=0,"NO",SUM(I69,I76,I83))</f>
        <v>4.9863763670825803E-2</v>
      </c>
      <c r="J61" s="3074">
        <f>IF(SUM(J69,J76,J83)=0,"NO",SUM(J69,J76,J83))</f>
        <v>4.8140419451388319E-2</v>
      </c>
      <c r="K61" s="3088" t="str">
        <f>IF(SUM(K69,K76,K83)=0,"NO",SUM(K69,K76,K83))</f>
        <v>NO</v>
      </c>
    </row>
    <row r="62" spans="2:12" ht="18" customHeight="1" x14ac:dyDescent="0.2">
      <c r="B62" s="160" t="s">
        <v>133</v>
      </c>
      <c r="C62" s="3074">
        <f t="shared" ref="C62:C66" si="33">IF(SUM(C70,C77,C84)=0,"NO",SUM(C70,C77,C84))</f>
        <v>35084.264858855109</v>
      </c>
      <c r="D62" s="3077" t="s">
        <v>1814</v>
      </c>
      <c r="E62" s="1913">
        <f t="shared" ref="E62:E66" si="34">IFERROR(H62*1000/$C62,"NA")</f>
        <v>85.997154187731368</v>
      </c>
      <c r="F62" s="1913">
        <f t="shared" si="32"/>
        <v>0.96107353814743923</v>
      </c>
      <c r="G62" s="1913">
        <f t="shared" si="32"/>
        <v>0.79640193838478635</v>
      </c>
      <c r="H62" s="3074">
        <f t="shared" ref="H62:K66" si="35">IF(SUM(H70,H77,H84)=0,"NO",SUM(H70,H77,H84))</f>
        <v>3017.1469346301683</v>
      </c>
      <c r="I62" s="3074">
        <f t="shared" si="35"/>
        <v>3.3718558561201747E-2</v>
      </c>
      <c r="J62" s="3074">
        <f t="shared" si="35"/>
        <v>2.7941176540397454E-2</v>
      </c>
      <c r="K62" s="3088" t="str">
        <f t="shared" si="35"/>
        <v>NO</v>
      </c>
    </row>
    <row r="63" spans="2:12" ht="18" customHeight="1" x14ac:dyDescent="0.2">
      <c r="B63" s="160" t="s">
        <v>134</v>
      </c>
      <c r="C63" s="3074">
        <f t="shared" si="33"/>
        <v>92412.884728773584</v>
      </c>
      <c r="D63" s="3077" t="s">
        <v>1814</v>
      </c>
      <c r="E63" s="1913">
        <f t="shared" si="34"/>
        <v>51.430937508911157</v>
      </c>
      <c r="F63" s="1913">
        <f t="shared" si="32"/>
        <v>48.470372872179539</v>
      </c>
      <c r="G63" s="1913">
        <f t="shared" si="32"/>
        <v>0.88690704856679059</v>
      </c>
      <c r="H63" s="3074">
        <f t="shared" si="35"/>
        <v>4752.8812995037642</v>
      </c>
      <c r="I63" s="3074">
        <f t="shared" si="35"/>
        <v>4.4792869809974025</v>
      </c>
      <c r="J63" s="3074">
        <f t="shared" si="35"/>
        <v>8.1961638844339615E-2</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35930.564858855112</v>
      </c>
      <c r="D68" s="3077" t="s">
        <v>1814</v>
      </c>
      <c r="E68" s="628"/>
      <c r="F68" s="628"/>
      <c r="G68" s="628"/>
      <c r="H68" s="3086">
        <f>IF(SUM(H69:H73)=0,"NO",SUM(H69:H73))</f>
        <v>3079.4346146301682</v>
      </c>
      <c r="I68" s="3086">
        <f t="shared" ref="I68:K68" si="36">IF(SUM(I69:I74)=0,"NO",SUM(I69:I74))</f>
        <v>3.5427278561201744E-2</v>
      </c>
      <c r="J68" s="3086">
        <f t="shared" si="36"/>
        <v>2.8378028540397456E-2</v>
      </c>
      <c r="K68" s="3069" t="str">
        <f t="shared" si="36"/>
        <v>NO</v>
      </c>
    </row>
    <row r="69" spans="2:11" ht="18" customHeight="1" x14ac:dyDescent="0.2">
      <c r="B69" s="282" t="s">
        <v>132</v>
      </c>
      <c r="C69" s="3033">
        <v>846.3</v>
      </c>
      <c r="D69" s="3076" t="s">
        <v>1814</v>
      </c>
      <c r="E69" s="1913">
        <f>IFERROR(H69*1000/$C69,"NA")</f>
        <v>73.59999999999998</v>
      </c>
      <c r="F69" s="1913">
        <f t="shared" ref="F69:G74" si="37">IFERROR(I69*1000000/$C69,"NA")</f>
        <v>2.019047619047619</v>
      </c>
      <c r="G69" s="1913">
        <f t="shared" si="37"/>
        <v>0.5161904761904762</v>
      </c>
      <c r="H69" s="3033">
        <v>62.287679999999988</v>
      </c>
      <c r="I69" s="3033">
        <v>1.7087199999999997E-3</v>
      </c>
      <c r="J69" s="3033">
        <v>4.36852E-4</v>
      </c>
      <c r="K69" s="3072" t="s">
        <v>2146</v>
      </c>
    </row>
    <row r="70" spans="2:11" ht="18" customHeight="1" x14ac:dyDescent="0.2">
      <c r="B70" s="282" t="s">
        <v>133</v>
      </c>
      <c r="C70" s="3033">
        <v>35084.264858855109</v>
      </c>
      <c r="D70" s="3076" t="s">
        <v>1814</v>
      </c>
      <c r="E70" s="1913">
        <f t="shared" ref="E70:E74" si="38">IFERROR(H70*1000/$C70,"NA")</f>
        <v>85.997154187731368</v>
      </c>
      <c r="F70" s="1913">
        <f t="shared" si="37"/>
        <v>0.96107353814743923</v>
      </c>
      <c r="G70" s="1913">
        <f t="shared" si="37"/>
        <v>0.79640193838478635</v>
      </c>
      <c r="H70" s="3033">
        <v>3017.1469346301683</v>
      </c>
      <c r="I70" s="3033">
        <v>3.3718558561201747E-2</v>
      </c>
      <c r="J70" s="3033">
        <v>2.7941176540397454E-2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85260</v>
      </c>
      <c r="D75" s="3077" t="s">
        <v>1814</v>
      </c>
      <c r="E75" s="628"/>
      <c r="F75" s="628"/>
      <c r="G75" s="628"/>
      <c r="H75" s="3086">
        <f>IF(SUM(H76:H80)=0,"NO",SUM(H76:H80))</f>
        <v>4397.6536229343219</v>
      </c>
      <c r="I75" s="3086">
        <f t="shared" ref="I75:K75" si="39">IF(SUM(I76:I81)=0,"NO",SUM(I76:I81))</f>
        <v>4.4541499364968944</v>
      </c>
      <c r="J75" s="3086">
        <f t="shared" si="39"/>
        <v>7.6436008948532946E-2</v>
      </c>
      <c r="K75" s="3069" t="str">
        <f t="shared" si="39"/>
        <v>NO</v>
      </c>
    </row>
    <row r="76" spans="2:11" ht="18" customHeight="1" x14ac:dyDescent="0.2">
      <c r="B76" s="282" t="s">
        <v>132</v>
      </c>
      <c r="C76" s="3033">
        <v>800</v>
      </c>
      <c r="D76" s="3076" t="s">
        <v>1814</v>
      </c>
      <c r="E76" s="1913">
        <f>IFERROR(H76*1000/$C76,"NA")</f>
        <v>69.253749999999997</v>
      </c>
      <c r="F76" s="1913">
        <f t="shared" ref="F76:G81" si="40">IFERROR(I76*1000000/$C76,"NA")</f>
        <v>2.559201851851852</v>
      </c>
      <c r="G76" s="1913">
        <f t="shared" si="40"/>
        <v>2.1303316402116401</v>
      </c>
      <c r="H76" s="3033">
        <v>55.402999999999999</v>
      </c>
      <c r="I76" s="3033">
        <v>2.0473614814814816E-3</v>
      </c>
      <c r="J76" s="3033">
        <v>1.7042653121693123E-3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84460</v>
      </c>
      <c r="D78" s="3076" t="s">
        <v>1814</v>
      </c>
      <c r="E78" s="1913">
        <f t="shared" si="41"/>
        <v>51.411918339265</v>
      </c>
      <c r="F78" s="1913">
        <f t="shared" si="40"/>
        <v>52.712557127816865</v>
      </c>
      <c r="G78" s="1913">
        <f t="shared" si="40"/>
        <v>0.88481818181818184</v>
      </c>
      <c r="H78" s="3033">
        <v>4342.2506229343217</v>
      </c>
      <c r="I78" s="3033">
        <v>4.4521025750154131</v>
      </c>
      <c r="J78" s="3033">
        <v>7.4731743636363632E-2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20892.884728773584</v>
      </c>
      <c r="D82" s="3077" t="s">
        <v>1814</v>
      </c>
      <c r="E82" s="628"/>
      <c r="F82" s="628"/>
      <c r="G82" s="628"/>
      <c r="H82" s="3086">
        <f>IF(SUM(H83:H87)=0,"NO",SUM(H83:H87))</f>
        <v>1313.8296765694424</v>
      </c>
      <c r="I82" s="3086">
        <f t="shared" ref="I82:K82" si="42">IF(SUM(I83:I88)=0,"NO",SUM(I83:I88))</f>
        <v>7.3292088171334036E-2</v>
      </c>
      <c r="J82" s="3086">
        <f t="shared" si="42"/>
        <v>5.3229197347195001E-2</v>
      </c>
      <c r="K82" s="3069" t="str">
        <f t="shared" si="42"/>
        <v>NO</v>
      </c>
    </row>
    <row r="83" spans="2:11" ht="18" customHeight="1" x14ac:dyDescent="0.2">
      <c r="B83" s="282" t="s">
        <v>132</v>
      </c>
      <c r="C83" s="3033">
        <v>12939.999999999998</v>
      </c>
      <c r="D83" s="3076" t="s">
        <v>1814</v>
      </c>
      <c r="E83" s="1913">
        <f>IFERROR(H83*1000/$C83,"NA")</f>
        <v>69.798995363214857</v>
      </c>
      <c r="F83" s="1913">
        <f t="shared" ref="F83:G88" si="43">IFERROR(I83*1000000/$C83,"NA")</f>
        <v>3.5631902773836419</v>
      </c>
      <c r="G83" s="1913">
        <f t="shared" si="43"/>
        <v>3.5548146939118253</v>
      </c>
      <c r="H83" s="3033">
        <v>903.19900000000007</v>
      </c>
      <c r="I83" s="3033">
        <v>4.6107682189344322E-2</v>
      </c>
      <c r="J83" s="3033">
        <v>4.599930213921901E-2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7952.8847287735853</v>
      </c>
      <c r="D85" s="3076" t="s">
        <v>1814</v>
      </c>
      <c r="E85" s="1913">
        <f t="shared" si="44"/>
        <v>51.632921961483753</v>
      </c>
      <c r="F85" s="1913">
        <f t="shared" si="43"/>
        <v>3.4181818181818184</v>
      </c>
      <c r="G85" s="1913">
        <f t="shared" si="43"/>
        <v>0.90909090909090939</v>
      </c>
      <c r="H85" s="3033">
        <v>410.63067656944236</v>
      </c>
      <c r="I85" s="3033">
        <v>2.7184405981989714E-2</v>
      </c>
      <c r="J85" s="3033">
        <v>7.2298952079759889E-3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22308429.330097716</v>
      </c>
      <c r="G10" s="3657" t="s">
        <v>2147</v>
      </c>
      <c r="H10" s="3658">
        <f t="shared" ref="H10:H13" si="0">IF(SUM($F10)=0,"NA",K10*1000/$F10)</f>
        <v>2.7725786544790441E-2</v>
      </c>
      <c r="I10" s="3659">
        <f t="shared" ref="I10:I13" si="1">IF(SUM($F10)=0,"NA",L10*1000/$F10)</f>
        <v>5.7157071257463242E-4</v>
      </c>
      <c r="J10" s="3499" t="str">
        <f>IF(SUM(J11,J25,J36,J48,J59,J70,J76)=0,"IE",SUM(J11,J25,J36,J48,J59,J70,J76))</f>
        <v>IE</v>
      </c>
      <c r="K10" s="3500">
        <f>IF(SUM(K11,K25,K36,K48,K59,K70,K76)=0,"NO",SUM(K11,K25,K36,K48,K59,K70,K76))</f>
        <v>618.51874975583166</v>
      </c>
      <c r="L10" s="3501">
        <f>IF(SUM(L11,L25,L36,L48,L59,L70,L76)=0,"NO",SUM(L11,L25,L36,L48,L59,L70,L76))</f>
        <v>12.750844848624782</v>
      </c>
    </row>
    <row r="11" spans="2:13" ht="18" customHeight="1" x14ac:dyDescent="0.2">
      <c r="B11" s="933" t="s">
        <v>1985</v>
      </c>
      <c r="C11" s="934"/>
      <c r="D11" s="2850"/>
      <c r="E11" s="2854" t="s">
        <v>2250</v>
      </c>
      <c r="F11" s="3679">
        <f>IF(SUM(F12,F19)=0,"NO",SUM(F12,F19))</f>
        <v>7552181.2431174051</v>
      </c>
      <c r="G11" s="3660" t="s">
        <v>2147</v>
      </c>
      <c r="H11" s="3661">
        <f t="shared" si="0"/>
        <v>3.094029732551197E-2</v>
      </c>
      <c r="I11" s="3662">
        <f t="shared" si="1"/>
        <v>5.3691455108452251E-4</v>
      </c>
      <c r="J11" s="3502" t="str">
        <f>IF(SUM(J12,J19)=0,"IE",SUM(J12,J19))</f>
        <v>IE</v>
      </c>
      <c r="K11" s="3503">
        <f>IF(SUM(K12,K19)=0,"NO",SUM(K12,K19))</f>
        <v>233.66673311820711</v>
      </c>
      <c r="L11" s="3504">
        <f>IF(SUM(L12,L19)=0,"NO",SUM(L12,L19))</f>
        <v>4.0548760018573331</v>
      </c>
      <c r="M11" s="482"/>
    </row>
    <row r="12" spans="2:13" ht="18" customHeight="1" x14ac:dyDescent="0.2">
      <c r="B12" s="903" t="s">
        <v>1912</v>
      </c>
      <c r="C12" s="476"/>
      <c r="D12" s="298"/>
      <c r="E12" s="2852" t="s">
        <v>2250</v>
      </c>
      <c r="F12" s="3680">
        <f>IF(SUM(F13,F17)=0,"NO",SUM(F13,F17))</f>
        <v>7543192.0662093665</v>
      </c>
      <c r="G12" s="3663" t="str">
        <f>IFERROR(IF(SUM($F12)=0,"NA",J12*1000/$F12),"NA")</f>
        <v>NA</v>
      </c>
      <c r="H12" s="3664">
        <f t="shared" si="0"/>
        <v>3.0913769792051394E-2</v>
      </c>
      <c r="I12" s="3665">
        <f t="shared" si="1"/>
        <v>5.3658197797666932E-4</v>
      </c>
      <c r="J12" s="3505" t="str">
        <f>IF(SUM(J13,J17)=0,"IE",SUM(J13,J17))</f>
        <v>IE</v>
      </c>
      <c r="K12" s="3506">
        <f>IF(SUM(K13,K17)=0,"NO",SUM(K13,K17))</f>
        <v>233.18850303202487</v>
      </c>
      <c r="L12" s="3507">
        <f>IF(SUM(L13,L17)=0,"NO",SUM(L13,L17))</f>
        <v>4.0475409191445415</v>
      </c>
    </row>
    <row r="13" spans="2:13" ht="18" customHeight="1" x14ac:dyDescent="0.2">
      <c r="B13" s="923" t="s">
        <v>1270</v>
      </c>
      <c r="C13" s="476"/>
      <c r="D13" s="298"/>
      <c r="E13" s="2852" t="s">
        <v>2250</v>
      </c>
      <c r="F13" s="3681">
        <f>IF(SUM(F14:F16)=0,"NO",SUM(F14:F16))</f>
        <v>7050802.6596847996</v>
      </c>
      <c r="G13" s="3666" t="str">
        <f t="shared" ref="G13:G76" si="2">IFERROR(IF(SUM($F13)=0,"NA",J13*1000/$F13),"NA")</f>
        <v>NA</v>
      </c>
      <c r="H13" s="3667">
        <f t="shared" si="0"/>
        <v>2.7341295161698958E-2</v>
      </c>
      <c r="I13" s="3668">
        <f t="shared" si="1"/>
        <v>5.2048636840925494E-4</v>
      </c>
      <c r="J13" s="3505" t="str">
        <f>IF(SUM(J14:J16)=0,"IE",SUM(J14:J16))</f>
        <v>IE</v>
      </c>
      <c r="K13" s="3505">
        <f>IF(SUM(K14:K16)=0,"NO",SUM(K14:K16))</f>
        <v>192.77807664533415</v>
      </c>
      <c r="L13" s="3508">
        <f>IF(SUM(L14:L16)=0,"NO",SUM(L14:L16))</f>
        <v>3.6698466707096573</v>
      </c>
      <c r="M13" s="482"/>
    </row>
    <row r="14" spans="2:13" ht="24" x14ac:dyDescent="0.2">
      <c r="B14" s="923"/>
      <c r="C14" s="4367" t="s">
        <v>2247</v>
      </c>
      <c r="D14" s="542" t="s">
        <v>940</v>
      </c>
      <c r="E14" s="2851" t="s">
        <v>2250</v>
      </c>
      <c r="F14" s="3654">
        <v>447513.46506139031</v>
      </c>
      <c r="G14" s="3666" t="str">
        <f t="shared" si="2"/>
        <v>NA</v>
      </c>
      <c r="H14" s="3667">
        <f>IF(SUM($F14)=0,"NA",K14*1000/$F14)</f>
        <v>9.7767190208628063E-2</v>
      </c>
      <c r="I14" s="3668">
        <f>IF(SUM($F14)=0,"NA",L14*1000/$F14)</f>
        <v>1.0717938186399904E-3</v>
      </c>
      <c r="J14" s="3509" t="s">
        <v>2153</v>
      </c>
      <c r="K14" s="3510">
        <v>43.752134059579177</v>
      </c>
      <c r="L14" s="3511">
        <v>0.4796421656109614</v>
      </c>
      <c r="M14" s="482"/>
    </row>
    <row r="15" spans="2:13" ht="18" customHeight="1" x14ac:dyDescent="0.2">
      <c r="B15" s="923"/>
      <c r="C15" s="4367" t="s">
        <v>2248</v>
      </c>
      <c r="D15" s="542" t="s">
        <v>940</v>
      </c>
      <c r="E15" s="543" t="s">
        <v>2250</v>
      </c>
      <c r="F15" s="3655">
        <v>73041.838948085075</v>
      </c>
      <c r="G15" s="3666" t="str">
        <f t="shared" si="2"/>
        <v>NA</v>
      </c>
      <c r="H15" s="3667">
        <f t="shared" ref="H15:H77" si="3">IF(SUM($F15)=0,"NA",K15*1000/$F15)</f>
        <v>0.24176339089730672</v>
      </c>
      <c r="I15" s="3668">
        <f t="shared" ref="I15:I77" si="4">IF(SUM($F15)=0,"NA",L15*1000/$F15)</f>
        <v>4.4692649067266006E-3</v>
      </c>
      <c r="J15" s="3509" t="s">
        <v>2153</v>
      </c>
      <c r="K15" s="3510">
        <v>17.658842661464014</v>
      </c>
      <c r="L15" s="3512">
        <v>0.32644332753345284</v>
      </c>
      <c r="M15" s="482"/>
    </row>
    <row r="16" spans="2:13" ht="18" customHeight="1" x14ac:dyDescent="0.2">
      <c r="B16" s="923"/>
      <c r="C16" s="4367" t="s">
        <v>2263</v>
      </c>
      <c r="D16" s="542" t="s">
        <v>940</v>
      </c>
      <c r="E16" s="543" t="s">
        <v>2250</v>
      </c>
      <c r="F16" s="3655">
        <v>6530247.3556753239</v>
      </c>
      <c r="G16" s="3666" t="str">
        <f t="shared" si="2"/>
        <v>NA</v>
      </c>
      <c r="H16" s="3667">
        <f t="shared" si="3"/>
        <v>2.0116711170231876E-2</v>
      </c>
      <c r="I16" s="3668">
        <f t="shared" si="4"/>
        <v>4.3853793303501716E-4</v>
      </c>
      <c r="J16" s="3509" t="s">
        <v>2153</v>
      </c>
      <c r="K16" s="3510">
        <v>131.36709992429095</v>
      </c>
      <c r="L16" s="3512">
        <v>2.8637611775652432</v>
      </c>
      <c r="M16" s="482"/>
    </row>
    <row r="17" spans="2:13" ht="18" customHeight="1" x14ac:dyDescent="0.2">
      <c r="B17" s="923" t="s">
        <v>1271</v>
      </c>
      <c r="C17" s="4368"/>
      <c r="D17" s="298"/>
      <c r="E17" s="5" t="s">
        <v>2250</v>
      </c>
      <c r="F17" s="3681">
        <f>F18</f>
        <v>492389.40652456693</v>
      </c>
      <c r="G17" s="3666" t="str">
        <f t="shared" si="2"/>
        <v>NA</v>
      </c>
      <c r="H17" s="3667">
        <f t="shared" si="3"/>
        <v>8.2070056445608164E-2</v>
      </c>
      <c r="I17" s="3668">
        <f t="shared" si="4"/>
        <v>7.6706412329372508E-4</v>
      </c>
      <c r="J17" s="3505" t="str">
        <f>J18</f>
        <v>IE</v>
      </c>
      <c r="K17" s="3505">
        <f>K18</f>
        <v>40.410426386690716</v>
      </c>
      <c r="L17" s="3508">
        <f>L18</f>
        <v>0.37769424843488453</v>
      </c>
      <c r="M17" s="482"/>
    </row>
    <row r="18" spans="2:13" ht="18" customHeight="1" x14ac:dyDescent="0.2">
      <c r="B18" s="923"/>
      <c r="C18" s="4367" t="s">
        <v>2249</v>
      </c>
      <c r="D18" s="542" t="s">
        <v>940</v>
      </c>
      <c r="E18" s="543" t="s">
        <v>2250</v>
      </c>
      <c r="F18" s="3654">
        <v>492389.40652456693</v>
      </c>
      <c r="G18" s="3666" t="str">
        <f t="shared" si="2"/>
        <v>NA</v>
      </c>
      <c r="H18" s="3667">
        <f t="shared" si="3"/>
        <v>8.2070056445608164E-2</v>
      </c>
      <c r="I18" s="3668">
        <f t="shared" si="4"/>
        <v>7.6706412329372508E-4</v>
      </c>
      <c r="J18" s="3509" t="s">
        <v>2153</v>
      </c>
      <c r="K18" s="3510">
        <v>40.410426386690716</v>
      </c>
      <c r="L18" s="3511">
        <v>0.37769424843488453</v>
      </c>
      <c r="M18" s="482"/>
    </row>
    <row r="19" spans="2:13" ht="18" customHeight="1" x14ac:dyDescent="0.2">
      <c r="B19" s="903" t="s">
        <v>1272</v>
      </c>
      <c r="C19" s="4368"/>
      <c r="D19" s="298"/>
      <c r="E19" s="5" t="s">
        <v>2250</v>
      </c>
      <c r="F19" s="3682">
        <f>IF(SUM(F20,F23)=0,"NO",SUM(F20,F23))</f>
        <v>8989.1769080389658</v>
      </c>
      <c r="G19" s="3663" t="s">
        <v>2147</v>
      </c>
      <c r="H19" s="3664">
        <f t="shared" si="3"/>
        <v>5.3200653527527265E-2</v>
      </c>
      <c r="I19" s="3665">
        <f t="shared" si="4"/>
        <v>8.1599047252393334E-4</v>
      </c>
      <c r="J19" s="3505" t="str">
        <f>IF(SUM(J20,J23)=0,"IE",SUM(J20,J23))</f>
        <v>IE</v>
      </c>
      <c r="K19" s="3506">
        <f>IF(SUM(K20,K23)=0,"NO",SUM(K20,K23))</f>
        <v>0.47823008618222984</v>
      </c>
      <c r="L19" s="3507">
        <f>IF(SUM(L20,L23)=0,"NO",SUM(L20,L23))</f>
        <v>7.3350827127919458E-3</v>
      </c>
    </row>
    <row r="20" spans="2:13" ht="18" customHeight="1" x14ac:dyDescent="0.2">
      <c r="B20" s="923" t="s">
        <v>1273</v>
      </c>
      <c r="C20" s="4368"/>
      <c r="D20" s="298"/>
      <c r="E20" s="5" t="s">
        <v>2250</v>
      </c>
      <c r="F20" s="3681">
        <f>IF(SUM(F21:F22)=0,"NO",SUM(F21:F22))</f>
        <v>8110.6166603191186</v>
      </c>
      <c r="G20" s="3666" t="str">
        <f t="shared" si="2"/>
        <v>NA</v>
      </c>
      <c r="H20" s="3667">
        <f t="shared" si="3"/>
        <v>3.3522452589892893E-2</v>
      </c>
      <c r="I20" s="3668">
        <f t="shared" si="4"/>
        <v>6.5313871479090197E-4</v>
      </c>
      <c r="J20" s="3505" t="str">
        <f>IF(SUM(J21:J22)=0,"IE",SUM(J21:J22))</f>
        <v>IE</v>
      </c>
      <c r="K20" s="3505">
        <f>IF(SUM(K21:K22)=0,"NO",SUM(K21:K22))</f>
        <v>0.27188776247034308</v>
      </c>
      <c r="L20" s="3508">
        <f>IF(SUM(L21:L22)=0,"NO",SUM(L21:L22))</f>
        <v>5.2973577416825061E-3</v>
      </c>
      <c r="M20" s="482"/>
    </row>
    <row r="21" spans="2:13" ht="18" customHeight="1" x14ac:dyDescent="0.2">
      <c r="B21" s="923"/>
      <c r="C21" s="4367" t="s">
        <v>2248</v>
      </c>
      <c r="D21" s="542" t="s">
        <v>940</v>
      </c>
      <c r="E21" s="543" t="s">
        <v>2250</v>
      </c>
      <c r="F21" s="3654">
        <v>396.17595427129282</v>
      </c>
      <c r="G21" s="3666" t="str">
        <f t="shared" si="2"/>
        <v>NA</v>
      </c>
      <c r="H21" s="3667">
        <f t="shared" si="3"/>
        <v>0.39586522535814983</v>
      </c>
      <c r="I21" s="3668">
        <f t="shared" si="4"/>
        <v>7.3180085409957985E-3</v>
      </c>
      <c r="J21" s="3509" t="s">
        <v>2153</v>
      </c>
      <c r="K21" s="3510">
        <v>0.15683228341908539</v>
      </c>
      <c r="L21" s="3511">
        <v>2.8992190170944818E-3</v>
      </c>
      <c r="M21" s="482"/>
    </row>
    <row r="22" spans="2:13" ht="18" customHeight="1" x14ac:dyDescent="0.2">
      <c r="B22" s="923"/>
      <c r="C22" s="4367" t="s">
        <v>2263</v>
      </c>
      <c r="D22" s="542" t="s">
        <v>940</v>
      </c>
      <c r="E22" s="543" t="s">
        <v>2250</v>
      </c>
      <c r="F22" s="3655">
        <v>7714.4407060478261</v>
      </c>
      <c r="G22" s="3666" t="str">
        <f t="shared" si="2"/>
        <v>NA</v>
      </c>
      <c r="H22" s="3667">
        <f t="shared" si="3"/>
        <v>1.4914299485257378E-2</v>
      </c>
      <c r="I22" s="3668">
        <f t="shared" si="4"/>
        <v>3.1086358894533665E-4</v>
      </c>
      <c r="J22" s="3509" t="s">
        <v>2153</v>
      </c>
      <c r="K22" s="3510">
        <v>0.11505547905125767</v>
      </c>
      <c r="L22" s="3512">
        <v>2.3981387245880243E-3</v>
      </c>
      <c r="M22" s="482"/>
    </row>
    <row r="23" spans="2:13" ht="18" customHeight="1" x14ac:dyDescent="0.2">
      <c r="B23" s="923" t="s">
        <v>1274</v>
      </c>
      <c r="C23" s="4368"/>
      <c r="D23" s="298"/>
      <c r="E23" s="5" t="s">
        <v>2250</v>
      </c>
      <c r="F23" s="3681">
        <f>F24</f>
        <v>878.56024771984801</v>
      </c>
      <c r="G23" s="3666" t="str">
        <f t="shared" si="2"/>
        <v>NA</v>
      </c>
      <c r="H23" s="3667">
        <f t="shared" si="3"/>
        <v>0.23486417038263765</v>
      </c>
      <c r="I23" s="3668">
        <f t="shared" si="4"/>
        <v>2.3193912727078247E-3</v>
      </c>
      <c r="J23" s="3505" t="str">
        <f>J24</f>
        <v>IE</v>
      </c>
      <c r="K23" s="3505">
        <f>K24</f>
        <v>0.20634232371188674</v>
      </c>
      <c r="L23" s="3508">
        <f>L24</f>
        <v>2.0377249711094397E-3</v>
      </c>
      <c r="M23" s="482"/>
    </row>
    <row r="24" spans="2:13" ht="18" customHeight="1" thickBot="1" x14ac:dyDescent="0.25">
      <c r="B24" s="938"/>
      <c r="C24" s="4369" t="s">
        <v>2251</v>
      </c>
      <c r="D24" s="939" t="s">
        <v>940</v>
      </c>
      <c r="E24" s="940" t="s">
        <v>2250</v>
      </c>
      <c r="F24" s="3656">
        <v>878.56024771984801</v>
      </c>
      <c r="G24" s="3669" t="str">
        <f t="shared" si="2"/>
        <v>NA</v>
      </c>
      <c r="H24" s="3670">
        <f t="shared" si="3"/>
        <v>0.23486417038263765</v>
      </c>
      <c r="I24" s="3671">
        <f t="shared" si="4"/>
        <v>2.3193912727078247E-3</v>
      </c>
      <c r="J24" s="3513" t="s">
        <v>2153</v>
      </c>
      <c r="K24" s="3514">
        <v>0.20634232371188674</v>
      </c>
      <c r="L24" s="3515">
        <v>2.0377249711094397E-3</v>
      </c>
      <c r="M24" s="482"/>
    </row>
    <row r="25" spans="2:13" ht="18" customHeight="1" x14ac:dyDescent="0.2">
      <c r="B25" s="933" t="s">
        <v>1986</v>
      </c>
      <c r="C25" s="4370"/>
      <c r="D25" s="2850"/>
      <c r="E25" s="935" t="s">
        <v>2250</v>
      </c>
      <c r="F25" s="3683">
        <f>IF(SUM(F26,F31)=0,"IE",SUM(F26,F31))</f>
        <v>68675</v>
      </c>
      <c r="G25" s="3660" t="str">
        <f t="shared" si="2"/>
        <v>NA</v>
      </c>
      <c r="H25" s="3661">
        <f t="shared" si="3"/>
        <v>0.31155435311248636</v>
      </c>
      <c r="I25" s="3662">
        <f t="shared" si="4"/>
        <v>5.7594283887877681E-3</v>
      </c>
      <c r="J25" s="3502" t="str">
        <f>IF(SUM(J26,J31)=0,"IE",SUM(J26,J31))</f>
        <v>IE</v>
      </c>
      <c r="K25" s="3503">
        <f>IF(SUM(K26,K31)=0,"IE",SUM(K26,K31))</f>
        <v>21.395995200000002</v>
      </c>
      <c r="L25" s="3504">
        <f>IF(SUM(L26,L31)=0,"IE",SUM(L26,L31))</f>
        <v>0.39552874459999998</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68675</v>
      </c>
      <c r="G31" s="3663" t="str">
        <f t="shared" si="2"/>
        <v>NA</v>
      </c>
      <c r="H31" s="3664">
        <f t="shared" si="3"/>
        <v>0.31155435311248636</v>
      </c>
      <c r="I31" s="3665">
        <f t="shared" si="4"/>
        <v>5.7594283887877681E-3</v>
      </c>
      <c r="J31" s="3505" t="str">
        <f>IF(SUM(J32,J34)=0,"IE",SUM(J32,J34))</f>
        <v>IE</v>
      </c>
      <c r="K31" s="3505">
        <f t="shared" ref="K31:L31" si="6">IF(SUM(K32,K34)=0,"IE",SUM(K32,K34))</f>
        <v>21.395995200000002</v>
      </c>
      <c r="L31" s="3508">
        <f t="shared" si="6"/>
        <v>0.39552874459999998</v>
      </c>
    </row>
    <row r="32" spans="2:13" ht="18" customHeight="1" x14ac:dyDescent="0.2">
      <c r="B32" s="923" t="s">
        <v>1278</v>
      </c>
      <c r="C32" s="4368"/>
      <c r="D32" s="298"/>
      <c r="E32" s="5" t="s">
        <v>2250</v>
      </c>
      <c r="F32" s="3681">
        <f>F33</f>
        <v>68675</v>
      </c>
      <c r="G32" s="3663" t="str">
        <f t="shared" si="2"/>
        <v>NA</v>
      </c>
      <c r="H32" s="3664">
        <f t="shared" si="3"/>
        <v>0.31155435311248636</v>
      </c>
      <c r="I32" s="3665">
        <f t="shared" si="4"/>
        <v>5.7594283887877681E-3</v>
      </c>
      <c r="J32" s="3505" t="str">
        <f>J33</f>
        <v>IE</v>
      </c>
      <c r="K32" s="3505">
        <f>K33</f>
        <v>21.395995200000002</v>
      </c>
      <c r="L32" s="3508">
        <f>L33</f>
        <v>0.39552874459999998</v>
      </c>
      <c r="M32" s="482"/>
    </row>
    <row r="33" spans="2:13" ht="18" customHeight="1" x14ac:dyDescent="0.2">
      <c r="B33" s="923"/>
      <c r="C33" s="4367" t="s">
        <v>2252</v>
      </c>
      <c r="D33" s="542" t="s">
        <v>940</v>
      </c>
      <c r="E33" s="543" t="s">
        <v>2250</v>
      </c>
      <c r="F33" s="3654">
        <v>68675</v>
      </c>
      <c r="G33" s="3666" t="str">
        <f t="shared" si="2"/>
        <v>NA</v>
      </c>
      <c r="H33" s="3667">
        <f t="shared" si="3"/>
        <v>0.31155435311248636</v>
      </c>
      <c r="I33" s="3668">
        <f t="shared" si="4"/>
        <v>5.7594283887877681E-3</v>
      </c>
      <c r="J33" s="3509" t="s">
        <v>2153</v>
      </c>
      <c r="K33" s="3510">
        <v>21.395995200000002</v>
      </c>
      <c r="L33" s="3511">
        <v>0.39552874459999998</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13995335.293304021</v>
      </c>
      <c r="G36" s="3660" t="str">
        <f t="shared" si="2"/>
        <v>NA</v>
      </c>
      <c r="H36" s="3661">
        <f t="shared" ref="H36" si="7">IF(SUM($F36)=0,"NA",K36*1000/$F36)</f>
        <v>2.4777822184417993E-2</v>
      </c>
      <c r="I36" s="3662">
        <f t="shared" ref="I36" si="8">IF(SUM($F36)=0,"NA",L36*1000/$F36)</f>
        <v>5.6780826593270798E-4</v>
      </c>
      <c r="J36" s="3502" t="str">
        <f>IF(SUM(J37,J42)=0,"IE",SUM(J37,J42))</f>
        <v>IE</v>
      </c>
      <c r="K36" s="3503">
        <f>IF(SUM(K37,K42)=0,"NO",SUM(K37,K42))</f>
        <v>346.77392930879648</v>
      </c>
      <c r="L36" s="3504">
        <f>IF(SUM(L37,L42)=0,"NO",SUM(L37,L42))</f>
        <v>7.9466670640377837</v>
      </c>
      <c r="M36" s="482"/>
    </row>
    <row r="37" spans="2:13" ht="18" customHeight="1" x14ac:dyDescent="0.2">
      <c r="B37" s="903" t="s">
        <v>1876</v>
      </c>
      <c r="C37" s="4368"/>
      <c r="D37" s="298"/>
      <c r="E37" s="5" t="s">
        <v>2250</v>
      </c>
      <c r="F37" s="3680">
        <f>IF(SUM(F38,F40)=0,"NO",SUM(F38,F40))</f>
        <v>13197591.124733627</v>
      </c>
      <c r="G37" s="3666" t="str">
        <f t="shared" si="2"/>
        <v>NA</v>
      </c>
      <c r="H37" s="3664">
        <f t="shared" si="3"/>
        <v>1.2210147958461716E-2</v>
      </c>
      <c r="I37" s="3665">
        <f t="shared" si="4"/>
        <v>3.4178807629932064E-4</v>
      </c>
      <c r="J37" s="3505" t="str">
        <f>IF(SUM(J38,J40)=0,"IE",SUM(J38,J40))</f>
        <v>IE</v>
      </c>
      <c r="K37" s="3506">
        <f>IF(SUM(K38,K40)=0,"NO",SUM(K38,K40))</f>
        <v>161.14454032827877</v>
      </c>
      <c r="L37" s="3507">
        <f>IF(SUM(L38,L40)=0,"NO",SUM(L38,L40))</f>
        <v>4.5107792823076931</v>
      </c>
    </row>
    <row r="38" spans="2:13" ht="18" customHeight="1" x14ac:dyDescent="0.2">
      <c r="B38" s="923" t="s">
        <v>1280</v>
      </c>
      <c r="C38" s="4368"/>
      <c r="D38" s="298"/>
      <c r="E38" s="5" t="s">
        <v>2250</v>
      </c>
      <c r="F38" s="3681">
        <f>F39</f>
        <v>13197591.124733627</v>
      </c>
      <c r="G38" s="3666" t="str">
        <f t="shared" si="2"/>
        <v>NA</v>
      </c>
      <c r="H38" s="3667">
        <f t="shared" si="3"/>
        <v>1.2210147958461716E-2</v>
      </c>
      <c r="I38" s="3668">
        <f t="shared" si="4"/>
        <v>3.4178807629932064E-4</v>
      </c>
      <c r="J38" s="3505" t="str">
        <f>J39</f>
        <v>IE</v>
      </c>
      <c r="K38" s="3505">
        <f>K39</f>
        <v>161.14454032827877</v>
      </c>
      <c r="L38" s="3508">
        <f>L39</f>
        <v>4.5107792823076931</v>
      </c>
      <c r="M38" s="482"/>
    </row>
    <row r="39" spans="2:13" ht="18" customHeight="1" x14ac:dyDescent="0.2">
      <c r="B39" s="923"/>
      <c r="C39" s="4367" t="s">
        <v>2263</v>
      </c>
      <c r="D39" s="542" t="s">
        <v>940</v>
      </c>
      <c r="E39" s="543" t="s">
        <v>2250</v>
      </c>
      <c r="F39" s="3655">
        <v>13197591.124733627</v>
      </c>
      <c r="G39" s="3666" t="str">
        <f t="shared" si="2"/>
        <v>NA</v>
      </c>
      <c r="H39" s="3667">
        <f t="shared" ref="H39:H40" si="9">IF(SUM($F39)=0,"NA",K39*1000/$F39)</f>
        <v>1.2210147958461716E-2</v>
      </c>
      <c r="I39" s="3668">
        <f t="shared" ref="I39:I40" si="10">IF(SUM($F39)=0,"NA",L39*1000/$F39)</f>
        <v>3.4178807629932064E-4</v>
      </c>
      <c r="J39" s="3509" t="s">
        <v>2153</v>
      </c>
      <c r="K39" s="3510">
        <v>161.14454032827877</v>
      </c>
      <c r="L39" s="3512">
        <v>4.5107792823076931</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797744.16857039381</v>
      </c>
      <c r="G42" s="3663" t="str">
        <f t="shared" si="2"/>
        <v>NA</v>
      </c>
      <c r="H42" s="3664">
        <f t="shared" si="11"/>
        <v>0.23269288111898945</v>
      </c>
      <c r="I42" s="3665">
        <f t="shared" si="12"/>
        <v>4.3070045725152849E-3</v>
      </c>
      <c r="J42" s="3505" t="str">
        <f>IF(SUM(J43,J46)=0,"IE",SUM(J43,J46))</f>
        <v>IE</v>
      </c>
      <c r="K42" s="3506">
        <f>IF(SUM(K43,K46)=0,"NO",SUM(K43,K46))</f>
        <v>185.62938898051772</v>
      </c>
      <c r="L42" s="3507">
        <f>IF(SUM(L43,L46)=0,"NO",SUM(L43,L46))</f>
        <v>3.4358877817300906</v>
      </c>
    </row>
    <row r="43" spans="2:13" ht="18" customHeight="1" x14ac:dyDescent="0.2">
      <c r="B43" s="923" t="s">
        <v>1283</v>
      </c>
      <c r="C43" s="4368"/>
      <c r="D43" s="298"/>
      <c r="E43" s="5" t="s">
        <v>2250</v>
      </c>
      <c r="F43" s="3681">
        <f>IF(SUM(F44:F45)=0,"NO",SUM(F44:F45))</f>
        <v>797744.16857039381</v>
      </c>
      <c r="G43" s="3666" t="str">
        <f t="shared" si="2"/>
        <v>NA</v>
      </c>
      <c r="H43" s="3667">
        <f t="shared" ref="H43" si="13">IF(SUM($F43)=0,"NA",K43*1000/$F43)</f>
        <v>0.23269288111898945</v>
      </c>
      <c r="I43" s="3668">
        <f t="shared" ref="I43" si="14">IF(SUM($F43)=0,"NA",L43*1000/$F43)</f>
        <v>4.3070045725152849E-3</v>
      </c>
      <c r="J43" s="3505" t="str">
        <f>IF(SUM(J44:J45)=0,"IE",SUM(J44:J45))</f>
        <v>IE</v>
      </c>
      <c r="K43" s="3505">
        <f>IF(SUM(K44:K45)=0,"NO",SUM(K44:K45))</f>
        <v>185.62938898051772</v>
      </c>
      <c r="L43" s="3508">
        <f>IF(SUM(L44:L45)=0,"NO",SUM(L44:L45))</f>
        <v>3.4358877817300906</v>
      </c>
      <c r="M43" s="482"/>
    </row>
    <row r="44" spans="2:13" ht="18" customHeight="1" x14ac:dyDescent="0.2">
      <c r="B44" s="923"/>
      <c r="C44" s="4367" t="s">
        <v>2252</v>
      </c>
      <c r="D44" s="542" t="s">
        <v>940</v>
      </c>
      <c r="E44" s="543" t="s">
        <v>2250</v>
      </c>
      <c r="F44" s="3655">
        <v>748313</v>
      </c>
      <c r="G44" s="3666" t="str">
        <f t="shared" si="2"/>
        <v>NA</v>
      </c>
      <c r="H44" s="3667">
        <f t="shared" ref="H44:H46" si="15">IF(SUM($F44)=0,"NA",K44*1000/$F44)</f>
        <v>0.24694197962617248</v>
      </c>
      <c r="I44" s="3668">
        <f t="shared" ref="I44:I46" si="16">IF(SUM($F44)=0,"NA",L44*1000/$F44)</f>
        <v>4.5649968733671607E-3</v>
      </c>
      <c r="J44" s="3509" t="s">
        <v>2153</v>
      </c>
      <c r="K44" s="3510">
        <v>184.7898936</v>
      </c>
      <c r="L44" s="3512">
        <v>3.4160465053000002</v>
      </c>
      <c r="M44" s="482"/>
    </row>
    <row r="45" spans="2:13" ht="18" customHeight="1" x14ac:dyDescent="0.2">
      <c r="B45" s="923"/>
      <c r="C45" s="4367" t="s">
        <v>2263</v>
      </c>
      <c r="D45" s="542" t="s">
        <v>940</v>
      </c>
      <c r="E45" s="543" t="s">
        <v>2250</v>
      </c>
      <c r="F45" s="3655">
        <v>49431.16857039382</v>
      </c>
      <c r="G45" s="3666" t="str">
        <f t="shared" si="2"/>
        <v>NA</v>
      </c>
      <c r="H45" s="3667">
        <f t="shared" si="15"/>
        <v>1.6983118238894288E-2</v>
      </c>
      <c r="I45" s="3668">
        <f t="shared" si="16"/>
        <v>4.0139201649329656E-4</v>
      </c>
      <c r="J45" s="3509" t="s">
        <v>2153</v>
      </c>
      <c r="K45" s="3510">
        <v>0.83949538051771344</v>
      </c>
      <c r="L45" s="3512">
        <v>1.9841276430090437E-2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671032.79367628996</v>
      </c>
      <c r="G48" s="3660" t="str">
        <f t="shared" si="2"/>
        <v>NA</v>
      </c>
      <c r="H48" s="3661">
        <f t="shared" si="17"/>
        <v>1.6440769263133821E-2</v>
      </c>
      <c r="I48" s="3662">
        <f t="shared" si="18"/>
        <v>3.7156196996527549E-4</v>
      </c>
      <c r="J48" s="3502" t="str">
        <f>IF(SUM(J49,J54)=0,"IE",SUM(J49,J54))</f>
        <v>IE</v>
      </c>
      <c r="K48" s="3503">
        <f>IF(SUM(K49,K54)=0,"NO",SUM(K49,K54))</f>
        <v>11.032295328827967</v>
      </c>
      <c r="L48" s="3504">
        <f>IF(SUM(L49,L54)=0,"NO",SUM(L49,L54))</f>
        <v>0.24933026672966455</v>
      </c>
      <c r="M48" s="482"/>
    </row>
    <row r="49" spans="2:13" ht="18" customHeight="1" x14ac:dyDescent="0.2">
      <c r="B49" s="903" t="s">
        <v>1285</v>
      </c>
      <c r="C49" s="4368"/>
      <c r="D49" s="298"/>
      <c r="E49" s="5" t="s">
        <v>2250</v>
      </c>
      <c r="F49" s="3680">
        <f>IF(SUM(F50,F52)=0,"NO",SUM(F50,F52))</f>
        <v>671032.79367628996</v>
      </c>
      <c r="G49" s="3663" t="str">
        <f t="shared" si="2"/>
        <v>NA</v>
      </c>
      <c r="H49" s="3664">
        <f t="shared" si="17"/>
        <v>1.6440769263133821E-2</v>
      </c>
      <c r="I49" s="3665">
        <f t="shared" si="18"/>
        <v>3.7156196996527549E-4</v>
      </c>
      <c r="J49" s="3505" t="str">
        <f>IF(SUM(J50,J52)=0,"IE",SUM(J50,J52))</f>
        <v>IE</v>
      </c>
      <c r="K49" s="3506">
        <f>IF(SUM(K50,K52)=0,"NO",SUM(K50,K52))</f>
        <v>11.032295328827967</v>
      </c>
      <c r="L49" s="3507">
        <f>IF(SUM(L50,L52)=0,"NO",SUM(L50,L52))</f>
        <v>0.24933026672966455</v>
      </c>
    </row>
    <row r="50" spans="2:13" ht="18" customHeight="1" x14ac:dyDescent="0.2">
      <c r="B50" s="923" t="s">
        <v>1286</v>
      </c>
      <c r="C50" s="4368"/>
      <c r="D50" s="298"/>
      <c r="E50" s="5" t="s">
        <v>2250</v>
      </c>
      <c r="F50" s="3681">
        <f>F51</f>
        <v>671032.79367628996</v>
      </c>
      <c r="G50" s="3666" t="str">
        <f t="shared" si="2"/>
        <v>NA</v>
      </c>
      <c r="H50" s="3667">
        <f t="shared" si="17"/>
        <v>1.6440769263133821E-2</v>
      </c>
      <c r="I50" s="3668">
        <f t="shared" si="18"/>
        <v>3.7156196996527549E-4</v>
      </c>
      <c r="J50" s="3505" t="str">
        <f>J51</f>
        <v>IE</v>
      </c>
      <c r="K50" s="3505">
        <f>K51</f>
        <v>11.032295328827967</v>
      </c>
      <c r="L50" s="3508">
        <f>L51</f>
        <v>0.24933026672966455</v>
      </c>
      <c r="M50" s="482"/>
    </row>
    <row r="51" spans="2:13" ht="18" customHeight="1" x14ac:dyDescent="0.2">
      <c r="B51" s="923"/>
      <c r="C51" s="4367" t="s">
        <v>2263</v>
      </c>
      <c r="D51" s="542" t="s">
        <v>940</v>
      </c>
      <c r="E51" s="543" t="s">
        <v>2250</v>
      </c>
      <c r="F51" s="3655">
        <v>671032.79367628996</v>
      </c>
      <c r="G51" s="3666" t="str">
        <f t="shared" si="2"/>
        <v>NA</v>
      </c>
      <c r="H51" s="3667">
        <f t="shared" si="17"/>
        <v>1.6440769263133821E-2</v>
      </c>
      <c r="I51" s="3668">
        <f t="shared" si="18"/>
        <v>3.7156196996527549E-4</v>
      </c>
      <c r="J51" s="3509" t="s">
        <v>2153</v>
      </c>
      <c r="K51" s="3510">
        <v>11.032295328827967</v>
      </c>
      <c r="L51" s="3512">
        <v>0.24933026672966455</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21205</v>
      </c>
      <c r="G59" s="3660" t="str">
        <f t="shared" si="2"/>
        <v>NA</v>
      </c>
      <c r="H59" s="3661">
        <f t="shared" si="3"/>
        <v>0.26643701013911819</v>
      </c>
      <c r="I59" s="3662">
        <f t="shared" si="4"/>
        <v>4.9253841735439757E-3</v>
      </c>
      <c r="J59" s="3502" t="str">
        <f>IF(SUM(J60,J65)=0,"IE",SUM(J60,J65))</f>
        <v>IE</v>
      </c>
      <c r="K59" s="3503">
        <f>IF(SUM(K60,K65)=0,"NO",SUM(K60,K65))</f>
        <v>5.6497968000000007</v>
      </c>
      <c r="L59" s="3504">
        <f>IF(SUM(L60,L65)=0,"NO",SUM(L60,L65))</f>
        <v>0.10444277140000001</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21205</v>
      </c>
      <c r="G65" s="3663" t="str">
        <f t="shared" si="2"/>
        <v>NA</v>
      </c>
      <c r="H65" s="3664">
        <f t="shared" si="3"/>
        <v>0.26643701013911819</v>
      </c>
      <c r="I65" s="3665">
        <f t="shared" si="4"/>
        <v>4.9253841735439757E-3</v>
      </c>
      <c r="J65" s="3505" t="str">
        <f>IF(SUM(J66,J68)=0,"IE",SUM(J66,J68))</f>
        <v>IE</v>
      </c>
      <c r="K65" s="3506">
        <f>IF(SUM(K66,K68)=0,"NO",SUM(K66,K68))</f>
        <v>5.6497968000000007</v>
      </c>
      <c r="L65" s="3507">
        <f>IF(SUM(L66,L68)=0,"NO",SUM(L66,L68))</f>
        <v>0.10444277140000001</v>
      </c>
    </row>
    <row r="66" spans="2:13" ht="18" customHeight="1" x14ac:dyDescent="0.2">
      <c r="B66" s="923" t="s">
        <v>1294</v>
      </c>
      <c r="C66" s="4368"/>
      <c r="D66" s="298"/>
      <c r="E66" s="5" t="s">
        <v>2250</v>
      </c>
      <c r="F66" s="3681">
        <f>F67</f>
        <v>21205</v>
      </c>
      <c r="G66" s="3666" t="str">
        <f t="shared" si="2"/>
        <v>NA</v>
      </c>
      <c r="H66" s="3667">
        <f t="shared" si="3"/>
        <v>0.26643701013911819</v>
      </c>
      <c r="I66" s="3668">
        <f t="shared" si="4"/>
        <v>4.9253841735439757E-3</v>
      </c>
      <c r="J66" s="3505" t="str">
        <f>J67</f>
        <v>IE</v>
      </c>
      <c r="K66" s="3505">
        <f>K67</f>
        <v>5.6497968000000007</v>
      </c>
      <c r="L66" s="3508">
        <f>L67</f>
        <v>0.10444277140000001</v>
      </c>
      <c r="M66" s="482"/>
    </row>
    <row r="67" spans="2:13" ht="18" customHeight="1" x14ac:dyDescent="0.2">
      <c r="B67" s="923"/>
      <c r="C67" s="4367" t="s">
        <v>2252</v>
      </c>
      <c r="D67" s="542" t="s">
        <v>940</v>
      </c>
      <c r="E67" s="543" t="s">
        <v>2250</v>
      </c>
      <c r="F67" s="3655">
        <v>21205</v>
      </c>
      <c r="G67" s="3666" t="str">
        <f t="shared" si="2"/>
        <v>NA</v>
      </c>
      <c r="H67" s="3667">
        <f t="shared" ref="H67:H68" si="23">IF(SUM($F67)=0,"NA",K67*1000/$F67)</f>
        <v>0.26643701013911819</v>
      </c>
      <c r="I67" s="3668">
        <f t="shared" ref="I67:I68" si="24">IF(SUM($F67)=0,"NA",L67*1000/$F67)</f>
        <v>4.9253841735439757E-3</v>
      </c>
      <c r="J67" s="3509" t="s">
        <v>2153</v>
      </c>
      <c r="K67" s="3510">
        <v>5.6497968000000007</v>
      </c>
      <c r="L67" s="3512">
        <v>0.10444277140000001</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4027.3678012221708</v>
      </c>
      <c r="D10" s="3521">
        <f>IF(SUM(D11,D16:D17)=0,"NO",SUM(D11,D16:D17))</f>
        <v>-2236.1765456534254</v>
      </c>
      <c r="E10" s="3522"/>
      <c r="F10" s="3523">
        <f>IF(SUM(F11,F16:F17)=0,"NO",SUM(F11,F16:F17))</f>
        <v>1791.1912555687454</v>
      </c>
      <c r="G10" s="3524">
        <f>IF(SUM(G11,G16:G17)=0,"NO",SUM(G11,G16:G17))</f>
        <v>-6567.7012704187327</v>
      </c>
      <c r="H10" s="226"/>
      <c r="I10" s="2"/>
      <c r="J10" s="2"/>
    </row>
    <row r="11" spans="1:10" ht="18" customHeight="1" x14ac:dyDescent="0.2">
      <c r="B11" s="606" t="s">
        <v>1314</v>
      </c>
      <c r="C11" s="3525">
        <f>IF(SUM(C13:C15)=0,"NO",SUM(C13:C15))</f>
        <v>1491.5585116050456</v>
      </c>
      <c r="D11" s="3526">
        <f>IF(SUM(D13:D15)=0,"NO",SUM(D13:D15))</f>
        <v>-473.30208337012789</v>
      </c>
      <c r="E11" s="3527"/>
      <c r="F11" s="3528">
        <f>IF(SUM(F13:F15)=0,"NO",SUM(F13:F15))</f>
        <v>1018.2564282349176</v>
      </c>
      <c r="G11" s="3529">
        <f>IF(SUM(G13:G15)=0,"NO",SUM(G13:G15))</f>
        <v>-3733.6069035280311</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1140.4560144589866</v>
      </c>
      <c r="D13" s="3534">
        <f>F13-C13</f>
        <v>-299.94032656437207</v>
      </c>
      <c r="E13" s="3535" t="s">
        <v>2147</v>
      </c>
      <c r="F13" s="3536">
        <f>G13/(-44/12)</f>
        <v>840.51568789461453</v>
      </c>
      <c r="G13" s="3537">
        <v>-3081.8908556135866</v>
      </c>
      <c r="H13" s="226"/>
      <c r="I13" s="2"/>
      <c r="J13" s="2"/>
    </row>
    <row r="14" spans="1:10" ht="18" customHeight="1" x14ac:dyDescent="0.2">
      <c r="B14" s="1193" t="s">
        <v>1316</v>
      </c>
      <c r="C14" s="3538">
        <v>351.10249714605891</v>
      </c>
      <c r="D14" s="3539">
        <f>F14-C14</f>
        <v>-173.36175680575582</v>
      </c>
      <c r="E14" s="3235" t="s">
        <v>2147</v>
      </c>
      <c r="F14" s="3540">
        <f>G14/(-44/12)</f>
        <v>177.74074034030309</v>
      </c>
      <c r="G14" s="3537">
        <v>-651.71604791444463</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1289.4637455000002</v>
      </c>
      <c r="D16" s="3539">
        <f>F16-C16</f>
        <v>-1322.3053674031535</v>
      </c>
      <c r="E16" s="3235" t="s">
        <v>2147</v>
      </c>
      <c r="F16" s="3540">
        <f>G16/(-44/12)</f>
        <v>-32.841621903153282</v>
      </c>
      <c r="G16" s="3537">
        <v>120.41928031156203</v>
      </c>
      <c r="H16" s="226"/>
      <c r="I16" s="2"/>
      <c r="J16" s="2"/>
    </row>
    <row r="17" spans="2:10" ht="18" customHeight="1" x14ac:dyDescent="0.2">
      <c r="B17" s="1197" t="s">
        <v>1320</v>
      </c>
      <c r="C17" s="3542">
        <f>C18</f>
        <v>1246.3455441171252</v>
      </c>
      <c r="D17" s="3543">
        <f t="shared" ref="D17:F17" si="0">D18</f>
        <v>-440.56909488014401</v>
      </c>
      <c r="E17" s="3544"/>
      <c r="F17" s="3226">
        <f t="shared" si="0"/>
        <v>805.77644923698119</v>
      </c>
      <c r="G17" s="3537">
        <f>-F17*44/12</f>
        <v>-2954.5136472022641</v>
      </c>
      <c r="H17" s="226"/>
      <c r="I17" s="2"/>
      <c r="J17" s="2"/>
    </row>
    <row r="18" spans="2:10" ht="18" customHeight="1" thickBot="1" x14ac:dyDescent="0.25">
      <c r="B18" s="561" t="s">
        <v>2254</v>
      </c>
      <c r="C18" s="3545">
        <v>1246.3455441171252</v>
      </c>
      <c r="D18" s="3546">
        <f>F18-C18</f>
        <v>-440.56909488014401</v>
      </c>
      <c r="E18" s="3238" t="s">
        <v>2147</v>
      </c>
      <c r="F18" s="3547">
        <f>G18/(-44/12)</f>
        <v>805.77644923698119</v>
      </c>
      <c r="G18" s="3548">
        <v>-2954.5136472022641</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73.988845759355272</v>
      </c>
      <c r="D10" s="4371">
        <f t="shared" ref="D10:I10" si="0">IF(SUM(D11,D15,D18,D21)=0,"NO",SUM(D11,D15,D18,D21))</f>
        <v>826.76554439361973</v>
      </c>
      <c r="E10" s="4371">
        <f t="shared" si="0"/>
        <v>0.61813364076428645</v>
      </c>
      <c r="F10" s="4371" t="str">
        <f t="shared" si="0"/>
        <v>NO</v>
      </c>
      <c r="G10" s="4371" t="str">
        <f t="shared" si="0"/>
        <v>NO</v>
      </c>
      <c r="H10" s="4371">
        <f t="shared" si="0"/>
        <v>479.90513193388443</v>
      </c>
      <c r="I10" s="4372" t="str">
        <f t="shared" si="0"/>
        <v>NO</v>
      </c>
      <c r="J10" s="4373">
        <f>IF(SUM(C10:E10)=0,"NO",SUM(C10,IFERROR(28*D10,0),IFERROR(265*E10,0)))</f>
        <v>23387.229503583243</v>
      </c>
    </row>
    <row r="11" spans="1:10" ht="18" customHeight="1" x14ac:dyDescent="0.2">
      <c r="B11" s="1504" t="s">
        <v>1371</v>
      </c>
      <c r="C11" s="4374"/>
      <c r="D11" s="2883">
        <f>IF(SUM(D12:D14)=0,"NO",SUM(D12:D14))</f>
        <v>608.91102808999995</v>
      </c>
      <c r="E11" s="4374"/>
      <c r="F11" s="2883" t="str">
        <f>IF(SUM(F12:F14)=0,"NO",SUM(F12:F14))</f>
        <v>NO</v>
      </c>
      <c r="G11" s="2883" t="str">
        <f t="shared" ref="G11:H11" si="1">IF(SUM(G12:G14)=0,"NO",SUM(G12:G14))</f>
        <v>NO</v>
      </c>
      <c r="H11" s="2883">
        <f t="shared" si="1"/>
        <v>2.7164286798948689</v>
      </c>
      <c r="I11" s="2153"/>
      <c r="J11" s="2872">
        <f t="shared" ref="J11:J18" si="2">IF(SUM(C11:E11)=0,"NO",SUM(C11,IFERROR(28*D11,0),IFERROR(265*E11,0)))</f>
        <v>17049.508786519997</v>
      </c>
    </row>
    <row r="12" spans="1:10" ht="18" customHeight="1" x14ac:dyDescent="0.2">
      <c r="B12" s="1270" t="s">
        <v>1372</v>
      </c>
      <c r="C12" s="4375"/>
      <c r="D12" s="4376">
        <f>IF(SUM(Table5.A!F10:H10)=0,"NO",SUM(Table5.A!F10))</f>
        <v>608.91102808999995</v>
      </c>
      <c r="E12" s="4375"/>
      <c r="F12" s="4377" t="s">
        <v>2147</v>
      </c>
      <c r="G12" s="4377" t="s">
        <v>2147</v>
      </c>
      <c r="H12" s="4377">
        <v>2.7164286798948689</v>
      </c>
      <c r="I12" s="4378"/>
      <c r="J12" s="4379">
        <f t="shared" si="2"/>
        <v>17049.508786519997</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0.48310166212398975</v>
      </c>
      <c r="E15" s="2881">
        <f t="shared" ref="E15" si="3">IF(SUM(E16:E17)=0,"NO",SUM(E16:E17))</f>
        <v>6.1837012751870701E-2</v>
      </c>
      <c r="F15" s="2881" t="s">
        <v>2256</v>
      </c>
      <c r="G15" s="2881" t="s">
        <v>2256</v>
      </c>
      <c r="H15" s="2881" t="s">
        <v>2256</v>
      </c>
      <c r="I15" s="4386"/>
      <c r="J15" s="2873">
        <f t="shared" si="2"/>
        <v>29.913654918717448</v>
      </c>
    </row>
    <row r="16" spans="1:10" ht="18" customHeight="1" x14ac:dyDescent="0.2">
      <c r="B16" s="1883" t="s">
        <v>1376</v>
      </c>
      <c r="C16" s="4387"/>
      <c r="D16" s="4376">
        <f>Table5.B!F10</f>
        <v>0.48310166212398975</v>
      </c>
      <c r="E16" s="4376">
        <f>Table5.B!G10</f>
        <v>6.1837012751870701E-2</v>
      </c>
      <c r="F16" s="4388" t="s">
        <v>2147</v>
      </c>
      <c r="G16" s="4388" t="s">
        <v>2147</v>
      </c>
      <c r="H16" s="4388" t="s">
        <v>2147</v>
      </c>
      <c r="I16" s="4378"/>
      <c r="J16" s="4379">
        <f t="shared" si="2"/>
        <v>29.913654918717448</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73.988845759355272</v>
      </c>
      <c r="D18" s="2871">
        <f>IF(SUM(D19:D20)=0,"NO,NE",SUM(D19:D20))</f>
        <v>9.2671199999999995E-2</v>
      </c>
      <c r="E18" s="2871">
        <f>IF(SUM(E19:E20)=0,"NO,NE",SUM(E19:E20))</f>
        <v>3.7979999999999993E-2</v>
      </c>
      <c r="F18" s="2871" t="s">
        <v>2147</v>
      </c>
      <c r="G18" s="2871" t="s">
        <v>2147</v>
      </c>
      <c r="H18" s="2871" t="s">
        <v>2147</v>
      </c>
      <c r="I18" s="2871" t="s">
        <v>2147</v>
      </c>
      <c r="J18" s="2874">
        <f t="shared" si="2"/>
        <v>86.648339359355276</v>
      </c>
    </row>
    <row r="19" spans="2:12" ht="18" customHeight="1" x14ac:dyDescent="0.2">
      <c r="B19" s="1270" t="s">
        <v>1379</v>
      </c>
      <c r="C19" s="4376">
        <f>Table5.C!G10</f>
        <v>73.988845759355272</v>
      </c>
      <c r="D19" s="4376">
        <f>Table5.C!H10</f>
        <v>9.2671199999999995E-2</v>
      </c>
      <c r="E19" s="4376">
        <f>Table5.C!I10</f>
        <v>3.7979999999999993E-2</v>
      </c>
      <c r="F19" s="4391" t="s">
        <v>2147</v>
      </c>
      <c r="G19" s="4391" t="s">
        <v>2147</v>
      </c>
      <c r="H19" s="4391" t="s">
        <v>2147</v>
      </c>
      <c r="I19" s="4391" t="s">
        <v>2147</v>
      </c>
      <c r="J19" s="4379">
        <f>IF(SUM(C19:E19)=0,"NO",SUM(C19,IFERROR(28*D19,0),IFERROR(265*E19,0)))</f>
        <v>86.648339359355276</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217.27874344149578</v>
      </c>
      <c r="E21" s="2871">
        <f t="shared" ref="E21:H21" si="5">IF(SUM(E22:E24)=0,"NO",SUM(E22:E24))</f>
        <v>0.51831662801241574</v>
      </c>
      <c r="F21" s="2871" t="str">
        <f t="shared" si="5"/>
        <v>NO</v>
      </c>
      <c r="G21" s="2871" t="str">
        <f t="shared" si="5"/>
        <v>NO</v>
      </c>
      <c r="H21" s="2871">
        <f t="shared" si="5"/>
        <v>477.18870325398956</v>
      </c>
      <c r="I21" s="4393"/>
      <c r="J21" s="2874">
        <f t="shared" si="4"/>
        <v>6221.1587227851714</v>
      </c>
    </row>
    <row r="22" spans="2:12" ht="18" customHeight="1" x14ac:dyDescent="0.2">
      <c r="B22" s="1270" t="s">
        <v>1382</v>
      </c>
      <c r="C22" s="4394"/>
      <c r="D22" s="4376">
        <f>IF(SUM(Table5.D!H10)=0,"NO",SUM(Table5.D!H10))</f>
        <v>79.115691922920377</v>
      </c>
      <c r="E22" s="4376">
        <f>IF(SUM(Table5.D!I10:J10)=0,"NO",SUM(Table5.D!I10:J10))</f>
        <v>0.51831662801241574</v>
      </c>
      <c r="F22" s="4377" t="s">
        <v>2147</v>
      </c>
      <c r="G22" s="4377" t="s">
        <v>2147</v>
      </c>
      <c r="H22" s="4377">
        <v>18.520682390026604</v>
      </c>
      <c r="I22" s="4378"/>
      <c r="J22" s="4379">
        <f t="shared" si="4"/>
        <v>2352.5932802650605</v>
      </c>
    </row>
    <row r="23" spans="2:12" ht="18" customHeight="1" x14ac:dyDescent="0.2">
      <c r="B23" s="1270" t="s">
        <v>1383</v>
      </c>
      <c r="C23" s="4394"/>
      <c r="D23" s="4376">
        <f>IF(SUM(Table5.D!H11)=0,"NO",SUM(Table5.D!H11))</f>
        <v>138.1630515185754</v>
      </c>
      <c r="E23" s="4376" t="str">
        <f>IF(SUM(Table5.D!I11:J11)=0,"IE",SUM(Table5.D!I11:J11))</f>
        <v>IE</v>
      </c>
      <c r="F23" s="4377" t="s">
        <v>2147</v>
      </c>
      <c r="G23" s="4377" t="s">
        <v>2147</v>
      </c>
      <c r="H23" s="4377">
        <v>458.66802086396297</v>
      </c>
      <c r="I23" s="4378"/>
      <c r="J23" s="4379">
        <f t="shared" si="4"/>
        <v>3868.565442520111</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-191072.90426935992</v>
      </c>
      <c r="D28" s="4404"/>
      <c r="E28" s="4404"/>
      <c r="F28" s="4404"/>
      <c r="G28" s="4404"/>
      <c r="H28" s="4404"/>
      <c r="I28" s="4405"/>
      <c r="J28" s="4406"/>
      <c r="K28"/>
      <c r="L28"/>
    </row>
    <row r="29" spans="2:12" ht="18" customHeight="1" x14ac:dyDescent="0.2">
      <c r="B29" s="2487" t="s">
        <v>2081</v>
      </c>
      <c r="C29" s="4407">
        <v>-4668.0438415144281</v>
      </c>
      <c r="D29" s="4408"/>
      <c r="E29" s="4408"/>
      <c r="F29" s="4408"/>
      <c r="G29" s="4408"/>
      <c r="H29" s="4408"/>
      <c r="I29" s="4406"/>
      <c r="J29" s="4406"/>
      <c r="K29"/>
      <c r="L29"/>
    </row>
    <row r="30" spans="2:12" ht="29.25" customHeight="1" thickBot="1" x14ac:dyDescent="0.25">
      <c r="B30" s="2488" t="s">
        <v>2082</v>
      </c>
      <c r="C30" s="4409">
        <v>-2954.5136472022641</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17179.014681398374</v>
      </c>
      <c r="D10" s="3752"/>
      <c r="E10" s="3751">
        <f>IF(SUM(C10)=0,"NA",(F10-SUM(G10:H10))/C10)</f>
        <v>3.5578351810352377E-2</v>
      </c>
      <c r="F10" s="3753">
        <f>F11</f>
        <v>608.91102808999995</v>
      </c>
      <c r="G10" s="3753" t="str">
        <f>G11</f>
        <v>IE</v>
      </c>
      <c r="H10" s="3754">
        <f>H11</f>
        <v>-2.29</v>
      </c>
      <c r="I10" s="44"/>
    </row>
    <row r="11" spans="1:13" ht="18" customHeight="1" x14ac:dyDescent="0.2">
      <c r="B11" s="1750" t="s">
        <v>1395</v>
      </c>
      <c r="C11" s="3755">
        <f>IF(SUM(C13:C16)=0,"NO",SUM(C13:C16))</f>
        <v>17179.014681398374</v>
      </c>
      <c r="D11" s="3755">
        <v>1</v>
      </c>
      <c r="E11" s="3755">
        <f>IF(SUM(C11)=0,"NA",(F11-SUM(G11:H11))/C11)</f>
        <v>3.5578351810352377E-2</v>
      </c>
      <c r="F11" s="3755">
        <f>IF(SUM(F13:F16)=0,"NO",SUM(F13:F16))</f>
        <v>608.91102808999995</v>
      </c>
      <c r="G11" s="3756" t="s">
        <v>2153</v>
      </c>
      <c r="H11" s="3757">
        <v>-2.29</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9320.8948183514076</v>
      </c>
      <c r="D13" s="3762">
        <v>1</v>
      </c>
      <c r="E13" s="3755" t="s">
        <v>2153</v>
      </c>
      <c r="F13" s="3762">
        <v>20.81751839</v>
      </c>
      <c r="G13" s="3763"/>
      <c r="H13" s="3764"/>
      <c r="I13" s="44"/>
    </row>
    <row r="14" spans="1:13" ht="18" customHeight="1" x14ac:dyDescent="0.2">
      <c r="B14" s="1751" t="s">
        <v>1398</v>
      </c>
      <c r="C14" s="3762">
        <v>2962.7828380644946</v>
      </c>
      <c r="D14" s="3762">
        <v>1</v>
      </c>
      <c r="E14" s="3755" t="s">
        <v>2153</v>
      </c>
      <c r="F14" s="3762">
        <v>230.14705359999999</v>
      </c>
      <c r="G14" s="3763"/>
      <c r="H14" s="3764"/>
      <c r="I14" s="44"/>
    </row>
    <row r="15" spans="1:13" ht="18" customHeight="1" x14ac:dyDescent="0.2">
      <c r="B15" s="1751" t="s">
        <v>1399</v>
      </c>
      <c r="C15" s="3762">
        <v>4895.3370249824711</v>
      </c>
      <c r="D15" s="3762">
        <v>1</v>
      </c>
      <c r="E15" s="3755" t="s">
        <v>2153</v>
      </c>
      <c r="F15" s="3762">
        <v>357.94645609999998</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644.13554949865295</v>
      </c>
      <c r="D10" s="1913">
        <f>IF(SUM($C10)=0,"NA",F10*1000/$C10)</f>
        <v>0.75</v>
      </c>
      <c r="E10" s="1913">
        <f>IF(SUM($C10)=0,"NA",G10*1000/$C10)</f>
        <v>9.600000000000003E-2</v>
      </c>
      <c r="F10" s="1909">
        <f>IF(SUM(F11:F12)=0,"NO",SUM(F11:F12))</f>
        <v>0.48310166212398975</v>
      </c>
      <c r="G10" s="1909">
        <f>IF(SUM(G11:G12)=0,"NO",SUM(G11:G12))</f>
        <v>6.1837012751870701E-2</v>
      </c>
      <c r="H10" s="1910"/>
      <c r="I10" s="1911"/>
    </row>
    <row r="11" spans="1:9" ht="18" customHeight="1" x14ac:dyDescent="0.2">
      <c r="B11" s="1526" t="s">
        <v>1411</v>
      </c>
      <c r="C11" s="1912">
        <v>644.13554949865295</v>
      </c>
      <c r="D11" s="1913">
        <f>IF(SUM($C11)=0,"NA",F11*1000/$C11)</f>
        <v>0.75</v>
      </c>
      <c r="E11" s="1913">
        <f>IF(SUM($C11)=0,"NA",G11*1000/$C11)</f>
        <v>9.600000000000003E-2</v>
      </c>
      <c r="F11" s="1912">
        <v>0.48310166212398975</v>
      </c>
      <c r="G11" s="1912">
        <v>6.1837012751870701E-2</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11.352420218109639</v>
      </c>
      <c r="D10" s="2887">
        <f>IF(SUM(G10)=0,"NA",G10*1000/$C10)</f>
        <v>6517.4512868477668</v>
      </c>
      <c r="E10" s="2887">
        <f t="shared" ref="E10:E20" si="0">IF(SUM(H10)=0,"NA",H10*1000/$C10)</f>
        <v>8.1631227720207882</v>
      </c>
      <c r="F10" s="2887">
        <f t="shared" ref="F10:F20" si="1">IF(SUM(I10)=0,"NA",I10*1000/$C10)</f>
        <v>3.3455421196806499</v>
      </c>
      <c r="G10" s="2887">
        <f>IF(SUM(G11,G21)=0,"NO",SUM(G11,G21))</f>
        <v>73.988845759355272</v>
      </c>
      <c r="H10" s="2887">
        <f>IF(SUM(H11,H21)=0,"NO,NE",SUM(H11,H21))</f>
        <v>9.2671199999999995E-2</v>
      </c>
      <c r="I10" s="2888">
        <f>IF(SUM(I11,I21)=0,"NO,NE",SUM(I11,I21))</f>
        <v>3.7979999999999993E-2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11.352420218109639</v>
      </c>
      <c r="D21" s="116">
        <f>IF(SUM(G21)=0,"NA",G21*1000/$C21)</f>
        <v>6517.4512868477668</v>
      </c>
      <c r="E21" s="116">
        <f t="shared" ref="E21:F21" si="3">IF(SUM(H21)=0,"NA",H21*1000/$C21)</f>
        <v>8.1631227720207882</v>
      </c>
      <c r="F21" s="116">
        <f t="shared" si="3"/>
        <v>3.3455421196806499</v>
      </c>
      <c r="G21" s="2889">
        <f>IF(SUM(G22:G23)=0,"NO",SUM(G22:G23))</f>
        <v>73.988845759355272</v>
      </c>
      <c r="H21" s="116">
        <f>IF(SUM(H22:H23)=0,"NO,NE",SUM(H22:H23))</f>
        <v>9.2671199999999995E-2</v>
      </c>
      <c r="I21" s="2890">
        <f>IF(SUM(I22:I23)=0,"NO,NE",SUM(I22:I23))</f>
        <v>3.7979999999999993E-2</v>
      </c>
    </row>
    <row r="22" spans="2:9" ht="18" customHeight="1" x14ac:dyDescent="0.2">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
      <c r="B23" s="1526" t="s">
        <v>1435</v>
      </c>
      <c r="C23" s="2889">
        <f>IF(SUM(C25:C29)=0,"NO",SUM(C25:C29))</f>
        <v>11.09922021810964</v>
      </c>
      <c r="D23" s="116">
        <f t="shared" si="4"/>
        <v>1981.9811957115965</v>
      </c>
      <c r="E23" s="151" t="str">
        <f t="shared" si="5"/>
        <v>NA</v>
      </c>
      <c r="F23" s="151" t="str">
        <f t="shared" si="6"/>
        <v>NA</v>
      </c>
      <c r="G23" s="151">
        <f>IF(SUM(G25:G30)=0,"NO",SUM(G25:G30))</f>
        <v>21.99844575935527</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11.09922021810964</v>
      </c>
      <c r="D27" s="116">
        <f t="shared" si="4"/>
        <v>879.99999999999989</v>
      </c>
      <c r="E27" s="116" t="str">
        <f t="shared" si="5"/>
        <v>NA</v>
      </c>
      <c r="F27" s="116" t="str">
        <f t="shared" si="6"/>
        <v>NA</v>
      </c>
      <c r="G27" s="2897">
        <v>9.7673137919364823</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3.9882391963671502</v>
      </c>
      <c r="D30" s="116">
        <f t="shared" si="4"/>
        <v>3066.8000000000034</v>
      </c>
      <c r="E30" s="153" t="str">
        <f t="shared" si="5"/>
        <v>NA</v>
      </c>
      <c r="F30" s="153" t="str">
        <f t="shared" si="6"/>
        <v>NA</v>
      </c>
      <c r="G30" s="1541">
        <f>G31</f>
        <v>12.231131967418788</v>
      </c>
      <c r="H30" s="1541" t="str">
        <f>H31</f>
        <v>NE</v>
      </c>
      <c r="I30" s="2894" t="str">
        <f>I31</f>
        <v>NE</v>
      </c>
    </row>
    <row r="31" spans="2:9" ht="18" customHeight="1" x14ac:dyDescent="0.2">
      <c r="B31" s="2891" t="s">
        <v>2257</v>
      </c>
      <c r="C31" s="162">
        <v>3.9882391963671502</v>
      </c>
      <c r="D31" s="116">
        <f t="shared" si="4"/>
        <v>3066.8000000000034</v>
      </c>
      <c r="E31" s="153" t="str">
        <f t="shared" si="5"/>
        <v>NA</v>
      </c>
      <c r="F31" s="153" t="str">
        <f t="shared" si="6"/>
        <v>NA</v>
      </c>
      <c r="G31" s="161">
        <v>12.231131967418788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17173.601999999999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36.280999999999999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1836.22371659855</v>
      </c>
      <c r="D10" s="3435">
        <v>1366.90117919925</v>
      </c>
      <c r="E10" s="3435">
        <v>99.692072665919994</v>
      </c>
      <c r="F10" s="3436">
        <f>(SUM(H10)-SUM(K10:L10))/C10</f>
        <v>5.6620524822571718E-2</v>
      </c>
      <c r="G10" s="3437">
        <f>SUM(I10:J10)/E10/(44/28)</f>
        <v>3.3085665225864552E-3</v>
      </c>
      <c r="H10" s="3434">
        <v>79.115691922920377</v>
      </c>
      <c r="I10" s="3223">
        <v>0.51831662801241574</v>
      </c>
      <c r="J10" s="3223" t="s">
        <v>2153</v>
      </c>
      <c r="K10" s="3438">
        <v>-24.852258602542712</v>
      </c>
      <c r="L10" s="2911" t="s">
        <v>2153</v>
      </c>
      <c r="M10"/>
      <c r="N10" s="1770" t="s">
        <v>1468</v>
      </c>
      <c r="O10" s="3440">
        <v>1</v>
      </c>
    </row>
    <row r="11" spans="1:15" ht="18" customHeight="1" x14ac:dyDescent="0.2">
      <c r="A11"/>
      <c r="B11" s="1749" t="s">
        <v>1383</v>
      </c>
      <c r="C11" s="3435">
        <v>1528.8934028798799</v>
      </c>
      <c r="D11" s="3435">
        <v>227.73046736098601</v>
      </c>
      <c r="E11" s="691" t="s">
        <v>2153</v>
      </c>
      <c r="F11" s="3162">
        <f>(SUM(H11)-SUM(K11:L11))/C11</f>
        <v>9.2008301035553242E-2</v>
      </c>
      <c r="G11" s="3162" t="s">
        <v>2147</v>
      </c>
      <c r="H11" s="691">
        <v>138.1630515185754</v>
      </c>
      <c r="I11" s="691" t="s">
        <v>2153</v>
      </c>
      <c r="J11" s="691" t="s">
        <v>2153</v>
      </c>
      <c r="K11" s="3147" t="s">
        <v>2153</v>
      </c>
      <c r="L11" s="2911">
        <v>-2.5078329448679759</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439341.82550684205</v>
      </c>
      <c r="D10" s="4213">
        <f t="shared" si="0"/>
        <v>5667.1230049704345</v>
      </c>
      <c r="E10" s="4213">
        <f t="shared" si="0"/>
        <v>67.503863677258565</v>
      </c>
      <c r="F10" s="4213">
        <f t="shared" si="0"/>
        <v>1193.6537599999999</v>
      </c>
      <c r="G10" s="4213">
        <f t="shared" si="0"/>
        <v>4146.8866252000589</v>
      </c>
      <c r="H10" s="4213" t="str">
        <f>IF(SUM(H11,H22,H31,H42,H51)=0,"NO",SUM(H11,H22,H31,H42,H51))</f>
        <v>NO</v>
      </c>
      <c r="I10" s="4213">
        <f t="shared" ref="I10:N10" si="1">IF(SUM(I11,I22,I31,I42,I51)=0,"NO",SUM(I11,I22,I31,I42,I51))</f>
        <v>1.0497459871920091E-2</v>
      </c>
      <c r="J10" s="3834" t="str">
        <f t="shared" si="1"/>
        <v>NO</v>
      </c>
      <c r="K10" s="4213">
        <f t="shared" si="1"/>
        <v>2363.7764379064315</v>
      </c>
      <c r="L10" s="4213">
        <f t="shared" si="1"/>
        <v>27383.771225338642</v>
      </c>
      <c r="M10" s="4213">
        <f t="shared" si="1"/>
        <v>2515.3281362476755</v>
      </c>
      <c r="N10" s="4214">
        <f t="shared" si="1"/>
        <v>1569.9579442376148</v>
      </c>
      <c r="O10" s="3818">
        <f>IF(SUM(C10:J10)=0,"NO",SUM(C10,F10:H10)+28*SUM(D10)+265*SUM(E10)+23500*SUM(I10)+16100*SUM(J10))</f>
        <v>621497.02421267796</v>
      </c>
    </row>
    <row r="11" spans="1:15" ht="18" customHeight="1" x14ac:dyDescent="0.25">
      <c r="B11" s="1120" t="s">
        <v>1476</v>
      </c>
      <c r="C11" s="2552">
        <f>Table1!C10</f>
        <v>260937.17654980801</v>
      </c>
      <c r="D11" s="3810">
        <f>Table1!D10</f>
        <v>1299.2288818725997</v>
      </c>
      <c r="E11" s="3810">
        <f>Table1!E10</f>
        <v>6.6985612369461691</v>
      </c>
      <c r="F11" s="4215"/>
      <c r="G11" s="4215"/>
      <c r="H11" s="4216"/>
      <c r="I11" s="4215"/>
      <c r="J11" s="98"/>
      <c r="K11" s="3810">
        <f>Table1!F10</f>
        <v>1531.7060092690283</v>
      </c>
      <c r="L11" s="3810">
        <f>Table1!G10</f>
        <v>5287.7693337574374</v>
      </c>
      <c r="M11" s="3810">
        <f>Table1!H10</f>
        <v>790.86730814244902</v>
      </c>
      <c r="N11" s="4217">
        <f>Table1!I10</f>
        <v>559.69869001546454</v>
      </c>
      <c r="O11" s="3781">
        <f t="shared" ref="O11:O58" si="2">IF(SUM(C11:J11)=0,"NO",SUM(C11,F11:H11)+28*SUM(D11)+265*SUM(E11)+23500*SUM(I11)+16100*SUM(J11))</f>
        <v>299090.70397003152</v>
      </c>
    </row>
    <row r="12" spans="1:15" ht="18" customHeight="1" x14ac:dyDescent="0.25">
      <c r="B12" s="1370" t="s">
        <v>1477</v>
      </c>
      <c r="C12" s="4218">
        <f>Table1!C11</f>
        <v>253935.97573652305</v>
      </c>
      <c r="D12" s="4219">
        <f>Table1!D11</f>
        <v>134.01977686044222</v>
      </c>
      <c r="E12" s="4219">
        <f>Table1!E11</f>
        <v>6.5736259448986516</v>
      </c>
      <c r="F12" s="69"/>
      <c r="G12" s="69"/>
      <c r="H12" s="69"/>
      <c r="I12" s="69"/>
      <c r="J12" s="69"/>
      <c r="K12" s="4219">
        <f>Table1!F11</f>
        <v>1527.855247170884</v>
      </c>
      <c r="L12" s="4219">
        <f>Table1!G11</f>
        <v>5265.4329135882008</v>
      </c>
      <c r="M12" s="4219">
        <f>Table1!H11</f>
        <v>615.87240249080128</v>
      </c>
      <c r="N12" s="4220">
        <f>Table1!I11</f>
        <v>559.69869001546454</v>
      </c>
      <c r="O12" s="3782">
        <f t="shared" si="2"/>
        <v>259430.54036401358</v>
      </c>
    </row>
    <row r="13" spans="1:15" ht="18" customHeight="1" x14ac:dyDescent="0.25">
      <c r="B13" s="1371" t="s">
        <v>1478</v>
      </c>
      <c r="C13" s="4218">
        <f>Table1!C12</f>
        <v>145798.89301365922</v>
      </c>
      <c r="D13" s="4219">
        <f>Table1!D12</f>
        <v>5.9268696876790408</v>
      </c>
      <c r="E13" s="4219">
        <f>Table1!E12</f>
        <v>1.6290682412384687</v>
      </c>
      <c r="F13" s="69"/>
      <c r="G13" s="69"/>
      <c r="H13" s="69"/>
      <c r="I13" s="69"/>
      <c r="J13" s="69"/>
      <c r="K13" s="4219">
        <f>Table1!F12</f>
        <v>500.44882848646733</v>
      </c>
      <c r="L13" s="4219">
        <f>Table1!G12</f>
        <v>71.673453178922742</v>
      </c>
      <c r="M13" s="4219">
        <f>Table1!H12</f>
        <v>10.412912143563178</v>
      </c>
      <c r="N13" s="4220">
        <f>Table1!I12</f>
        <v>421.22909481238281</v>
      </c>
      <c r="O13" s="3783">
        <f t="shared" si="2"/>
        <v>146396.54844884243</v>
      </c>
    </row>
    <row r="14" spans="1:15" ht="18" customHeight="1" x14ac:dyDescent="0.25">
      <c r="B14" s="1371" t="s">
        <v>1479</v>
      </c>
      <c r="C14" s="4218">
        <f>Table1!C16</f>
        <v>35411.642792381535</v>
      </c>
      <c r="D14" s="4221">
        <f>Table1!D16</f>
        <v>1.9969221605944103</v>
      </c>
      <c r="E14" s="4221">
        <f>Table1!E16</f>
        <v>1.1069438707977839</v>
      </c>
      <c r="F14" s="3784"/>
      <c r="G14" s="3784"/>
      <c r="H14" s="3784"/>
      <c r="I14" s="3784"/>
      <c r="J14" s="69"/>
      <c r="K14" s="4221">
        <f>Table1!F16</f>
        <v>473.24682207908074</v>
      </c>
      <c r="L14" s="4221">
        <f>Table1!G16</f>
        <v>157.40624631822905</v>
      </c>
      <c r="M14" s="4221">
        <f>Table1!H16</f>
        <v>67.830929665484291</v>
      </c>
      <c r="N14" s="4222">
        <f>Table1!I16</f>
        <v>99.568597093550849</v>
      </c>
      <c r="O14" s="3785">
        <f t="shared" si="2"/>
        <v>35760.896738639589</v>
      </c>
    </row>
    <row r="15" spans="1:15" ht="18" customHeight="1" x14ac:dyDescent="0.25">
      <c r="B15" s="1371" t="s">
        <v>1480</v>
      </c>
      <c r="C15" s="4218">
        <f>Table1!C24</f>
        <v>59194.715442148321</v>
      </c>
      <c r="D15" s="4219">
        <f>Table1!D24</f>
        <v>26.299583078796019</v>
      </c>
      <c r="E15" s="4219">
        <f>Table1!E24</f>
        <v>3.2846479580695087</v>
      </c>
      <c r="F15" s="69"/>
      <c r="G15" s="69"/>
      <c r="H15" s="69"/>
      <c r="I15" s="69"/>
      <c r="J15" s="69"/>
      <c r="K15" s="4219">
        <f>Table1!F24</f>
        <v>351.13605560725233</v>
      </c>
      <c r="L15" s="4219">
        <f>Table1!G24</f>
        <v>3920.6312323594693</v>
      </c>
      <c r="M15" s="4219">
        <f>Table1!H24</f>
        <v>373.79258534057078</v>
      </c>
      <c r="N15" s="4220">
        <f>Table1!I24</f>
        <v>31.734117178368464</v>
      </c>
      <c r="O15" s="3783">
        <f t="shared" si="2"/>
        <v>60801.535477243029</v>
      </c>
    </row>
    <row r="16" spans="1:15" ht="18" customHeight="1" x14ac:dyDescent="0.25">
      <c r="B16" s="1371" t="s">
        <v>1481</v>
      </c>
      <c r="C16" s="4218">
        <f>Table1!C30</f>
        <v>13119.620695746997</v>
      </c>
      <c r="D16" s="4219">
        <f>Table1!D30</f>
        <v>99.776396301818622</v>
      </c>
      <c r="E16" s="4219">
        <f>Table1!E30</f>
        <v>0.54180638504574485</v>
      </c>
      <c r="F16" s="69"/>
      <c r="G16" s="69"/>
      <c r="H16" s="69"/>
      <c r="I16" s="69"/>
      <c r="J16" s="69"/>
      <c r="K16" s="4219">
        <f>Table1!F30</f>
        <v>199.63500866203975</v>
      </c>
      <c r="L16" s="4219">
        <f>Table1!G30</f>
        <v>1111.1459277610145</v>
      </c>
      <c r="M16" s="4219">
        <f>Table1!H30</f>
        <v>163.42475254547335</v>
      </c>
      <c r="N16" s="4220">
        <f>Table1!I30</f>
        <v>7.0272387887537597</v>
      </c>
      <c r="O16" s="3783">
        <f t="shared" si="2"/>
        <v>16056.938484235041</v>
      </c>
    </row>
    <row r="17" spans="2:15" ht="18" customHeight="1" x14ac:dyDescent="0.25">
      <c r="B17" s="1371" t="s">
        <v>1482</v>
      </c>
      <c r="C17" s="4218">
        <f>Table1!C34</f>
        <v>411.10379258697037</v>
      </c>
      <c r="D17" s="4219">
        <f>Table1!D34</f>
        <v>2.0005631554104654E-2</v>
      </c>
      <c r="E17" s="4219">
        <f>Table1!E34</f>
        <v>1.1159489747144877E-2</v>
      </c>
      <c r="F17" s="69"/>
      <c r="G17" s="69"/>
      <c r="H17" s="69"/>
      <c r="I17" s="69"/>
      <c r="J17" s="69"/>
      <c r="K17" s="4219">
        <f>Table1!F34</f>
        <v>3.3885323360439097</v>
      </c>
      <c r="L17" s="4219">
        <f>Table1!G34</f>
        <v>4.5760539705648036</v>
      </c>
      <c r="M17" s="4219">
        <f>Table1!H34</f>
        <v>0.41122279570969167</v>
      </c>
      <c r="N17" s="4220">
        <f>Table1!I34</f>
        <v>0.13964214240868875</v>
      </c>
      <c r="O17" s="3783">
        <f t="shared" si="2"/>
        <v>414.62121505347869</v>
      </c>
    </row>
    <row r="18" spans="2:15" ht="18" customHeight="1" x14ac:dyDescent="0.25">
      <c r="B18" s="1370" t="s">
        <v>99</v>
      </c>
      <c r="C18" s="4223">
        <f>Table1!C37</f>
        <v>7001.2008132849478</v>
      </c>
      <c r="D18" s="4224">
        <f>Table1!D37</f>
        <v>1165.2091050121576</v>
      </c>
      <c r="E18" s="4224">
        <f>Table1!E37</f>
        <v>0.12493529204751767</v>
      </c>
      <c r="F18" s="69"/>
      <c r="G18" s="69"/>
      <c r="H18" s="69"/>
      <c r="I18" s="69"/>
      <c r="J18" s="69"/>
      <c r="K18" s="4224">
        <f>Table1!F37</f>
        <v>3.8507620981442696</v>
      </c>
      <c r="L18" s="4219">
        <f>Table1!G37</f>
        <v>22.33642016923676</v>
      </c>
      <c r="M18" s="4219">
        <f>Table1!H37</f>
        <v>174.99490565164777</v>
      </c>
      <c r="N18" s="4220" t="str">
        <f>Table1!I37</f>
        <v>NO</v>
      </c>
      <c r="O18" s="3783">
        <f t="shared" si="2"/>
        <v>39660.163606017952</v>
      </c>
    </row>
    <row r="19" spans="2:15" ht="18" customHeight="1" x14ac:dyDescent="0.25">
      <c r="B19" s="1371" t="s">
        <v>1483</v>
      </c>
      <c r="C19" s="4225">
        <f>Table1!C38</f>
        <v>1171.7683050721826</v>
      </c>
      <c r="D19" s="4226">
        <f>Table1!D38</f>
        <v>885.67165362847061</v>
      </c>
      <c r="E19" s="4224">
        <f>Table1!E38</f>
        <v>7.2957855859744104E-7</v>
      </c>
      <c r="F19" s="69"/>
      <c r="G19" s="69"/>
      <c r="H19" s="69"/>
      <c r="I19" s="69"/>
      <c r="J19" s="69"/>
      <c r="K19" s="4224" t="str">
        <f>Table1!F38</f>
        <v>NO</v>
      </c>
      <c r="L19" s="4219" t="str">
        <f>Table1!G38</f>
        <v>NO</v>
      </c>
      <c r="M19" s="4219" t="str">
        <f>Table1!H38</f>
        <v>NO</v>
      </c>
      <c r="N19" s="4220" t="str">
        <f>Table1!I38</f>
        <v>NO</v>
      </c>
      <c r="O19" s="3783">
        <f t="shared" si="2"/>
        <v>25970.574800007678</v>
      </c>
    </row>
    <row r="20" spans="2:15" ht="18" customHeight="1" x14ac:dyDescent="0.25">
      <c r="B20" s="1372" t="s">
        <v>1484</v>
      </c>
      <c r="C20" s="4225">
        <f>Table1!C42</f>
        <v>5829.4325082127652</v>
      </c>
      <c r="D20" s="4227">
        <f>Table1!D42</f>
        <v>279.53745138368686</v>
      </c>
      <c r="E20" s="4224">
        <f>Table1!E42</f>
        <v>0.12493456246895908</v>
      </c>
      <c r="F20" s="3784"/>
      <c r="G20" s="3784"/>
      <c r="H20" s="3784"/>
      <c r="I20" s="3784"/>
      <c r="J20" s="69"/>
      <c r="K20" s="4224">
        <f>Table1!F42</f>
        <v>3.8507620981442696</v>
      </c>
      <c r="L20" s="4221">
        <f>Table1!G42</f>
        <v>22.33642016923676</v>
      </c>
      <c r="M20" s="4221">
        <f>Table1!H42</f>
        <v>174.99490565164777</v>
      </c>
      <c r="N20" s="4222" t="str">
        <f>Table1!I42</f>
        <v>NO</v>
      </c>
      <c r="O20" s="3785">
        <f t="shared" si="2"/>
        <v>13689.588806010272</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17887.970274958665</v>
      </c>
      <c r="D22" s="4230">
        <f>'Table2(I)'!D10</f>
        <v>3.0036935116052974</v>
      </c>
      <c r="E22" s="4231">
        <f>'Table2(I)'!E10</f>
        <v>2.8344205744859208</v>
      </c>
      <c r="F22" s="3810">
        <f>'Table2(I)'!F10</f>
        <v>1193.6537599999999</v>
      </c>
      <c r="G22" s="3810">
        <f>'Table2(I)'!G10</f>
        <v>4146.8866252000589</v>
      </c>
      <c r="H22" s="3810" t="str">
        <f>'Table2(I)'!H10</f>
        <v>NO</v>
      </c>
      <c r="I22" s="3810">
        <f>'Table2(I)'!I10</f>
        <v>1.0497459871920091E-2</v>
      </c>
      <c r="J22" s="3810" t="str">
        <f>'Table2(I)'!J10</f>
        <v>NO</v>
      </c>
      <c r="K22" s="3810">
        <f>'Table2(I)'!K10</f>
        <v>37.115349448777224</v>
      </c>
      <c r="L22" s="3810">
        <f>'Table2(I)'!L10</f>
        <v>9.9138160894991891</v>
      </c>
      <c r="M22" s="3810">
        <f>'Table2(I)'!M10</f>
        <v>209.24375373797261</v>
      </c>
      <c r="N22" s="4217">
        <f>'Table2(I)'!N10</f>
        <v>1010.2592542221502</v>
      </c>
      <c r="O22" s="3781">
        <f t="shared" si="2"/>
        <v>24310.425837712566</v>
      </c>
    </row>
    <row r="23" spans="2:15" ht="18" customHeight="1" x14ac:dyDescent="0.25">
      <c r="B23" s="1133" t="s">
        <v>1487</v>
      </c>
      <c r="C23" s="4232">
        <f>'Table2(I)'!C11</f>
        <v>5152.3958590686525</v>
      </c>
      <c r="D23" s="3789"/>
      <c r="E23" s="98"/>
      <c r="F23" s="98"/>
      <c r="G23" s="98"/>
      <c r="H23" s="98"/>
      <c r="I23" s="98"/>
      <c r="J23" s="69"/>
      <c r="K23" s="4233" t="str">
        <f>'Table2(I)'!K11</f>
        <v>NO</v>
      </c>
      <c r="L23" s="4233" t="str">
        <f>'Table2(I)'!L11</f>
        <v>NO</v>
      </c>
      <c r="M23" s="4233" t="str">
        <f>'Table2(I)'!M11</f>
        <v>NO</v>
      </c>
      <c r="N23" s="4234" t="str">
        <f>'Table2(I)'!N11</f>
        <v>NO</v>
      </c>
      <c r="O23" s="3782">
        <f t="shared" si="2"/>
        <v>5152.3958590686525</v>
      </c>
    </row>
    <row r="24" spans="2:15" ht="18" customHeight="1" x14ac:dyDescent="0.25">
      <c r="B24" s="1133" t="s">
        <v>621</v>
      </c>
      <c r="C24" s="4232">
        <f>'Table2(I)'!C16</f>
        <v>1061.0764716256642</v>
      </c>
      <c r="D24" s="4235">
        <f>'Table2(I)'!D16</f>
        <v>0.40365533799999997</v>
      </c>
      <c r="E24" s="4236">
        <f>'Table2(I)'!E16</f>
        <v>2.7620996099999999</v>
      </c>
      <c r="F24" s="4219">
        <f>'Table2(I)'!F16</f>
        <v>1193.6537599999999</v>
      </c>
      <c r="G24" s="4219" t="str">
        <f>'Table2(I)'!G16</f>
        <v>NO</v>
      </c>
      <c r="H24" s="4219" t="str">
        <f>'Table2(I)'!H16</f>
        <v>NO</v>
      </c>
      <c r="I24" s="4219" t="str">
        <f>'Table2(I)'!I16</f>
        <v>NO</v>
      </c>
      <c r="J24" s="616" t="str">
        <f>'Table2(I)'!J16</f>
        <v>NO</v>
      </c>
      <c r="K24" s="4219" t="str">
        <f>'Table2(I)'!K16</f>
        <v>NO</v>
      </c>
      <c r="L24" s="4219" t="str">
        <f>'Table2(I)'!L16</f>
        <v>NO</v>
      </c>
      <c r="M24" s="4219">
        <f>'Table2(I)'!M16</f>
        <v>4.3554395359999996</v>
      </c>
      <c r="N24" s="4220" t="str">
        <f>'Table2(I)'!N16</f>
        <v>NO</v>
      </c>
      <c r="O24" s="3783">
        <f t="shared" si="2"/>
        <v>2997.9889777396643</v>
      </c>
    </row>
    <row r="25" spans="2:15" ht="18" customHeight="1" x14ac:dyDescent="0.25">
      <c r="B25" s="1133" t="s">
        <v>459</v>
      </c>
      <c r="C25" s="4232">
        <f>'Table2(I)'!C27</f>
        <v>11331.682904243107</v>
      </c>
      <c r="D25" s="4235">
        <f>'Table2(I)'!D27</f>
        <v>2.6000381736052973</v>
      </c>
      <c r="E25" s="4236">
        <f>'Table2(I)'!E27</f>
        <v>7.2320964485920639E-2</v>
      </c>
      <c r="F25" s="4219" t="str">
        <f>'Table2(I)'!F27</f>
        <v>NO</v>
      </c>
      <c r="G25" s="4219">
        <f>'Table2(I)'!G27</f>
        <v>4146.8866252000589</v>
      </c>
      <c r="H25" s="4219" t="str">
        <f>'Table2(I)'!H27</f>
        <v>NO</v>
      </c>
      <c r="I25" s="4219" t="str">
        <f>'Table2(I)'!I27</f>
        <v>NO</v>
      </c>
      <c r="J25" s="4219" t="str">
        <f>'Table2(I)'!J27</f>
        <v>NO</v>
      </c>
      <c r="K25" s="4219">
        <f>'Table2(I)'!K27</f>
        <v>37.115349448777224</v>
      </c>
      <c r="L25" s="4219">
        <f>'Table2(I)'!L27</f>
        <v>9.9138160894991891</v>
      </c>
      <c r="M25" s="4219">
        <f>'Table2(I)'!M27</f>
        <v>8.9901956840514552E-2</v>
      </c>
      <c r="N25" s="4220">
        <f>'Table2(I)'!N27</f>
        <v>1010.2592542221502</v>
      </c>
      <c r="O25" s="3783">
        <f t="shared" si="2"/>
        <v>15570.535653892883</v>
      </c>
    </row>
    <row r="26" spans="2:15" ht="18" customHeight="1" x14ac:dyDescent="0.25">
      <c r="B26" s="1133" t="s">
        <v>1488</v>
      </c>
      <c r="C26" s="4232">
        <f>'Table2(I)'!C35</f>
        <v>257.74698899999999</v>
      </c>
      <c r="D26" s="3790" t="str">
        <f>'Table2(I)'!D35</f>
        <v>NO</v>
      </c>
      <c r="E26" s="616" t="str">
        <f>'Table2(I)'!E35</f>
        <v>NO</v>
      </c>
      <c r="F26" s="69"/>
      <c r="G26" s="69"/>
      <c r="H26" s="69"/>
      <c r="I26" s="69"/>
      <c r="J26" s="69"/>
      <c r="K26" s="616" t="str">
        <f>'Table2(I)'!K35</f>
        <v>NO</v>
      </c>
      <c r="L26" s="4236" t="str">
        <f>'Table2(I)'!L35</f>
        <v>NO</v>
      </c>
      <c r="M26" s="4236">
        <f>'Table2(I)'!M35</f>
        <v>167.50026624513208</v>
      </c>
      <c r="N26" s="4237" t="str">
        <f>'Table2(I)'!N35</f>
        <v>NO</v>
      </c>
      <c r="O26" s="3783">
        <f t="shared" si="2"/>
        <v>257.74698899999999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t="str">
        <f>'Table2(I)'!F45</f>
        <v>NO</v>
      </c>
      <c r="G28" s="4221" t="str">
        <f>'Table2(I)'!G45</f>
        <v>NO</v>
      </c>
      <c r="H28" s="4221" t="str">
        <f>'Table2(I)'!H45</f>
        <v>NO</v>
      </c>
      <c r="I28" s="4221" t="str">
        <f>'Table2(I)'!I45</f>
        <v>NO</v>
      </c>
      <c r="J28" s="4221" t="str">
        <f>'Table2(I)'!J45</f>
        <v>NO</v>
      </c>
      <c r="K28" s="3784"/>
      <c r="L28" s="3784"/>
      <c r="M28" s="3784"/>
      <c r="N28" s="3793"/>
      <c r="O28" s="3785" t="str">
        <f t="shared" si="2"/>
        <v>NO</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1.0497459871920091E-2</v>
      </c>
      <c r="J29" s="616" t="str">
        <f>'Table2(I)'!J52</f>
        <v>NO</v>
      </c>
      <c r="K29" s="3796" t="str">
        <f>'Table2(I)'!K52</f>
        <v>NO</v>
      </c>
      <c r="L29" s="3796" t="str">
        <f>'Table2(I)'!L52</f>
        <v>NO</v>
      </c>
      <c r="M29" s="3796" t="str">
        <f>'Table2(I)'!M52</f>
        <v>NO</v>
      </c>
      <c r="N29" s="3797" t="str">
        <f>'Table2(I)'!N52</f>
        <v>NO</v>
      </c>
      <c r="O29" s="3785">
        <f t="shared" si="2"/>
        <v>246.69030699012214</v>
      </c>
    </row>
    <row r="30" spans="2:15" ht="18" customHeight="1" thickBot="1" x14ac:dyDescent="0.3">
      <c r="B30" s="1375" t="s">
        <v>2040</v>
      </c>
      <c r="C30" s="4239">
        <f>'Table2(I)'!C57</f>
        <v>85.06805102123964</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37.29814600000001</v>
      </c>
      <c r="N30" s="4242" t="str">
        <f>'Table2(I)'!N57</f>
        <v>NA</v>
      </c>
      <c r="O30" s="3798">
        <f t="shared" si="2"/>
        <v>85.06805102123964</v>
      </c>
    </row>
    <row r="31" spans="2:15" ht="18" customHeight="1" x14ac:dyDescent="0.25">
      <c r="B31" s="1134" t="s">
        <v>1491</v>
      </c>
      <c r="C31" s="3817">
        <f>Table3!C10</f>
        <v>634.89614176008422</v>
      </c>
      <c r="D31" s="3799">
        <f>Table3!D10</f>
        <v>2838.9773839645618</v>
      </c>
      <c r="E31" s="3800">
        <f>Table3!E10</f>
        <v>42.017615631318712</v>
      </c>
      <c r="F31" s="3801"/>
      <c r="G31" s="3801"/>
      <c r="H31" s="3801"/>
      <c r="I31" s="3801"/>
      <c r="J31" s="3801"/>
      <c r="K31" s="4243">
        <f>Table3!F10</f>
        <v>26.592482533729303</v>
      </c>
      <c r="L31" s="4243">
        <f>Table3!G10</f>
        <v>449.08986997018991</v>
      </c>
      <c r="M31" s="4243">
        <f>Table3!H10</f>
        <v>26.196909081594409</v>
      </c>
      <c r="N31" s="4244" t="str">
        <f>Table3!I10</f>
        <v>NO</v>
      </c>
      <c r="O31" s="3782">
        <f t="shared" si="2"/>
        <v>91260.931035067275</v>
      </c>
    </row>
    <row r="32" spans="2:15" ht="18" customHeight="1" x14ac:dyDescent="0.25">
      <c r="B32" s="4245" t="s">
        <v>1492</v>
      </c>
      <c r="C32" s="3791"/>
      <c r="D32" s="4246">
        <f>Table3!D11</f>
        <v>2569.3894671904864</v>
      </c>
      <c r="E32" s="98"/>
      <c r="F32" s="3802"/>
      <c r="G32" s="3802"/>
      <c r="H32" s="3789"/>
      <c r="I32" s="3802"/>
      <c r="J32" s="3789"/>
      <c r="K32" s="98"/>
      <c r="L32" s="98"/>
      <c r="M32" s="98"/>
      <c r="N32" s="3803"/>
      <c r="O32" s="3782">
        <f t="shared" si="2"/>
        <v>71942.905081333622</v>
      </c>
    </row>
    <row r="33" spans="2:15" ht="18" customHeight="1" x14ac:dyDescent="0.25">
      <c r="B33" s="4245" t="s">
        <v>1493</v>
      </c>
      <c r="C33" s="3791"/>
      <c r="D33" s="4226">
        <f>Table3!D20</f>
        <v>242.72705969664943</v>
      </c>
      <c r="E33" s="4226">
        <f>Table3!E20</f>
        <v>0.77861845864059664</v>
      </c>
      <c r="F33" s="3802"/>
      <c r="G33" s="3802"/>
      <c r="H33" s="3802"/>
      <c r="I33" s="3802"/>
      <c r="J33" s="3802"/>
      <c r="K33" s="69"/>
      <c r="L33" s="69"/>
      <c r="M33" s="4247" t="str">
        <f>Table3!H20</f>
        <v>NE</v>
      </c>
      <c r="N33" s="3804"/>
      <c r="O33" s="3783">
        <f t="shared" si="2"/>
        <v>7002.6915630459425</v>
      </c>
    </row>
    <row r="34" spans="2:15" ht="18" customHeight="1" x14ac:dyDescent="0.25">
      <c r="B34" s="4245" t="s">
        <v>1494</v>
      </c>
      <c r="C34" s="3791"/>
      <c r="D34" s="4226">
        <f>Table3!D31</f>
        <v>15.345732206395644</v>
      </c>
      <c r="E34" s="69"/>
      <c r="F34" s="3802"/>
      <c r="G34" s="3802"/>
      <c r="H34" s="3802"/>
      <c r="I34" s="3802"/>
      <c r="J34" s="3802"/>
      <c r="K34" s="69"/>
      <c r="L34" s="69"/>
      <c r="M34" s="4247" t="str">
        <f>Table3!H31</f>
        <v>NE</v>
      </c>
      <c r="N34" s="3804"/>
      <c r="O34" s="3783">
        <f t="shared" si="2"/>
        <v>429.68050177907804</v>
      </c>
    </row>
    <row r="35" spans="2:15" ht="18" customHeight="1" x14ac:dyDescent="0.25">
      <c r="B35" s="4245" t="s">
        <v>1495</v>
      </c>
      <c r="C35" s="4248"/>
      <c r="D35" s="4226" t="str">
        <f>Table3!D32</f>
        <v>NE</v>
      </c>
      <c r="E35" s="4226">
        <f>Table3!E32</f>
        <v>40.778721491556013</v>
      </c>
      <c r="F35" s="3802"/>
      <c r="G35" s="3802"/>
      <c r="H35" s="3802"/>
      <c r="I35" s="3802"/>
      <c r="J35" s="3802"/>
      <c r="K35" s="4247" t="str">
        <f>Table3!F32</f>
        <v>NO</v>
      </c>
      <c r="L35" s="4247" t="str">
        <f>Table3!G32</f>
        <v>NO</v>
      </c>
      <c r="M35" s="4247" t="str">
        <f>Table3!H32</f>
        <v>NO</v>
      </c>
      <c r="N35" s="3804"/>
      <c r="O35" s="3783">
        <f t="shared" si="2"/>
        <v>10806.361195262343</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11.515124871030508</v>
      </c>
      <c r="E37" s="4226">
        <f>Table3!E43</f>
        <v>0.46027568112210548</v>
      </c>
      <c r="F37" s="3802"/>
      <c r="G37" s="3802"/>
      <c r="H37" s="3802"/>
      <c r="I37" s="3802"/>
      <c r="J37" s="3802"/>
      <c r="K37" s="4247">
        <f>Table3!F43</f>
        <v>26.592482533729303</v>
      </c>
      <c r="L37" s="4247">
        <f>Table3!G43</f>
        <v>449.08986997018991</v>
      </c>
      <c r="M37" s="4247">
        <f>Table3!H43</f>
        <v>26.196909081594409</v>
      </c>
      <c r="N37" s="4247" t="str">
        <f>Table3!I43</f>
        <v>NO</v>
      </c>
      <c r="O37" s="3783">
        <f t="shared" si="2"/>
        <v>444.39655188621219</v>
      </c>
    </row>
    <row r="38" spans="2:15" ht="18" customHeight="1" x14ac:dyDescent="0.25">
      <c r="B38" s="4249" t="s">
        <v>721</v>
      </c>
      <c r="C38" s="3794">
        <f>Table3!C44</f>
        <v>260.25846060066385</v>
      </c>
      <c r="D38" s="4250"/>
      <c r="E38" s="4250"/>
      <c r="F38" s="3792"/>
      <c r="G38" s="3792"/>
      <c r="H38" s="3792"/>
      <c r="I38" s="3792"/>
      <c r="J38" s="3792"/>
      <c r="K38" s="3805"/>
      <c r="L38" s="3805"/>
      <c r="M38" s="3805"/>
      <c r="N38" s="3793"/>
      <c r="O38" s="3785">
        <f t="shared" si="2"/>
        <v>260.25846060066385</v>
      </c>
    </row>
    <row r="39" spans="2:15" ht="18" customHeight="1" x14ac:dyDescent="0.25">
      <c r="B39" s="4249" t="s">
        <v>722</v>
      </c>
      <c r="C39" s="3806">
        <f>Table3!C45</f>
        <v>374.63768115942037</v>
      </c>
      <c r="D39" s="4250"/>
      <c r="E39" s="4250"/>
      <c r="F39" s="3792"/>
      <c r="G39" s="3792"/>
      <c r="H39" s="3792"/>
      <c r="I39" s="3792"/>
      <c r="J39" s="3792"/>
      <c r="K39" s="3805"/>
      <c r="L39" s="3805"/>
      <c r="M39" s="3805"/>
      <c r="N39" s="3793"/>
      <c r="O39" s="3785">
        <f t="shared" si="2"/>
        <v>374.63768115942037</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159807.7936945559</v>
      </c>
      <c r="D42" s="3809">
        <f>Table4!D10</f>
        <v>699.1475012280481</v>
      </c>
      <c r="E42" s="3810">
        <f>Table4!E10</f>
        <v>15.335132593743483</v>
      </c>
      <c r="F42" s="3801"/>
      <c r="G42" s="3801"/>
      <c r="H42" s="3801"/>
      <c r="I42" s="3801"/>
      <c r="J42" s="3801"/>
      <c r="K42" s="4253">
        <f>Table4!F10</f>
        <v>768.36259665489672</v>
      </c>
      <c r="L42" s="4253">
        <f>Table4!G10</f>
        <v>21636.998205521515</v>
      </c>
      <c r="M42" s="4253">
        <f>Table4!H10</f>
        <v>1009.1150333517749</v>
      </c>
      <c r="N42" s="4254" t="str">
        <f>N50</f>
        <v>NO</v>
      </c>
      <c r="O42" s="3781">
        <f t="shared" si="2"/>
        <v>183447.73386628326</v>
      </c>
    </row>
    <row r="43" spans="2:15" ht="18" customHeight="1" x14ac:dyDescent="0.25">
      <c r="B43" s="4245" t="s">
        <v>2042</v>
      </c>
      <c r="C43" s="4255">
        <f>Table4!C11</f>
        <v>-12082.033388131182</v>
      </c>
      <c r="D43" s="4256">
        <f>Table4!D11</f>
        <v>233.66673311820711</v>
      </c>
      <c r="E43" s="4257">
        <f>Table4!E11</f>
        <v>4.8611115768679793</v>
      </c>
      <c r="F43" s="3792"/>
      <c r="G43" s="3792"/>
      <c r="H43" s="3792"/>
      <c r="I43" s="3792"/>
      <c r="J43" s="3792"/>
      <c r="K43" s="4247">
        <f>Table4!F11</f>
        <v>258.19225119989756</v>
      </c>
      <c r="L43" s="4247">
        <f>Table4!G11</f>
        <v>6916.9102853712611</v>
      </c>
      <c r="M43" s="4247">
        <f>Table4!H11</f>
        <v>229.47991610323095</v>
      </c>
      <c r="N43" s="3811"/>
      <c r="O43" s="3812">
        <f t="shared" si="2"/>
        <v>-4251.1702929513685</v>
      </c>
    </row>
    <row r="44" spans="2:15" ht="18" customHeight="1" x14ac:dyDescent="0.25">
      <c r="B44" s="4245" t="s">
        <v>2043</v>
      </c>
      <c r="C44" s="4255">
        <f>Table4!C14</f>
        <v>39717.359150626733</v>
      </c>
      <c r="D44" s="4258">
        <f>Table4!D14</f>
        <v>21.395995200000002</v>
      </c>
      <c r="E44" s="4258">
        <f>Table4!E14</f>
        <v>0.51126953224202798</v>
      </c>
      <c r="F44" s="3802"/>
      <c r="G44" s="3802"/>
      <c r="H44" s="3802"/>
      <c r="I44" s="3802"/>
      <c r="J44" s="3802"/>
      <c r="K44" s="4247">
        <f>Table4!F14</f>
        <v>16.110674957142855</v>
      </c>
      <c r="L44" s="4247">
        <f>Table4!G14</f>
        <v>630.98374733333333</v>
      </c>
      <c r="M44" s="4247">
        <f>Table4!H14</f>
        <v>76.272760666666684</v>
      </c>
      <c r="N44" s="4259"/>
      <c r="O44" s="3783">
        <f t="shared" si="2"/>
        <v>40451.933442270871</v>
      </c>
    </row>
    <row r="45" spans="2:15" ht="18" customHeight="1" x14ac:dyDescent="0.25">
      <c r="B45" s="4245" t="s">
        <v>2044</v>
      </c>
      <c r="C45" s="4255">
        <f>Table4!C17</f>
        <v>130310.91111872907</v>
      </c>
      <c r="D45" s="4258">
        <f>Table4!D17</f>
        <v>346.77392930879648</v>
      </c>
      <c r="E45" s="4258">
        <f>Table4!E17</f>
        <v>9.5724080022439182</v>
      </c>
      <c r="F45" s="3802"/>
      <c r="G45" s="3802"/>
      <c r="H45" s="3802"/>
      <c r="I45" s="3802"/>
      <c r="J45" s="3802"/>
      <c r="K45" s="4247">
        <f>Table4!F17</f>
        <v>471.82971033643554</v>
      </c>
      <c r="L45" s="4247">
        <f>Table4!G17</f>
        <v>13491.44727203713</v>
      </c>
      <c r="M45" s="4247">
        <f>Table4!H17</f>
        <v>682.94529311500457</v>
      </c>
      <c r="N45" s="4259"/>
      <c r="O45" s="3783">
        <f t="shared" si="2"/>
        <v>142557.26925996999</v>
      </c>
    </row>
    <row r="46" spans="2:15" ht="18" customHeight="1" x14ac:dyDescent="0.25">
      <c r="B46" s="4245" t="s">
        <v>2045</v>
      </c>
      <c r="C46" s="4255">
        <f>Table4!C20</f>
        <v>1678.2768901873435</v>
      </c>
      <c r="D46" s="4258">
        <f>Table4!D20</f>
        <v>91.661046801044449</v>
      </c>
      <c r="E46" s="4258">
        <f>Table4!E20</f>
        <v>0.24933026672966455</v>
      </c>
      <c r="F46" s="3802"/>
      <c r="G46" s="3802"/>
      <c r="H46" s="3802"/>
      <c r="I46" s="3802"/>
      <c r="J46" s="3802"/>
      <c r="K46" s="4247">
        <f>Table4!F20</f>
        <v>17.975797689992202</v>
      </c>
      <c r="L46" s="4247">
        <f>Table4!G20</f>
        <v>431.04020811312006</v>
      </c>
      <c r="M46" s="4247">
        <f>Table4!H20</f>
        <v>0.27658413353925204</v>
      </c>
      <c r="N46" s="4259"/>
      <c r="O46" s="3783">
        <f t="shared" si="2"/>
        <v>4310.8587212999491</v>
      </c>
    </row>
    <row r="47" spans="2:15" ht="18" customHeight="1" x14ac:dyDescent="0.25">
      <c r="B47" s="4245" t="s">
        <v>2046</v>
      </c>
      <c r="C47" s="4255">
        <f>Table4!C23</f>
        <v>6750.9811935626794</v>
      </c>
      <c r="D47" s="4258">
        <f>Table4!D23</f>
        <v>5.6497968000000007</v>
      </c>
      <c r="E47" s="4260">
        <f>Table4!E23</f>
        <v>0.12497535708846487</v>
      </c>
      <c r="F47" s="3802"/>
      <c r="G47" s="3802"/>
      <c r="H47" s="3802"/>
      <c r="I47" s="3802"/>
      <c r="J47" s="3802"/>
      <c r="K47" s="4247">
        <f>Table4!F23</f>
        <v>4.2541624714285717</v>
      </c>
      <c r="L47" s="4247">
        <f>Table4!G23</f>
        <v>166.61669266666667</v>
      </c>
      <c r="M47" s="4247">
        <f>Table4!H23</f>
        <v>20.140479333333335</v>
      </c>
      <c r="N47" s="1838"/>
      <c r="O47" s="3783">
        <f t="shared" si="2"/>
        <v>6942.2939735911232</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-6567.7012704187327</v>
      </c>
      <c r="D49" s="3792"/>
      <c r="E49" s="3792"/>
      <c r="F49" s="3792"/>
      <c r="G49" s="3792"/>
      <c r="H49" s="3792"/>
      <c r="I49" s="3792"/>
      <c r="J49" s="3792"/>
      <c r="K49" s="3792"/>
      <c r="L49" s="3792"/>
      <c r="M49" s="3792"/>
      <c r="N49" s="3814"/>
      <c r="O49" s="3785">
        <f t="shared" si="2"/>
        <v>-6567.7012704187327</v>
      </c>
    </row>
    <row r="50" spans="2:15" ht="18" customHeight="1" thickBot="1" x14ac:dyDescent="0.3">
      <c r="B50" s="4251" t="s">
        <v>2049</v>
      </c>
      <c r="C50" s="4264" t="str">
        <f>Table4!C30</f>
        <v>NO</v>
      </c>
      <c r="D50" s="4265" t="str">
        <f>Table4!D30</f>
        <v>NO</v>
      </c>
      <c r="E50" s="4265">
        <f>Table4!E30</f>
        <v>1.6037858571428573E-2</v>
      </c>
      <c r="F50" s="3807"/>
      <c r="G50" s="3807"/>
      <c r="H50" s="3807"/>
      <c r="I50" s="3807"/>
      <c r="J50" s="3807"/>
      <c r="K50" s="4266" t="str">
        <f>Table4!F30</f>
        <v>NO</v>
      </c>
      <c r="L50" s="4266" t="str">
        <f>Table4!G30</f>
        <v>NO</v>
      </c>
      <c r="M50" s="4266" t="str">
        <f>Table4!H30</f>
        <v>NO</v>
      </c>
      <c r="N50" s="4266" t="s">
        <v>2146</v>
      </c>
      <c r="O50" s="3798">
        <f t="shared" si="2"/>
        <v>4.2500325214285715</v>
      </c>
    </row>
    <row r="51" spans="2:15" ht="18" customHeight="1" x14ac:dyDescent="0.25">
      <c r="B51" s="1377" t="s">
        <v>1500</v>
      </c>
      <c r="C51" s="3815">
        <f>Table5!C10</f>
        <v>73.988845759355272</v>
      </c>
      <c r="D51" s="3799">
        <f>Table5!D10</f>
        <v>826.76554439361973</v>
      </c>
      <c r="E51" s="3800">
        <f>Table5!E10</f>
        <v>0.61813364076428645</v>
      </c>
      <c r="F51" s="3801"/>
      <c r="G51" s="3801"/>
      <c r="H51" s="3801"/>
      <c r="I51" s="3801"/>
      <c r="J51" s="3801"/>
      <c r="K51" s="4243" t="str">
        <f>Table5!F10</f>
        <v>NO</v>
      </c>
      <c r="L51" s="4243" t="str">
        <f>Table5!G10</f>
        <v>NO</v>
      </c>
      <c r="M51" s="4243">
        <f>Table5!H10</f>
        <v>479.90513193388443</v>
      </c>
      <c r="N51" s="4244" t="str">
        <f>Table5!I10</f>
        <v>NO</v>
      </c>
      <c r="O51" s="4267">
        <f t="shared" si="2"/>
        <v>23387.229503583243</v>
      </c>
    </row>
    <row r="52" spans="2:15" ht="18" customHeight="1" x14ac:dyDescent="0.25">
      <c r="B52" s="4245" t="s">
        <v>2050</v>
      </c>
      <c r="C52" s="4248"/>
      <c r="D52" s="4246">
        <f>Table5!D11</f>
        <v>608.91102808999995</v>
      </c>
      <c r="E52" s="3816"/>
      <c r="F52" s="3801"/>
      <c r="G52" s="3801"/>
      <c r="H52" s="3801"/>
      <c r="I52" s="3801"/>
      <c r="J52" s="3801"/>
      <c r="K52" s="4247" t="str">
        <f>Table5!F11</f>
        <v>NO</v>
      </c>
      <c r="L52" s="4247" t="str">
        <f>Table5!G11</f>
        <v>NO</v>
      </c>
      <c r="M52" s="4247">
        <f>Table5!H11</f>
        <v>2.7164286798948689</v>
      </c>
      <c r="N52" s="3803"/>
      <c r="O52" s="4267">
        <f t="shared" si="2"/>
        <v>17049.508786519997</v>
      </c>
    </row>
    <row r="53" spans="2:15" ht="18" customHeight="1" x14ac:dyDescent="0.25">
      <c r="B53" s="4245" t="s">
        <v>1501</v>
      </c>
      <c r="C53" s="4248"/>
      <c r="D53" s="4246">
        <f>Table5!D15</f>
        <v>0.48310166212398975</v>
      </c>
      <c r="E53" s="4246">
        <f>Table5!E15</f>
        <v>6.1837012751870701E-2</v>
      </c>
      <c r="F53" s="3802"/>
      <c r="G53" s="3802"/>
      <c r="H53" s="3802"/>
      <c r="I53" s="3802"/>
      <c r="J53" s="3802"/>
      <c r="K53" s="4247" t="str">
        <f>Table5!F15</f>
        <v>NA,NE</v>
      </c>
      <c r="L53" s="4247" t="str">
        <f>Table5!G15</f>
        <v>NA,NE</v>
      </c>
      <c r="M53" s="4247" t="str">
        <f>Table5!H15</f>
        <v>NA,NE</v>
      </c>
      <c r="N53" s="3803"/>
      <c r="O53" s="3782">
        <f t="shared" si="2"/>
        <v>29.913654918717448</v>
      </c>
    </row>
    <row r="54" spans="2:15" ht="18" customHeight="1" x14ac:dyDescent="0.25">
      <c r="B54" s="4245" t="s">
        <v>2051</v>
      </c>
      <c r="C54" s="4268">
        <f>Table5!C18</f>
        <v>73.988845759355272</v>
      </c>
      <c r="D54" s="4226">
        <f>Table5!D18</f>
        <v>9.2671199999999995E-2</v>
      </c>
      <c r="E54" s="4226">
        <f>Table5!E18</f>
        <v>3.7979999999999993E-2</v>
      </c>
      <c r="F54" s="3802"/>
      <c r="G54" s="3802"/>
      <c r="H54" s="3802"/>
      <c r="I54" s="3802"/>
      <c r="J54" s="3802"/>
      <c r="K54" s="4247" t="str">
        <f>Table5!F18</f>
        <v>NA</v>
      </c>
      <c r="L54" s="4247" t="str">
        <f>Table5!G18</f>
        <v>NA</v>
      </c>
      <c r="M54" s="4247" t="str">
        <f>Table5!H18</f>
        <v>NA</v>
      </c>
      <c r="N54" s="4269" t="str">
        <f>Table5!I18</f>
        <v>NA</v>
      </c>
      <c r="O54" s="4270">
        <f t="shared" si="2"/>
        <v>86.648339359355276</v>
      </c>
    </row>
    <row r="55" spans="2:15" ht="18" customHeight="1" x14ac:dyDescent="0.25">
      <c r="B55" s="4245" t="s">
        <v>1502</v>
      </c>
      <c r="C55" s="3791"/>
      <c r="D55" s="4226">
        <f>Table5!D21</f>
        <v>217.27874344149578</v>
      </c>
      <c r="E55" s="4226">
        <f>Table5!E21</f>
        <v>0.51831662801241574</v>
      </c>
      <c r="F55" s="3802"/>
      <c r="G55" s="3802"/>
      <c r="H55" s="3802"/>
      <c r="I55" s="3802"/>
      <c r="J55" s="3802"/>
      <c r="K55" s="4247" t="str">
        <f>Table5!F21</f>
        <v>NO</v>
      </c>
      <c r="L55" s="4247" t="str">
        <f>Table5!G21</f>
        <v>NO</v>
      </c>
      <c r="M55" s="4247">
        <f>Table5!H21</f>
        <v>477.18870325398956</v>
      </c>
      <c r="N55" s="3803"/>
      <c r="O55" s="4270">
        <f t="shared" si="2"/>
        <v>6221.1587227851714</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6436.1739999999991</v>
      </c>
      <c r="D61" s="3820">
        <f>Table1!D52</f>
        <v>0.18826561</v>
      </c>
      <c r="E61" s="3820">
        <f>Table1!E52</f>
        <v>7.5386837384210537E-2</v>
      </c>
      <c r="F61" s="628"/>
      <c r="G61" s="628"/>
      <c r="H61" s="628"/>
      <c r="I61" s="628"/>
      <c r="J61" s="628"/>
      <c r="K61" s="3820">
        <f>Table1!F52</f>
        <v>72.714301753157898</v>
      </c>
      <c r="L61" s="3820">
        <f>Table1!G52</f>
        <v>8.8676910121052614</v>
      </c>
      <c r="M61" s="3820">
        <f>Table1!H52</f>
        <v>5.026976773736842</v>
      </c>
      <c r="N61" s="3821">
        <f>Table1!I52</f>
        <v>28.109630364372471</v>
      </c>
      <c r="O61" s="4267">
        <f t="shared" ref="O61:O67" si="4">IF(SUM(C61:J61)=0,"NO",SUM(C61,F61:H61)+28*SUM(D61)+265*SUM(E61)+23500*SUM(I61)+16100*SUM(J61))</f>
        <v>6461.4229489868148</v>
      </c>
    </row>
    <row r="62" spans="2:15" ht="18" customHeight="1" x14ac:dyDescent="0.25">
      <c r="B62" s="1371" t="s">
        <v>111</v>
      </c>
      <c r="C62" s="4279">
        <f>Table1!C53</f>
        <v>4558.7999999999993</v>
      </c>
      <c r="D62" s="4233">
        <f>Table1!D53</f>
        <v>8.1556099999999989E-3</v>
      </c>
      <c r="E62" s="4233">
        <f>Table1!E53</f>
        <v>2.3926837384210527E-2</v>
      </c>
      <c r="F62" s="628"/>
      <c r="G62" s="628"/>
      <c r="H62" s="628"/>
      <c r="I62" s="628"/>
      <c r="J62" s="2135"/>
      <c r="K62" s="4233">
        <f>Table1!F53</f>
        <v>23.11070175315789</v>
      </c>
      <c r="L62" s="4233">
        <f>Table1!G53</f>
        <v>7.2095910121052622</v>
      </c>
      <c r="M62" s="4233">
        <f>Table1!H53</f>
        <v>3.4811267737368423</v>
      </c>
      <c r="N62" s="4234">
        <f>Table1!I53</f>
        <v>0.53710000000000013</v>
      </c>
      <c r="O62" s="3782">
        <f t="shared" si="4"/>
        <v>4565.3689689868152</v>
      </c>
    </row>
    <row r="63" spans="2:15" ht="18" customHeight="1" x14ac:dyDescent="0.25">
      <c r="B63" s="1380" t="s">
        <v>1503</v>
      </c>
      <c r="C63" s="4279">
        <f>Table1!C54</f>
        <v>1877.374</v>
      </c>
      <c r="D63" s="4219">
        <f>Table1!D54</f>
        <v>0.18010999999999999</v>
      </c>
      <c r="E63" s="4219">
        <f>Table1!E54</f>
        <v>5.1460000000000006E-2</v>
      </c>
      <c r="F63" s="628"/>
      <c r="G63" s="628"/>
      <c r="H63" s="628"/>
      <c r="I63" s="628"/>
      <c r="J63" s="628"/>
      <c r="K63" s="4219">
        <f>Table1!F54</f>
        <v>49.603600000000007</v>
      </c>
      <c r="L63" s="4219">
        <f>Table1!G54</f>
        <v>1.6581000000000001</v>
      </c>
      <c r="M63" s="4219">
        <f>Table1!H54</f>
        <v>1.5458499999999999</v>
      </c>
      <c r="N63" s="4220">
        <f>Table1!I54</f>
        <v>27.572530364372472</v>
      </c>
      <c r="O63" s="3783">
        <f t="shared" si="4"/>
        <v>1896.0539799999999</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15017.92222</v>
      </c>
      <c r="D65" s="3823"/>
      <c r="E65" s="3823"/>
      <c r="F65" s="3824"/>
      <c r="G65" s="3824"/>
      <c r="H65" s="3824"/>
      <c r="I65" s="3824"/>
      <c r="J65" s="3823"/>
      <c r="K65" s="3823"/>
      <c r="L65" s="3823"/>
      <c r="M65" s="3823"/>
      <c r="N65" s="3825"/>
      <c r="O65" s="3812">
        <f t="shared" si="4"/>
        <v>15017.92222</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-191072.90426935992</v>
      </c>
      <c r="D67" s="3824"/>
      <c r="E67" s="3824"/>
      <c r="F67" s="3828"/>
      <c r="G67" s="3824"/>
      <c r="H67" s="3824"/>
      <c r="I67" s="3824"/>
      <c r="J67" s="3824"/>
      <c r="K67" s="3824"/>
      <c r="L67" s="3824"/>
      <c r="M67" s="3824"/>
      <c r="N67" s="3829"/>
      <c r="O67" s="3785">
        <f t="shared" si="4"/>
        <v>-191072.90426935992</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439341.82550684205</v>
      </c>
      <c r="D10" s="4213">
        <f>IFERROR(Summary1!D10*28,Summary1!D10)</f>
        <v>158679.44413917218</v>
      </c>
      <c r="E10" s="4213">
        <f>IFERROR(Summary1!E10*265,Summary1!E10)</f>
        <v>17888.523874473518</v>
      </c>
      <c r="F10" s="4213">
        <f>Summary1!F10</f>
        <v>1193.6537599999999</v>
      </c>
      <c r="G10" s="4213">
        <f>Summary1!G10</f>
        <v>4146.8866252000589</v>
      </c>
      <c r="H10" s="4213" t="str">
        <f>Summary1!H10</f>
        <v>NO</v>
      </c>
      <c r="I10" s="4288">
        <f>IFERROR(Summary1!I10*23500,Summary1!I10)</f>
        <v>246.69030699012214</v>
      </c>
      <c r="J10" s="4289" t="str">
        <f>IFERROR(Summary1!J10*16100,Summary1!J10)</f>
        <v>NO</v>
      </c>
      <c r="K10" s="4214">
        <f>IF(SUM(C10:J10)=0,"NO",SUM(C10:J10))</f>
        <v>621497.02421267796</v>
      </c>
    </row>
    <row r="11" spans="2:12" ht="18" customHeight="1" x14ac:dyDescent="0.2">
      <c r="B11" s="1550" t="s">
        <v>1476</v>
      </c>
      <c r="C11" s="4253">
        <f>Summary1!C11</f>
        <v>260937.17654980801</v>
      </c>
      <c r="D11" s="4253">
        <f>IFERROR(Summary1!D11*28,Summary1!D11)</f>
        <v>36378.408692432793</v>
      </c>
      <c r="E11" s="4253">
        <f>IFERROR(Summary1!E11*265,Summary1!E11)</f>
        <v>1775.1187277907347</v>
      </c>
      <c r="F11" s="1929"/>
      <c r="G11" s="1929"/>
      <c r="H11" s="1930"/>
      <c r="I11" s="1930"/>
      <c r="J11" s="627"/>
      <c r="K11" s="4290">
        <f t="shared" ref="K11:K55" si="0">IF(SUM(C11:J11)=0,"NO",SUM(C11:J11))</f>
        <v>299090.70397003152</v>
      </c>
      <c r="L11" s="19"/>
    </row>
    <row r="12" spans="2:12" ht="18" customHeight="1" x14ac:dyDescent="0.2">
      <c r="B12" s="620" t="s">
        <v>131</v>
      </c>
      <c r="C12" s="4247">
        <f>Summary1!C12</f>
        <v>253935.97573652305</v>
      </c>
      <c r="D12" s="4247">
        <f>IFERROR(Summary1!D12*28,Summary1!D12)</f>
        <v>3752.5537520923822</v>
      </c>
      <c r="E12" s="4247">
        <f>IFERROR(Summary1!E12*265,Summary1!E12)</f>
        <v>1742.0108753981426</v>
      </c>
      <c r="F12" s="628"/>
      <c r="G12" s="628"/>
      <c r="H12" s="628"/>
      <c r="I12" s="69"/>
      <c r="J12" s="69"/>
      <c r="K12" s="4291">
        <f t="shared" si="0"/>
        <v>259430.54036401358</v>
      </c>
      <c r="L12" s="19"/>
    </row>
    <row r="13" spans="2:12" ht="18" customHeight="1" x14ac:dyDescent="0.2">
      <c r="B13" s="1392" t="s">
        <v>1478</v>
      </c>
      <c r="C13" s="4247">
        <f>Summary1!C13</f>
        <v>145798.89301365922</v>
      </c>
      <c r="D13" s="4247">
        <f>IFERROR(Summary1!D13*28,Summary1!D13)</f>
        <v>165.95235125501313</v>
      </c>
      <c r="E13" s="4247">
        <f>IFERROR(Summary1!E13*265,Summary1!E13)</f>
        <v>431.70308392819419</v>
      </c>
      <c r="F13" s="628"/>
      <c r="G13" s="628"/>
      <c r="H13" s="628"/>
      <c r="I13" s="69"/>
      <c r="J13" s="69"/>
      <c r="K13" s="4291">
        <f t="shared" si="0"/>
        <v>146396.54844884243</v>
      </c>
      <c r="L13" s="19"/>
    </row>
    <row r="14" spans="2:12" ht="18" customHeight="1" x14ac:dyDescent="0.2">
      <c r="B14" s="1392" t="s">
        <v>1517</v>
      </c>
      <c r="C14" s="4247">
        <f>Summary1!C14</f>
        <v>35411.642792381535</v>
      </c>
      <c r="D14" s="4247">
        <f>IFERROR(Summary1!D14*28,Summary1!D14)</f>
        <v>55.913820496643488</v>
      </c>
      <c r="E14" s="4247">
        <f>IFERROR(Summary1!E14*265,Summary1!E14)</f>
        <v>293.34012576141271</v>
      </c>
      <c r="F14" s="628"/>
      <c r="G14" s="628"/>
      <c r="H14" s="628"/>
      <c r="I14" s="69"/>
      <c r="J14" s="69"/>
      <c r="K14" s="4291">
        <f t="shared" si="0"/>
        <v>35760.896738639589</v>
      </c>
      <c r="L14" s="19"/>
    </row>
    <row r="15" spans="2:12" ht="18" customHeight="1" x14ac:dyDescent="0.2">
      <c r="B15" s="1392" t="s">
        <v>1480</v>
      </c>
      <c r="C15" s="4247">
        <f>Summary1!C15</f>
        <v>59194.715442148321</v>
      </c>
      <c r="D15" s="4247">
        <f>IFERROR(Summary1!D15*28,Summary1!D15)</f>
        <v>736.38832620628853</v>
      </c>
      <c r="E15" s="4247">
        <f>IFERROR(Summary1!E15*265,Summary1!E15)</f>
        <v>870.43170888841985</v>
      </c>
      <c r="F15" s="628"/>
      <c r="G15" s="628"/>
      <c r="H15" s="628"/>
      <c r="I15" s="69"/>
      <c r="J15" s="69"/>
      <c r="K15" s="4291">
        <f t="shared" si="0"/>
        <v>60801.535477243029</v>
      </c>
      <c r="L15" s="19"/>
    </row>
    <row r="16" spans="2:12" ht="18" customHeight="1" x14ac:dyDescent="0.2">
      <c r="B16" s="1392" t="s">
        <v>1481</v>
      </c>
      <c r="C16" s="4247">
        <f>Summary1!C16</f>
        <v>13119.620695746997</v>
      </c>
      <c r="D16" s="4247">
        <f>IFERROR(Summary1!D16*28,Summary1!D16)</f>
        <v>2793.7390964509214</v>
      </c>
      <c r="E16" s="4247">
        <f>IFERROR(Summary1!E16*265,Summary1!E16)</f>
        <v>143.57869203712238</v>
      </c>
      <c r="F16" s="628"/>
      <c r="G16" s="628"/>
      <c r="H16" s="628"/>
      <c r="I16" s="69"/>
      <c r="J16" s="69"/>
      <c r="K16" s="4291">
        <f t="shared" si="0"/>
        <v>16056.938484235041</v>
      </c>
      <c r="L16" s="19"/>
    </row>
    <row r="17" spans="2:12" ht="18" customHeight="1" x14ac:dyDescent="0.2">
      <c r="B17" s="1392" t="s">
        <v>1482</v>
      </c>
      <c r="C17" s="4247">
        <f>Summary1!C17</f>
        <v>411.10379258697037</v>
      </c>
      <c r="D17" s="4247">
        <f>IFERROR(Summary1!D17*28,Summary1!D17)</f>
        <v>0.56015768351493034</v>
      </c>
      <c r="E17" s="4247">
        <f>IFERROR(Summary1!E17*265,Summary1!E17)</f>
        <v>2.9572647829933922</v>
      </c>
      <c r="F17" s="628"/>
      <c r="G17" s="628"/>
      <c r="H17" s="628"/>
      <c r="I17" s="69"/>
      <c r="J17" s="69"/>
      <c r="K17" s="4291">
        <f t="shared" si="0"/>
        <v>414.62121505347869</v>
      </c>
      <c r="L17" s="19"/>
    </row>
    <row r="18" spans="2:12" ht="18" customHeight="1" x14ac:dyDescent="0.2">
      <c r="B18" s="620" t="s">
        <v>99</v>
      </c>
      <c r="C18" s="4247">
        <f>Summary1!C18</f>
        <v>7001.2008132849478</v>
      </c>
      <c r="D18" s="4247">
        <f>IFERROR(Summary1!D18*28,Summary1!D18)</f>
        <v>32625.85494034041</v>
      </c>
      <c r="E18" s="4247">
        <f>IFERROR(Summary1!E18*265,Summary1!E18)</f>
        <v>33.107852392592186</v>
      </c>
      <c r="F18" s="628"/>
      <c r="G18" s="628"/>
      <c r="H18" s="628"/>
      <c r="I18" s="69"/>
      <c r="J18" s="69"/>
      <c r="K18" s="4291">
        <f t="shared" si="0"/>
        <v>39660.163606017952</v>
      </c>
      <c r="L18" s="19"/>
    </row>
    <row r="19" spans="2:12" ht="18" customHeight="1" x14ac:dyDescent="0.2">
      <c r="B19" s="1392" t="s">
        <v>1483</v>
      </c>
      <c r="C19" s="4247">
        <f>Summary1!C19</f>
        <v>1171.7683050721826</v>
      </c>
      <c r="D19" s="4247">
        <f>IFERROR(Summary1!D19*28,Summary1!D19)</f>
        <v>24798.806301597178</v>
      </c>
      <c r="E19" s="4247">
        <f>IFERROR(Summary1!E19*265,Summary1!E19)</f>
        <v>1.9333831802832187E-4</v>
      </c>
      <c r="F19" s="628"/>
      <c r="G19" s="628"/>
      <c r="H19" s="628"/>
      <c r="I19" s="69"/>
      <c r="J19" s="69"/>
      <c r="K19" s="4291">
        <f t="shared" si="0"/>
        <v>25970.574800007678</v>
      </c>
      <c r="L19" s="19"/>
    </row>
    <row r="20" spans="2:12" ht="18" customHeight="1" x14ac:dyDescent="0.2">
      <c r="B20" s="1393" t="s">
        <v>1484</v>
      </c>
      <c r="C20" s="4247">
        <f>Summary1!C20</f>
        <v>5829.4325082127652</v>
      </c>
      <c r="D20" s="4247">
        <f>IFERROR(Summary1!D20*28,Summary1!D20)</f>
        <v>7827.048638743232</v>
      </c>
      <c r="E20" s="4247">
        <f>IFERROR(Summary1!E20*265,Summary1!E20)</f>
        <v>33.107659054274158</v>
      </c>
      <c r="F20" s="628"/>
      <c r="G20" s="628"/>
      <c r="H20" s="628"/>
      <c r="I20" s="69"/>
      <c r="J20" s="69"/>
      <c r="K20" s="4291">
        <f t="shared" si="0"/>
        <v>13689.588806010272</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17887.970274958665</v>
      </c>
      <c r="D22" s="4253">
        <f>IFERROR(Summary1!D22*28,Summary1!D22)</f>
        <v>84.103418324948322</v>
      </c>
      <c r="E22" s="4253">
        <f>IFERROR(Summary1!E22*265,Summary1!E22)</f>
        <v>751.12145223876905</v>
      </c>
      <c r="F22" s="4253">
        <f>Summary1!F22</f>
        <v>1193.6537599999999</v>
      </c>
      <c r="G22" s="4253">
        <f>Summary1!G22</f>
        <v>4146.8866252000589</v>
      </c>
      <c r="H22" s="4253" t="str">
        <f>Summary1!H22</f>
        <v>NO</v>
      </c>
      <c r="I22" s="4253">
        <f>IFERROR(Summary1!I22*23500,Summary1!I22)</f>
        <v>246.69030699012214</v>
      </c>
      <c r="J22" s="4293" t="str">
        <f>IFERROR(Summary1!J22*16100,Summary1!J22)</f>
        <v>NO</v>
      </c>
      <c r="K22" s="4290">
        <f t="shared" si="0"/>
        <v>24310.425837712566</v>
      </c>
      <c r="L22" s="19"/>
    </row>
    <row r="23" spans="2:12" ht="18" customHeight="1" x14ac:dyDescent="0.2">
      <c r="B23" s="1394" t="s">
        <v>1487</v>
      </c>
      <c r="C23" s="4247">
        <f>Summary1!C23</f>
        <v>5152.3958590686525</v>
      </c>
      <c r="D23" s="628"/>
      <c r="E23" s="628"/>
      <c r="F23" s="628"/>
      <c r="G23" s="628"/>
      <c r="H23" s="628"/>
      <c r="I23" s="69"/>
      <c r="J23" s="69"/>
      <c r="K23" s="4291">
        <f t="shared" si="0"/>
        <v>5152.3958590686525</v>
      </c>
      <c r="L23" s="19"/>
    </row>
    <row r="24" spans="2:12" ht="18" customHeight="1" x14ac:dyDescent="0.2">
      <c r="B24" s="1394" t="s">
        <v>621</v>
      </c>
      <c r="C24" s="4247">
        <f>Summary1!C24</f>
        <v>1061.0764716256642</v>
      </c>
      <c r="D24" s="4247">
        <f>IFERROR(Summary1!D24*28,Summary1!D24)</f>
        <v>11.302349463999999</v>
      </c>
      <c r="E24" s="4247">
        <f>IFERROR(Summary1!E24*265,Summary1!E24)</f>
        <v>731.95639664999999</v>
      </c>
      <c r="F24" s="1924">
        <f>Summary1!F24</f>
        <v>1193.6537599999999</v>
      </c>
      <c r="G24" s="1924" t="str">
        <f>Summary1!G24</f>
        <v>NO</v>
      </c>
      <c r="H24" s="1924" t="str">
        <f>Summary1!H24</f>
        <v>NO</v>
      </c>
      <c r="I24" s="616" t="str">
        <f>IFERROR(Summary1!I24*23500,Summary1!I24)</f>
        <v>NO</v>
      </c>
      <c r="J24" s="616" t="str">
        <f>IFERROR(Summary1!J24*16100,Summary1!J24)</f>
        <v>NO</v>
      </c>
      <c r="K24" s="4291">
        <f t="shared" si="0"/>
        <v>2997.9889777396638</v>
      </c>
      <c r="L24" s="19"/>
    </row>
    <row r="25" spans="2:12" ht="18" customHeight="1" x14ac:dyDescent="0.2">
      <c r="B25" s="1394" t="s">
        <v>459</v>
      </c>
      <c r="C25" s="4247">
        <f>Summary1!C25</f>
        <v>11331.682904243107</v>
      </c>
      <c r="D25" s="4247">
        <f>IFERROR(Summary1!D25*28,Summary1!D25)</f>
        <v>72.80106886094832</v>
      </c>
      <c r="E25" s="4247">
        <f>IFERROR(Summary1!E25*265,Summary1!E25)</f>
        <v>19.165055588768968</v>
      </c>
      <c r="F25" s="1924" t="str">
        <f>Summary1!F25</f>
        <v>NO</v>
      </c>
      <c r="G25" s="4247">
        <f>Summary1!G25</f>
        <v>4146.8866252000589</v>
      </c>
      <c r="H25" s="4247" t="str">
        <f>Summary1!H25</f>
        <v>NO</v>
      </c>
      <c r="I25" s="4247" t="str">
        <f>IFERROR(Summary1!I25*23500,Summary1!I25)</f>
        <v>NO</v>
      </c>
      <c r="J25" s="4247" t="str">
        <f>IFERROR(Summary1!J25*16100,Summary1!J25)</f>
        <v>NO</v>
      </c>
      <c r="K25" s="4291">
        <f t="shared" si="0"/>
        <v>15570.535653892883</v>
      </c>
      <c r="L25" s="19"/>
    </row>
    <row r="26" spans="2:12" ht="18" customHeight="1" x14ac:dyDescent="0.2">
      <c r="B26" s="1395" t="s">
        <v>1519</v>
      </c>
      <c r="C26" s="4247">
        <f>Summary1!C26</f>
        <v>257.74698899999999</v>
      </c>
      <c r="D26" s="4247" t="str">
        <f>IFERROR(Summary1!D26*28,Summary1!D26)</f>
        <v>NO</v>
      </c>
      <c r="E26" s="4247" t="str">
        <f>IFERROR(Summary1!E26*265,Summary1!E26)</f>
        <v>NO</v>
      </c>
      <c r="F26" s="628"/>
      <c r="G26" s="628"/>
      <c r="H26" s="628"/>
      <c r="I26" s="69"/>
      <c r="J26" s="69"/>
      <c r="K26" s="4291">
        <f t="shared" si="0"/>
        <v>257.74698899999999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t="str">
        <f>Summary1!F28</f>
        <v>NO</v>
      </c>
      <c r="G28" s="4247" t="str">
        <f>Summary1!G28</f>
        <v>NO</v>
      </c>
      <c r="H28" s="4247" t="str">
        <f>Summary1!H28</f>
        <v>NO</v>
      </c>
      <c r="I28" s="4247" t="str">
        <f>IFERROR(Summary1!I28*23500,Summary1!I28)</f>
        <v>NO</v>
      </c>
      <c r="J28" s="4247" t="str">
        <f>IFERROR(Summary1!J28*16100,Summary1!J28)</f>
        <v>NO</v>
      </c>
      <c r="K28" s="4291" t="str">
        <f t="shared" si="0"/>
        <v>NO</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246.69030699012214</v>
      </c>
      <c r="J29" s="4247" t="str">
        <f>IFERROR(Summary1!J29*16100,Summary1!J29)</f>
        <v>NO</v>
      </c>
      <c r="K29" s="4291">
        <f t="shared" si="0"/>
        <v>246.69030699012214</v>
      </c>
      <c r="L29" s="19"/>
    </row>
    <row r="30" spans="2:12" ht="18" customHeight="1" thickBot="1" x14ac:dyDescent="0.25">
      <c r="B30" s="1407" t="s">
        <v>1523</v>
      </c>
      <c r="C30" s="4266">
        <f>Summary1!C30</f>
        <v>85.06805102123964</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85.06805102123964</v>
      </c>
      <c r="L30" s="19"/>
    </row>
    <row r="31" spans="2:12" ht="18" customHeight="1" x14ac:dyDescent="0.2">
      <c r="B31" s="772" t="s">
        <v>1491</v>
      </c>
      <c r="C31" s="4253">
        <f>Summary1!C31</f>
        <v>634.89614176008422</v>
      </c>
      <c r="D31" s="4253">
        <f>IFERROR(Summary1!D31*28,Summary1!D31)</f>
        <v>79491.366751007736</v>
      </c>
      <c r="E31" s="4253">
        <f>IFERROR(Summary1!E31*265,Summary1!E31)</f>
        <v>11134.668142299459</v>
      </c>
      <c r="F31" s="1929"/>
      <c r="G31" s="1929"/>
      <c r="H31" s="1929"/>
      <c r="I31" s="4215"/>
      <c r="J31" s="627"/>
      <c r="K31" s="4290">
        <f t="shared" si="0"/>
        <v>91260.931035067275</v>
      </c>
      <c r="L31" s="19"/>
    </row>
    <row r="32" spans="2:12" ht="18" customHeight="1" x14ac:dyDescent="0.2">
      <c r="B32" s="620" t="s">
        <v>1492</v>
      </c>
      <c r="C32" s="628"/>
      <c r="D32" s="4247">
        <f>IFERROR(Summary1!D32*28,Summary1!D32)</f>
        <v>71942.905081333622</v>
      </c>
      <c r="E32" s="628"/>
      <c r="F32" s="628"/>
      <c r="G32" s="628"/>
      <c r="H32" s="628"/>
      <c r="I32" s="69"/>
      <c r="J32" s="69"/>
      <c r="K32" s="4291">
        <f t="shared" si="0"/>
        <v>71942.905081333622</v>
      </c>
      <c r="L32" s="19"/>
    </row>
    <row r="33" spans="2:12" ht="18" customHeight="1" x14ac:dyDescent="0.2">
      <c r="B33" s="620" t="s">
        <v>1493</v>
      </c>
      <c r="C33" s="628"/>
      <c r="D33" s="4247">
        <f>IFERROR(Summary1!D33*28,Summary1!D33)</f>
        <v>6796.3576715061845</v>
      </c>
      <c r="E33" s="4247">
        <f>IFERROR(Summary1!E33*265,Summary1!E33)</f>
        <v>206.3338915397581</v>
      </c>
      <c r="F33" s="628"/>
      <c r="G33" s="628"/>
      <c r="H33" s="628"/>
      <c r="I33" s="69"/>
      <c r="J33" s="69"/>
      <c r="K33" s="4291">
        <f t="shared" si="0"/>
        <v>7002.6915630459425</v>
      </c>
      <c r="L33" s="19"/>
    </row>
    <row r="34" spans="2:12" ht="18" customHeight="1" x14ac:dyDescent="0.2">
      <c r="B34" s="620" t="s">
        <v>1494</v>
      </c>
      <c r="C34" s="628"/>
      <c r="D34" s="4247">
        <f>IFERROR(Summary1!D34*28,Summary1!D34)</f>
        <v>429.68050177907804</v>
      </c>
      <c r="E34" s="628"/>
      <c r="F34" s="628"/>
      <c r="G34" s="628"/>
      <c r="H34" s="628"/>
      <c r="I34" s="69"/>
      <c r="J34" s="69"/>
      <c r="K34" s="4291">
        <f t="shared" si="0"/>
        <v>429.68050177907804</v>
      </c>
      <c r="L34" s="19"/>
    </row>
    <row r="35" spans="2:12" ht="18" customHeight="1" x14ac:dyDescent="0.2">
      <c r="B35" s="620" t="s">
        <v>1495</v>
      </c>
      <c r="C35" s="4294"/>
      <c r="D35" s="4247" t="str">
        <f>IFERROR(Summary1!D35*28,Summary1!D35)</f>
        <v>NE</v>
      </c>
      <c r="E35" s="4247">
        <f>IFERROR(Summary1!E35*265,Summary1!E35)</f>
        <v>10806.361195262343</v>
      </c>
      <c r="F35" s="628"/>
      <c r="G35" s="628"/>
      <c r="H35" s="628"/>
      <c r="I35" s="69"/>
      <c r="J35" s="69"/>
      <c r="K35" s="4291">
        <f t="shared" si="0"/>
        <v>10806.361195262343</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322.42349638885423</v>
      </c>
      <c r="E37" s="4247">
        <f>IFERROR(Summary1!E37*265,Summary1!E37)</f>
        <v>121.97305549735795</v>
      </c>
      <c r="F37" s="628"/>
      <c r="G37" s="628"/>
      <c r="H37" s="628"/>
      <c r="I37" s="69"/>
      <c r="J37" s="69"/>
      <c r="K37" s="4291">
        <f t="shared" si="0"/>
        <v>444.39655188621219</v>
      </c>
      <c r="L37" s="19"/>
    </row>
    <row r="38" spans="2:12" ht="18" customHeight="1" x14ac:dyDescent="0.2">
      <c r="B38" s="620" t="s">
        <v>721</v>
      </c>
      <c r="C38" s="1924">
        <f>Summary1!C38</f>
        <v>260.25846060066385</v>
      </c>
      <c r="D38" s="4295"/>
      <c r="E38" s="4295"/>
      <c r="F38" s="628"/>
      <c r="G38" s="628"/>
      <c r="H38" s="628"/>
      <c r="I38" s="69"/>
      <c r="J38" s="69"/>
      <c r="K38" s="4291">
        <f t="shared" si="0"/>
        <v>260.25846060066385</v>
      </c>
      <c r="L38" s="19"/>
    </row>
    <row r="39" spans="2:12" ht="18" customHeight="1" x14ac:dyDescent="0.2">
      <c r="B39" s="620" t="s">
        <v>722</v>
      </c>
      <c r="C39" s="1924">
        <f>Summary1!C39</f>
        <v>374.63768115942037</v>
      </c>
      <c r="D39" s="4295"/>
      <c r="E39" s="4295"/>
      <c r="F39" s="628"/>
      <c r="G39" s="628"/>
      <c r="H39" s="628"/>
      <c r="I39" s="69"/>
      <c r="J39" s="69"/>
      <c r="K39" s="4291">
        <f t="shared" si="0"/>
        <v>374.63768115942037</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159807.7936945559</v>
      </c>
      <c r="D42" s="1927">
        <f>IFERROR(Summary1!D42*28,Summary1!D42)</f>
        <v>19576.130034385347</v>
      </c>
      <c r="E42" s="1927">
        <f>IFERROR(Summary1!E42*265,Summary1!E42)</f>
        <v>4063.8101373420227</v>
      </c>
      <c r="F42" s="1929"/>
      <c r="G42" s="1929"/>
      <c r="H42" s="1929"/>
      <c r="I42" s="4215"/>
      <c r="J42" s="627"/>
      <c r="K42" s="4290">
        <f t="shared" si="0"/>
        <v>183447.73386628326</v>
      </c>
      <c r="L42" s="19"/>
    </row>
    <row r="43" spans="2:12" ht="18" customHeight="1" x14ac:dyDescent="0.2">
      <c r="B43" s="620" t="s">
        <v>981</v>
      </c>
      <c r="C43" s="1924">
        <f>Summary1!C43</f>
        <v>-12082.033388131182</v>
      </c>
      <c r="D43" s="1924">
        <f>IFERROR(Summary1!D43*28,Summary1!D43)</f>
        <v>6542.6685273097992</v>
      </c>
      <c r="E43" s="1924">
        <f>IFERROR(Summary1!E43*265,Summary1!E43)</f>
        <v>1288.1945678700145</v>
      </c>
      <c r="F43" s="1931"/>
      <c r="G43" s="1931"/>
      <c r="H43" s="1931"/>
      <c r="I43" s="3352"/>
      <c r="J43" s="69"/>
      <c r="K43" s="4291">
        <f t="shared" si="0"/>
        <v>-4251.1702929513685</v>
      </c>
      <c r="L43" s="19"/>
    </row>
    <row r="44" spans="2:12" ht="18" customHeight="1" x14ac:dyDescent="0.2">
      <c r="B44" s="620" t="s">
        <v>984</v>
      </c>
      <c r="C44" s="1924">
        <f>Summary1!C44</f>
        <v>39717.359150626733</v>
      </c>
      <c r="D44" s="1924">
        <f>IFERROR(Summary1!D44*28,Summary1!D44)</f>
        <v>599.08786559999999</v>
      </c>
      <c r="E44" s="1924">
        <f>IFERROR(Summary1!E44*265,Summary1!E44)</f>
        <v>135.4864260441374</v>
      </c>
      <c r="F44" s="1931"/>
      <c r="G44" s="1931"/>
      <c r="H44" s="1931"/>
      <c r="I44" s="3352"/>
      <c r="J44" s="69"/>
      <c r="K44" s="4291">
        <f t="shared" si="0"/>
        <v>40451.933442270871</v>
      </c>
      <c r="L44" s="19"/>
    </row>
    <row r="45" spans="2:12" ht="18" customHeight="1" x14ac:dyDescent="0.2">
      <c r="B45" s="620" t="s">
        <v>987</v>
      </c>
      <c r="C45" s="1924">
        <f>Summary1!C45</f>
        <v>130310.91111872907</v>
      </c>
      <c r="D45" s="1924">
        <f>IFERROR(Summary1!D45*28,Summary1!D45)</f>
        <v>9709.6700206463011</v>
      </c>
      <c r="E45" s="1924">
        <f>IFERROR(Summary1!E45*265,Summary1!E45)</f>
        <v>2536.6881205946383</v>
      </c>
      <c r="F45" s="1931"/>
      <c r="G45" s="1931"/>
      <c r="H45" s="1931"/>
      <c r="I45" s="3352"/>
      <c r="J45" s="69"/>
      <c r="K45" s="4291">
        <f t="shared" si="0"/>
        <v>142557.26925996999</v>
      </c>
      <c r="L45" s="19"/>
    </row>
    <row r="46" spans="2:12" ht="18" customHeight="1" x14ac:dyDescent="0.2">
      <c r="B46" s="620" t="s">
        <v>1525</v>
      </c>
      <c r="C46" s="1924">
        <f>Summary1!C46</f>
        <v>1678.2768901873435</v>
      </c>
      <c r="D46" s="1924">
        <f>IFERROR(Summary1!D46*28,Summary1!D46)</f>
        <v>2566.5093104292446</v>
      </c>
      <c r="E46" s="1924">
        <f>IFERROR(Summary1!E46*265,Summary1!E46)</f>
        <v>66.072520683361105</v>
      </c>
      <c r="F46" s="1931"/>
      <c r="G46" s="1931"/>
      <c r="H46" s="1931"/>
      <c r="I46" s="3352"/>
      <c r="J46" s="69"/>
      <c r="K46" s="4291">
        <f t="shared" si="0"/>
        <v>4310.8587212999491</v>
      </c>
      <c r="L46" s="19"/>
    </row>
    <row r="47" spans="2:12" ht="18" customHeight="1" x14ac:dyDescent="0.2">
      <c r="B47" s="620" t="s">
        <v>1526</v>
      </c>
      <c r="C47" s="1924">
        <f>Summary1!C47</f>
        <v>6750.9811935626794</v>
      </c>
      <c r="D47" s="1924">
        <f>IFERROR(Summary1!D47*28,Summary1!D47)</f>
        <v>158.19431040000001</v>
      </c>
      <c r="E47" s="1924">
        <f>IFERROR(Summary1!E47*265,Summary1!E47)</f>
        <v>33.118469628443194</v>
      </c>
      <c r="F47" s="1931"/>
      <c r="G47" s="1931"/>
      <c r="H47" s="1931"/>
      <c r="I47" s="3352"/>
      <c r="J47" s="69"/>
      <c r="K47" s="4291">
        <f t="shared" si="0"/>
        <v>6942.2939735911232</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-6567.7012704187327</v>
      </c>
      <c r="D49" s="3835"/>
      <c r="E49" s="3835"/>
      <c r="F49" s="1931"/>
      <c r="G49" s="1931"/>
      <c r="H49" s="1931"/>
      <c r="I49" s="3352"/>
      <c r="J49" s="69"/>
      <c r="K49" s="4291">
        <f t="shared" si="0"/>
        <v>-6567.7012704187327</v>
      </c>
      <c r="L49" s="19"/>
    </row>
    <row r="50" spans="2:12" ht="18" customHeight="1" thickBot="1" x14ac:dyDescent="0.25">
      <c r="B50" s="1552" t="s">
        <v>1529</v>
      </c>
      <c r="C50" s="1926" t="str">
        <f>Summary1!C50</f>
        <v>NO</v>
      </c>
      <c r="D50" s="1926" t="str">
        <f>IFERROR(Summary1!D50*28,Summary1!D50)</f>
        <v>NO</v>
      </c>
      <c r="E50" s="1926">
        <f>IFERROR(Summary1!E50*265,Summary1!E50)</f>
        <v>4.2500325214285715</v>
      </c>
      <c r="F50" s="3024"/>
      <c r="G50" s="3024"/>
      <c r="H50" s="3024"/>
      <c r="I50" s="3828"/>
      <c r="J50" s="87"/>
      <c r="K50" s="4292">
        <f t="shared" si="0"/>
        <v>4.2500325214285715</v>
      </c>
      <c r="L50" s="19"/>
    </row>
    <row r="51" spans="2:12" ht="18" customHeight="1" x14ac:dyDescent="0.2">
      <c r="B51" s="1550" t="s">
        <v>1500</v>
      </c>
      <c r="C51" s="1927">
        <f>Summary1!C51</f>
        <v>73.988845759355272</v>
      </c>
      <c r="D51" s="1927">
        <f>IFERROR(Summary1!D51*28,Summary1!D51)</f>
        <v>23149.435243021351</v>
      </c>
      <c r="E51" s="1927">
        <f>IFERROR(Summary1!E51*265,Summary1!E51)</f>
        <v>163.80541480253592</v>
      </c>
      <c r="F51" s="1929"/>
      <c r="G51" s="1929"/>
      <c r="H51" s="1929"/>
      <c r="I51" s="4215"/>
      <c r="J51" s="627"/>
      <c r="K51" s="4290">
        <f t="shared" si="0"/>
        <v>23387.229503583243</v>
      </c>
      <c r="L51" s="19"/>
    </row>
    <row r="52" spans="2:12" ht="18" customHeight="1" x14ac:dyDescent="0.2">
      <c r="B52" s="620" t="s">
        <v>1530</v>
      </c>
      <c r="C52" s="628"/>
      <c r="D52" s="1924">
        <f>IFERROR(Summary1!D52*28,Summary1!D52)</f>
        <v>17049.508786519997</v>
      </c>
      <c r="E52" s="1931"/>
      <c r="F52" s="628"/>
      <c r="G52" s="628"/>
      <c r="H52" s="628"/>
      <c r="I52" s="69"/>
      <c r="J52" s="69"/>
      <c r="K52" s="4291">
        <f t="shared" si="0"/>
        <v>17049.508786519997</v>
      </c>
      <c r="L52" s="19"/>
    </row>
    <row r="53" spans="2:12" ht="18" customHeight="1" x14ac:dyDescent="0.2">
      <c r="B53" s="1396" t="s">
        <v>1531</v>
      </c>
      <c r="C53" s="628"/>
      <c r="D53" s="1924">
        <f>IFERROR(Summary1!D53*28,Summary1!D53)</f>
        <v>13.526846539471713</v>
      </c>
      <c r="E53" s="1924">
        <f>IFERROR(Summary1!E53*265,Summary1!E53)</f>
        <v>16.386808379245736</v>
      </c>
      <c r="F53" s="628"/>
      <c r="G53" s="628"/>
      <c r="H53" s="628"/>
      <c r="I53" s="69"/>
      <c r="J53" s="69"/>
      <c r="K53" s="4291">
        <f t="shared" si="0"/>
        <v>29.913654918717448</v>
      </c>
      <c r="L53" s="19"/>
    </row>
    <row r="54" spans="2:12" ht="18" customHeight="1" x14ac:dyDescent="0.2">
      <c r="B54" s="1397" t="s">
        <v>1532</v>
      </c>
      <c r="C54" s="1924">
        <f>Summary1!C54</f>
        <v>73.988845759355272</v>
      </c>
      <c r="D54" s="1924">
        <f>IFERROR(Summary1!D54*28,Summary1!D54)</f>
        <v>2.5947936</v>
      </c>
      <c r="E54" s="1924">
        <f>IFERROR(Summary1!E54*265,Summary1!E54)</f>
        <v>10.064699999999998</v>
      </c>
      <c r="F54" s="628"/>
      <c r="G54" s="628"/>
      <c r="H54" s="628"/>
      <c r="I54" s="69"/>
      <c r="J54" s="69"/>
      <c r="K54" s="4291">
        <f t="shared" si="0"/>
        <v>86.648339359355276</v>
      </c>
      <c r="L54" s="19"/>
    </row>
    <row r="55" spans="2:12" ht="18" customHeight="1" x14ac:dyDescent="0.2">
      <c r="B55" s="620" t="s">
        <v>1533</v>
      </c>
      <c r="C55" s="628"/>
      <c r="D55" s="1924">
        <f>IFERROR(Summary1!D55*28,Summary1!D55)</f>
        <v>6083.8048163618814</v>
      </c>
      <c r="E55" s="1924">
        <f>IFERROR(Summary1!E55*265,Summary1!E55)</f>
        <v>137.35390642329017</v>
      </c>
      <c r="F55" s="628"/>
      <c r="G55" s="628"/>
      <c r="H55" s="628"/>
      <c r="I55" s="69"/>
      <c r="J55" s="69"/>
      <c r="K55" s="4291">
        <f t="shared" si="0"/>
        <v>6221.1587227851714</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6436.1739999999991</v>
      </c>
      <c r="D60" s="4219">
        <f>IFERROR(Summary1!D61*28,Summary1!D61)</f>
        <v>5.2714370800000001</v>
      </c>
      <c r="E60" s="4219">
        <f>IFERROR(Summary1!E61*265,Summary1!E61)</f>
        <v>19.977511906815792</v>
      </c>
      <c r="F60" s="1931"/>
      <c r="G60" s="1931"/>
      <c r="H60" s="1932"/>
      <c r="I60" s="630"/>
      <c r="J60" s="630"/>
      <c r="K60" s="4220">
        <f t="shared" ref="K60:K66" si="2">IF(SUM(C60:J60)=0,"NO",SUM(C60:J60))</f>
        <v>6461.4229489868148</v>
      </c>
    </row>
    <row r="61" spans="2:12" ht="18" customHeight="1" x14ac:dyDescent="0.2">
      <c r="B61" s="1386" t="s">
        <v>111</v>
      </c>
      <c r="C61" s="4219">
        <f>Summary1!C62</f>
        <v>4558.7999999999993</v>
      </c>
      <c r="D61" s="4219">
        <f>IFERROR(Summary1!D62*28,Summary1!D62)</f>
        <v>0.22835707999999996</v>
      </c>
      <c r="E61" s="4219">
        <f>IFERROR(Summary1!E62*265,Summary1!E62)</f>
        <v>6.3406119068157896</v>
      </c>
      <c r="F61" s="628"/>
      <c r="G61" s="628"/>
      <c r="H61" s="628"/>
      <c r="I61" s="631"/>
      <c r="J61" s="631"/>
      <c r="K61" s="4234">
        <f t="shared" si="2"/>
        <v>4565.3689689868152</v>
      </c>
    </row>
    <row r="62" spans="2:12" ht="18" customHeight="1" x14ac:dyDescent="0.2">
      <c r="B62" s="1387" t="s">
        <v>1503</v>
      </c>
      <c r="C62" s="4219">
        <f>Summary1!C63</f>
        <v>1877.374</v>
      </c>
      <c r="D62" s="4219">
        <f>IFERROR(Summary1!D63*28,Summary1!D63)</f>
        <v>5.0430799999999998</v>
      </c>
      <c r="E62" s="4219">
        <f>IFERROR(Summary1!E63*265,Summary1!E63)</f>
        <v>13.636900000000001</v>
      </c>
      <c r="F62" s="628"/>
      <c r="G62" s="628"/>
      <c r="H62" s="628"/>
      <c r="I62" s="632"/>
      <c r="J62" s="632"/>
      <c r="K62" s="4220">
        <f t="shared" si="2"/>
        <v>1896.0539799999999</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15017.92222</v>
      </c>
      <c r="D64" s="1931"/>
      <c r="E64" s="1931"/>
      <c r="F64" s="1931"/>
      <c r="G64" s="1931"/>
      <c r="H64" s="1931"/>
      <c r="I64" s="3352"/>
      <c r="J64" s="3352"/>
      <c r="K64" s="3821">
        <f t="shared" si="2"/>
        <v>15017.92222</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-191072.90426935992</v>
      </c>
      <c r="D66" s="4301"/>
      <c r="E66" s="4301"/>
      <c r="F66" s="4301"/>
      <c r="G66" s="4301"/>
      <c r="H66" s="4301"/>
      <c r="I66" s="3824"/>
      <c r="J66" s="3824"/>
      <c r="K66" s="4302">
        <f t="shared" si="2"/>
        <v>-191072.90426935992</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438049.2903463947</v>
      </c>
      <c r="N71" s="1126"/>
    </row>
    <row r="72" spans="2:14" s="634" customFormat="1" ht="18" customHeight="1" x14ac:dyDescent="0.25">
      <c r="B72" s="637"/>
      <c r="C72" s="638"/>
      <c r="D72" s="638"/>
      <c r="E72" s="638"/>
      <c r="F72" s="638"/>
      <c r="G72" s="638"/>
      <c r="H72" s="638"/>
      <c r="I72" s="638"/>
      <c r="J72" s="2553" t="s">
        <v>2122</v>
      </c>
      <c r="K72" s="3821">
        <f>K10</f>
        <v>621497.02421267796</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649715.02659164346</v>
      </c>
      <c r="D10" s="3076" t="s">
        <v>1814</v>
      </c>
      <c r="E10" s="628"/>
      <c r="F10" s="628"/>
      <c r="G10" s="628"/>
      <c r="H10" s="1913">
        <f>IF(SUM(H11:H15)=0,"NO",SUM(H11:H15))</f>
        <v>35411.642792381528</v>
      </c>
      <c r="I10" s="1913">
        <f t="shared" ref="I10:K10" si="0">IF(SUM(I11:I16)=0,"NO",SUM(I11:I16))</f>
        <v>1.9969221605944099</v>
      </c>
      <c r="J10" s="1847">
        <f t="shared" si="0"/>
        <v>1.1069438707977839</v>
      </c>
      <c r="K10" s="3065" t="str">
        <f t="shared" si="0"/>
        <v>NO</v>
      </c>
    </row>
    <row r="11" spans="2:11" ht="18" customHeight="1" x14ac:dyDescent="0.2">
      <c r="B11" s="282" t="s">
        <v>132</v>
      </c>
      <c r="C11" s="1913">
        <f>IF(SUM(C18,C25,C32,C39,C46,C53,C62,C69,C76,C83,C90,C97,C114,C104:C107)=0,"NO",SUM(C18,C25,C32,C39,C46,C53,C62,C69,C76,C83,C90,C97,C114,C104:C107))</f>
        <v>168278.28914858535</v>
      </c>
      <c r="D11" s="3077" t="s">
        <v>1814</v>
      </c>
      <c r="E11" s="1913">
        <f>IFERROR(H11*1000/$C11,"NA")</f>
        <v>68.334479194410733</v>
      </c>
      <c r="F11" s="1913">
        <f t="shared" ref="F11:G16" si="1">IFERROR(I11*1000000/$C11,"NA")</f>
        <v>4.6957496511306971</v>
      </c>
      <c r="G11" s="1913">
        <f t="shared" si="1"/>
        <v>2.0657525549309459</v>
      </c>
      <c r="H11" s="1913">
        <f>IF(SUM(H18,H25,H32,H39,H46,H53,H62,H69,H76,H83,H90,H97,H114,H104:H107)=0,"NO",SUM(H18,H25,H32,H39,H46,H53,H62,H69,H76,H83,H90,H97,H114,H104:H107))</f>
        <v>11499.209248695039</v>
      </c>
      <c r="I11" s="1913">
        <f>IF(SUM(I18,I25,I32,I39,I46,I53,I62,I69,I76,I83,I90,I97,I114,I104:I107)=0,"NO",SUM(I18,I25,I32,I39,I46,I53,I62,I69,I76,I83,I90,I97,I114,I104:I107))</f>
        <v>0.79019271756234022</v>
      </c>
      <c r="J11" s="1913">
        <f>IF(SUM(J18,J25,J32,J39,J46,J53,J62,J69,J76,J83,J90,J97,J114,J104:J107)=0,"NO",SUM(J18,J25,J32,J39,J46,J53,J62,J69,J76,J83,J90,J97,J114,J104:J107))</f>
        <v>0.34762130574809863</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131427.42686046512</v>
      </c>
      <c r="D12" s="3077" t="s">
        <v>1814</v>
      </c>
      <c r="E12" s="1913">
        <f t="shared" ref="E12:E16" si="2">IFERROR(H12*1000/$C12,"NA")</f>
        <v>80.464964034617964</v>
      </c>
      <c r="F12" s="1913">
        <f t="shared" si="1"/>
        <v>0.96684788218949214</v>
      </c>
      <c r="G12" s="1913">
        <f t="shared" si="1"/>
        <v>0.69860372347196364</v>
      </c>
      <c r="H12" s="1913">
        <f>IF(SUM(H19,H26,H33,H40,H47,H54,H63,H70,H77,H84,H91,H98,H115)=0,"NO",SUM(H19,H26,H33,H40,H47,H54,H63,H70,H77,H84,H91,H98,H115))</f>
        <v>10575.303175489709</v>
      </c>
      <c r="I12" s="1913">
        <f>IF(SUM(I19,I26,I33,I40,I47,I54,I63,I70,I77,I84,I91,I98,I115)=0,"NO",SUM(I19,I26,I33,I40,I47,I54,I63,I70,I77,I84,I91,I98,I115))</f>
        <v>0.12707032932165507</v>
      </c>
      <c r="J12" s="1913">
        <f>IF(SUM(J19,J26,J33,J40,J47,J54,J63,J70,J77,J84,J91,J98,J115)=0,"NO",SUM(J19,J26,J33,J40,J47,J54,J63,J70,J77,J84,J91,J98,J115))</f>
        <v>9.1815689771060111E-2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259399.99888791097</v>
      </c>
      <c r="D13" s="3077" t="s">
        <v>1814</v>
      </c>
      <c r="E13" s="1913">
        <f t="shared" si="2"/>
        <v>51.415306188801772</v>
      </c>
      <c r="F13" s="1913">
        <f t="shared" si="1"/>
        <v>0.96019181795289832</v>
      </c>
      <c r="G13" s="1913">
        <f t="shared" si="1"/>
        <v>0.53566907345936332</v>
      </c>
      <c r="H13" s="1913">
        <f t="shared" ref="H13:K14" si="3">IF(SUM(H20,H27,H34,H41,H48,H55,H64,H71,H78,H85,H92,H99,H116,H109)=0,"NO",SUM(H20,H27,H34,H41,H48,H55,H64,H71,H78,H85,H92,H99,H116,H109))</f>
        <v>13337.130368196782</v>
      </c>
      <c r="I13" s="1913">
        <f t="shared" si="3"/>
        <v>0.24907375650916305</v>
      </c>
      <c r="J13" s="1913">
        <f t="shared" si="3"/>
        <v>0.13895255705964712</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90609.311694681965</v>
      </c>
      <c r="D16" s="3092" t="s">
        <v>1814</v>
      </c>
      <c r="E16" s="1913">
        <f t="shared" si="2"/>
        <v>94.742852036239796</v>
      </c>
      <c r="F16" s="1913">
        <f t="shared" si="1"/>
        <v>9.1666666666666679</v>
      </c>
      <c r="G16" s="1913">
        <f t="shared" si="1"/>
        <v>5.833333333333333</v>
      </c>
      <c r="H16" s="1913">
        <f>IF(SUM(H23,H30,H37,H44,H51,H58,H67,H74,H81,H88,H95,H102,H119,H111)=0,"NO",SUM(H23,H30,H37,H44,H51,H58,H67,H74,H81,H88,H95,H102,H119,H111))</f>
        <v>8584.5846109947852</v>
      </c>
      <c r="I16" s="1913">
        <f>IF(SUM(I23,I30,I37,I44,I51,I58,I67,I74,I81,I88,I95,I102,I119,I111)=0,"NO",SUM(I23,I30,I37,I44,I51,I58,I67,I74,I81,I88,I95,I102,I119,I111))</f>
        <v>0.83058535720125148</v>
      </c>
      <c r="J16" s="1913">
        <f>IF(SUM(J23,J30,J37,J44,J51,J58,J67,J74,J81,J88,J95,J102,J119,J111)=0,"NO",SUM(J23,J30,J37,J44,J51,J58,J67,J74,J81,J88,J95,J102,J119,J111))</f>
        <v>0.52855431821897814</v>
      </c>
      <c r="K16" s="3065" t="str">
        <f>IF(SUM(K23,K30,K37,K44,K51,K58,K67,K74,K81,K88,K95,K102,K119,K111)=0,"NO",SUM(K23,K30,K37,K44,K51,K58,K67,K74,K81,K88,K95,K102,K119,K111))</f>
        <v>NO</v>
      </c>
    </row>
    <row r="17" spans="2:11" ht="18" customHeight="1" x14ac:dyDescent="0.2">
      <c r="B17" s="1241" t="s">
        <v>151</v>
      </c>
      <c r="C17" s="1913">
        <f>IF(SUM(C18:C23)=0,"NO",SUM(C18:C23))</f>
        <v>53915.7</v>
      </c>
      <c r="D17" s="3076" t="s">
        <v>1814</v>
      </c>
      <c r="E17" s="628"/>
      <c r="F17" s="628"/>
      <c r="G17" s="628"/>
      <c r="H17" s="1913">
        <f>IF(SUM(H18:H22)=0,"NO",SUM(H18:H22))</f>
        <v>2563.0038993119924</v>
      </c>
      <c r="I17" s="1913">
        <f t="shared" ref="I17:K17" si="4">IF(SUM(I18:I23)=0,"NO",SUM(I18:I23))</f>
        <v>8.7453920647880434E-2</v>
      </c>
      <c r="J17" s="1913">
        <f t="shared" si="4"/>
        <v>3.2962293845005312E-2</v>
      </c>
      <c r="K17" s="3065" t="str">
        <f t="shared" si="4"/>
        <v>NO</v>
      </c>
    </row>
    <row r="18" spans="2:11" ht="18" customHeight="1" x14ac:dyDescent="0.2">
      <c r="B18" s="282" t="s">
        <v>132</v>
      </c>
      <c r="C18" s="691">
        <v>2300</v>
      </c>
      <c r="D18" s="3077" t="s">
        <v>1814</v>
      </c>
      <c r="E18" s="1913">
        <f>IFERROR(H18*1000/$C18,"NA")</f>
        <v>69.2</v>
      </c>
      <c r="F18" s="1913">
        <f t="shared" ref="F18:G23" si="5">IFERROR(I18*1000000/$C18,"NA")</f>
        <v>15.877313957576471</v>
      </c>
      <c r="G18" s="1913">
        <f t="shared" si="5"/>
        <v>1.0517879604672056</v>
      </c>
      <c r="H18" s="691">
        <v>159.16</v>
      </c>
      <c r="I18" s="691">
        <v>3.6517822102425879E-2</v>
      </c>
      <c r="J18" s="691">
        <v>2.419112309074573E-3</v>
      </c>
      <c r="K18" s="3093" t="s">
        <v>2146</v>
      </c>
    </row>
    <row r="19" spans="2:11" ht="18" customHeight="1" x14ac:dyDescent="0.2">
      <c r="B19" s="282" t="s">
        <v>133</v>
      </c>
      <c r="C19" s="691">
        <v>26915.7</v>
      </c>
      <c r="D19" s="3077" t="s">
        <v>1814</v>
      </c>
      <c r="E19" s="1913">
        <f t="shared" ref="E19:E23" si="6">IFERROR(H19*1000/$C19,"NA")</f>
        <v>42.512433263857147</v>
      </c>
      <c r="F19" s="1913">
        <f t="shared" si="5"/>
        <v>0.95536361170752992</v>
      </c>
      <c r="G19" s="1913">
        <f t="shared" si="5"/>
        <v>0.58423262336774529</v>
      </c>
      <c r="H19" s="691">
        <v>1144.2519</v>
      </c>
      <c r="I19" s="691">
        <v>2.5714280363636363E-2</v>
      </c>
      <c r="J19" s="691">
        <v>1.5725030020779223E-2</v>
      </c>
      <c r="K19" s="3093" t="s">
        <v>2146</v>
      </c>
    </row>
    <row r="20" spans="2:11" ht="18" customHeight="1" x14ac:dyDescent="0.2">
      <c r="B20" s="282" t="s">
        <v>134</v>
      </c>
      <c r="C20" s="691">
        <v>24500</v>
      </c>
      <c r="D20" s="3077" t="s">
        <v>1814</v>
      </c>
      <c r="E20" s="1913">
        <f t="shared" si="6"/>
        <v>51.411918339265007</v>
      </c>
      <c r="F20" s="1913">
        <f t="shared" si="5"/>
        <v>0.95463203463203472</v>
      </c>
      <c r="G20" s="1913">
        <f t="shared" si="5"/>
        <v>0.55720346320346315</v>
      </c>
      <c r="H20" s="691">
        <v>1259.5919993119926</v>
      </c>
      <c r="I20" s="691">
        <v>2.3388484848484853E-2</v>
      </c>
      <c r="J20" s="691">
        <v>1.3651484848484849E-2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v>200</v>
      </c>
      <c r="D23" s="3077" t="s">
        <v>1814</v>
      </c>
      <c r="E23" s="1913">
        <f t="shared" si="6"/>
        <v>94</v>
      </c>
      <c r="F23" s="1913">
        <f t="shared" si="5"/>
        <v>9.1666666666666679</v>
      </c>
      <c r="G23" s="1913">
        <f t="shared" si="5"/>
        <v>5.8333333333333339</v>
      </c>
      <c r="H23" s="691">
        <v>18.8</v>
      </c>
      <c r="I23" s="691">
        <v>1.8333333333333337E-3</v>
      </c>
      <c r="J23" s="691">
        <v>1.1666666666666668E-3</v>
      </c>
      <c r="K23" s="3093" t="s">
        <v>2146</v>
      </c>
    </row>
    <row r="24" spans="2:11" ht="18" customHeight="1" x14ac:dyDescent="0.2">
      <c r="B24" s="1241" t="s">
        <v>152</v>
      </c>
      <c r="C24" s="1913">
        <f>IF(SUM(C25:C30)=0,"NO",SUM(C25:C30))</f>
        <v>178918.27529640001</v>
      </c>
      <c r="D24" s="3077" t="s">
        <v>1814</v>
      </c>
      <c r="E24" s="628"/>
      <c r="F24" s="628"/>
      <c r="G24" s="628"/>
      <c r="H24" s="1913">
        <f>IF(SUM(H25:H29)=0,"NO",SUM(H25:H29))</f>
        <v>11594.361165315668</v>
      </c>
      <c r="I24" s="1913">
        <f t="shared" ref="I24:K24" si="7">IF(SUM(I25:I30)=0,"NO",SUM(I25:I30))</f>
        <v>0.22628862040433331</v>
      </c>
      <c r="J24" s="1913">
        <f t="shared" si="7"/>
        <v>0.13251215009317313</v>
      </c>
      <c r="K24" s="3065" t="str">
        <f t="shared" si="7"/>
        <v>NO</v>
      </c>
    </row>
    <row r="25" spans="2:11" ht="18" customHeight="1" x14ac:dyDescent="0.2">
      <c r="B25" s="282" t="s">
        <v>132</v>
      </c>
      <c r="C25" s="691">
        <v>34235.240296399999</v>
      </c>
      <c r="D25" s="3077" t="s">
        <v>1814</v>
      </c>
      <c r="E25" s="1913">
        <f>IFERROR(H25*1000/$C25,"NA")</f>
        <v>72.540861048662407</v>
      </c>
      <c r="F25" s="1913">
        <f t="shared" ref="F25:G30" si="8">IFERROR(I25*1000000/$C25,"NA")</f>
        <v>1.803417113631985</v>
      </c>
      <c r="G25" s="1913">
        <f t="shared" si="8"/>
        <v>0.78779540310279073</v>
      </c>
      <c r="H25" s="691">
        <v>2483.4538093087203</v>
      </c>
      <c r="I25" s="691">
        <v>6.1740418239831112E-2</v>
      </c>
      <c r="J25" s="691">
        <v>2.697036492962334E-2</v>
      </c>
      <c r="K25" s="3093" t="s">
        <v>2146</v>
      </c>
    </row>
    <row r="26" spans="2:11" ht="18" customHeight="1" x14ac:dyDescent="0.2">
      <c r="B26" s="282" t="s">
        <v>133</v>
      </c>
      <c r="C26" s="691">
        <v>45583.034999999996</v>
      </c>
      <c r="D26" s="3077" t="s">
        <v>1814</v>
      </c>
      <c r="E26" s="1913">
        <f t="shared" ref="E26:E30" si="9">IFERROR(H26*1000/$C26,"NA")</f>
        <v>91.711848218782123</v>
      </c>
      <c r="F26" s="1913">
        <f t="shared" si="8"/>
        <v>0.95238095238095222</v>
      </c>
      <c r="G26" s="1913">
        <f t="shared" si="8"/>
        <v>0.70609523809523822</v>
      </c>
      <c r="H26" s="691">
        <v>4180.5043872714332</v>
      </c>
      <c r="I26" s="691">
        <v>4.3412414285714275E-2</v>
      </c>
      <c r="J26" s="691">
        <v>3.2185963951428573E-2</v>
      </c>
      <c r="K26" s="3093" t="s">
        <v>2146</v>
      </c>
    </row>
    <row r="27" spans="2:11" ht="18" customHeight="1" x14ac:dyDescent="0.2">
      <c r="B27" s="282" t="s">
        <v>134</v>
      </c>
      <c r="C27" s="691">
        <v>95900.000000000015</v>
      </c>
      <c r="D27" s="3077" t="s">
        <v>1814</v>
      </c>
      <c r="E27" s="1913">
        <f t="shared" si="9"/>
        <v>51.411918339265</v>
      </c>
      <c r="F27" s="1913">
        <f t="shared" si="8"/>
        <v>0.95727272727272728</v>
      </c>
      <c r="G27" s="1913">
        <f t="shared" si="8"/>
        <v>0.57027272727272726</v>
      </c>
      <c r="H27" s="691">
        <v>4930.4029687355142</v>
      </c>
      <c r="I27" s="691">
        <v>9.1802454545454562E-2</v>
      </c>
      <c r="J27" s="691">
        <v>5.4689154545454553E-2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3200</v>
      </c>
      <c r="D30" s="3077" t="s">
        <v>1814</v>
      </c>
      <c r="E30" s="1913">
        <f t="shared" si="9"/>
        <v>94</v>
      </c>
      <c r="F30" s="1913">
        <f t="shared" si="8"/>
        <v>9.1666666666666679</v>
      </c>
      <c r="G30" s="1913">
        <f t="shared" si="8"/>
        <v>5.8333333333333348</v>
      </c>
      <c r="H30" s="691">
        <v>300.8</v>
      </c>
      <c r="I30" s="691">
        <v>2.933333333333334E-2</v>
      </c>
      <c r="J30" s="691">
        <v>1.8666666666666672E-2</v>
      </c>
      <c r="K30" s="3093" t="s">
        <v>2146</v>
      </c>
    </row>
    <row r="31" spans="2:11" ht="18" customHeight="1" x14ac:dyDescent="0.2">
      <c r="B31" s="1241" t="s">
        <v>153</v>
      </c>
      <c r="C31" s="1913">
        <f>IF(SUM(C32:C37)=0,"NO",SUM(C32:C37))</f>
        <v>91874.461784870276</v>
      </c>
      <c r="D31" s="3077" t="s">
        <v>1814</v>
      </c>
      <c r="E31" s="628"/>
      <c r="F31" s="628"/>
      <c r="G31" s="628"/>
      <c r="H31" s="1913">
        <f>IF(SUM(H32:H36)=0,"NO",SUM(H32:H36))</f>
        <v>5778.9643242434813</v>
      </c>
      <c r="I31" s="1913">
        <f t="shared" ref="I31:K31" si="10">IF(SUM(I32:I37)=0,"NO",SUM(I32:I37))</f>
        <v>0.36630313985659657</v>
      </c>
      <c r="J31" s="1913">
        <f t="shared" si="10"/>
        <v>8.692184959490748E-2</v>
      </c>
      <c r="K31" s="3065" t="str">
        <f t="shared" si="10"/>
        <v>NO</v>
      </c>
    </row>
    <row r="32" spans="2:11" ht="18" customHeight="1" x14ac:dyDescent="0.2">
      <c r="B32" s="282" t="s">
        <v>132</v>
      </c>
      <c r="C32" s="691">
        <v>53984.782664401195</v>
      </c>
      <c r="D32" s="3077" t="s">
        <v>1814</v>
      </c>
      <c r="E32" s="1913">
        <f>IFERROR(H32*1000/$C32,"NA")</f>
        <v>64.337369303485715</v>
      </c>
      <c r="F32" s="1913">
        <f t="shared" ref="F32:G37" si="11">IFERROR(I32*1000000/$C32,"NA")</f>
        <v>6.1145367764493317</v>
      </c>
      <c r="G32" s="1913">
        <f t="shared" si="11"/>
        <v>1.239162155543168</v>
      </c>
      <c r="H32" s="691">
        <v>3473.2388990479931</v>
      </c>
      <c r="I32" s="691">
        <v>0.33009193897010541</v>
      </c>
      <c r="J32" s="691">
        <v>6.6895899652948843E-2</v>
      </c>
      <c r="K32" s="3093" t="s">
        <v>2146</v>
      </c>
    </row>
    <row r="33" spans="2:11" ht="18" customHeight="1" x14ac:dyDescent="0.2">
      <c r="B33" s="282" t="s">
        <v>133</v>
      </c>
      <c r="C33" s="691">
        <v>9089.6802325581393</v>
      </c>
      <c r="D33" s="3077" t="s">
        <v>1814</v>
      </c>
      <c r="E33" s="1913">
        <f t="shared" ref="E33:E37" si="12">IFERROR(H33*1000/$C33,"NA")</f>
        <v>90.769115424326372</v>
      </c>
      <c r="F33" s="1913">
        <f t="shared" si="11"/>
        <v>0.95238095238095244</v>
      </c>
      <c r="G33" s="1913">
        <f t="shared" si="11"/>
        <v>0.66666666666666663</v>
      </c>
      <c r="H33" s="691">
        <v>825.06223419928745</v>
      </c>
      <c r="I33" s="691">
        <v>8.6568383167220375E-3</v>
      </c>
      <c r="J33" s="691">
        <v>6.0597868217054252E-3</v>
      </c>
      <c r="K33" s="3093" t="s">
        <v>2146</v>
      </c>
    </row>
    <row r="34" spans="2:11" ht="18" customHeight="1" x14ac:dyDescent="0.2">
      <c r="B34" s="282" t="s">
        <v>134</v>
      </c>
      <c r="C34" s="691">
        <v>28799.998887910944</v>
      </c>
      <c r="D34" s="3077" t="s">
        <v>1814</v>
      </c>
      <c r="E34" s="1913">
        <f t="shared" si="12"/>
        <v>51.411918339265</v>
      </c>
      <c r="F34" s="1913">
        <f t="shared" si="11"/>
        <v>0.95674873728329624</v>
      </c>
      <c r="G34" s="1913">
        <f t="shared" si="11"/>
        <v>0.4849362381786631</v>
      </c>
      <c r="H34" s="691">
        <v>1480.6631909962002</v>
      </c>
      <c r="I34" s="691">
        <v>2.755436256976913E-2</v>
      </c>
      <c r="J34" s="691">
        <v>1.3966163120253214E-2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35500</v>
      </c>
      <c r="D38" s="3077" t="s">
        <v>1814</v>
      </c>
      <c r="E38" s="628"/>
      <c r="F38" s="628"/>
      <c r="G38" s="628"/>
      <c r="H38" s="1913">
        <f>IF(SUM(H39:H43)=0,"NO",SUM(H39:H43))</f>
        <v>1153.6984139456579</v>
      </c>
      <c r="I38" s="1913">
        <f t="shared" ref="I38:K38" si="13">IF(SUM(I39:I44)=0,"NO",SUM(I39:I44))</f>
        <v>0.16622620779220781</v>
      </c>
      <c r="J38" s="1913">
        <f t="shared" si="13"/>
        <v>0.11113160779220781</v>
      </c>
      <c r="K38" s="3065" t="str">
        <f t="shared" si="13"/>
        <v>NO</v>
      </c>
    </row>
    <row r="39" spans="2:11" ht="18" customHeight="1" x14ac:dyDescent="0.2">
      <c r="B39" s="282" t="s">
        <v>132</v>
      </c>
      <c r="C39" s="691">
        <v>1800</v>
      </c>
      <c r="D39" s="3077" t="s">
        <v>1814</v>
      </c>
      <c r="E39" s="1913">
        <f>IFERROR(H39*1000/$C39,"NA")</f>
        <v>67.283333333333346</v>
      </c>
      <c r="F39" s="1913">
        <f t="shared" ref="F39:G44" si="14">IFERROR(I39*1000000/$C39,"NA")</f>
        <v>0.89428571428571435</v>
      </c>
      <c r="G39" s="1913">
        <f t="shared" si="14"/>
        <v>1.1649841269841272</v>
      </c>
      <c r="H39" s="691">
        <v>121.11000000000001</v>
      </c>
      <c r="I39" s="691">
        <v>1.6097142857142857E-3</v>
      </c>
      <c r="J39" s="691">
        <v>2.0969714285714288E-3</v>
      </c>
      <c r="K39" s="3093" t="s">
        <v>2146</v>
      </c>
    </row>
    <row r="40" spans="2:11" ht="18" customHeight="1" x14ac:dyDescent="0.2">
      <c r="B40" s="282" t="s">
        <v>133</v>
      </c>
      <c r="C40" s="691">
        <v>3300</v>
      </c>
      <c r="D40" s="3077" t="s">
        <v>1814</v>
      </c>
      <c r="E40" s="1913">
        <f t="shared" ref="E40:E44" si="15">IFERROR(H40*1000/$C40,"NA")</f>
        <v>91.678537432756045</v>
      </c>
      <c r="F40" s="1913">
        <f t="shared" si="14"/>
        <v>0.95238095238095233</v>
      </c>
      <c r="G40" s="1913">
        <f t="shared" si="14"/>
        <v>0.66666666666666652</v>
      </c>
      <c r="H40" s="691">
        <v>302.53917352809498</v>
      </c>
      <c r="I40" s="691">
        <v>3.1428571428571426E-3</v>
      </c>
      <c r="J40" s="691">
        <v>2.1999999999999997E-3</v>
      </c>
      <c r="K40" s="3093" t="s">
        <v>2146</v>
      </c>
    </row>
    <row r="41" spans="2:11" ht="18" customHeight="1" x14ac:dyDescent="0.2">
      <c r="B41" s="282" t="s">
        <v>134</v>
      </c>
      <c r="C41" s="691">
        <v>14200</v>
      </c>
      <c r="D41" s="3077" t="s">
        <v>1814</v>
      </c>
      <c r="E41" s="1913">
        <f t="shared" si="15"/>
        <v>51.411918339264986</v>
      </c>
      <c r="F41" s="1913">
        <f t="shared" si="14"/>
        <v>0.91363636363636336</v>
      </c>
      <c r="G41" s="1913">
        <f t="shared" si="14"/>
        <v>0.86863636363636354</v>
      </c>
      <c r="H41" s="691">
        <v>730.04924041756283</v>
      </c>
      <c r="I41" s="691">
        <v>1.2973636363636361E-2</v>
      </c>
      <c r="J41" s="691">
        <v>1.2334636363636362E-2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16200</v>
      </c>
      <c r="D44" s="3076" t="s">
        <v>1814</v>
      </c>
      <c r="E44" s="1913">
        <f t="shared" si="15"/>
        <v>93.999999999999986</v>
      </c>
      <c r="F44" s="1913">
        <f t="shared" si="14"/>
        <v>9.1666666666666679</v>
      </c>
      <c r="G44" s="1913">
        <f t="shared" si="14"/>
        <v>5.8333333333333339</v>
      </c>
      <c r="H44" s="691">
        <v>1522.7999999999997</v>
      </c>
      <c r="I44" s="691">
        <v>0.14850000000000002</v>
      </c>
      <c r="J44" s="691">
        <v>9.4500000000000015E-2</v>
      </c>
      <c r="K44" s="3093" t="s">
        <v>2146</v>
      </c>
    </row>
    <row r="45" spans="2:11" ht="18" customHeight="1" x14ac:dyDescent="0.2">
      <c r="B45" s="1241" t="s">
        <v>155</v>
      </c>
      <c r="C45" s="1913">
        <f>IF(SUM(C46:C51)=0,"NO",SUM(C46:C51))</f>
        <v>115118.32332258894</v>
      </c>
      <c r="D45" s="3076" t="s">
        <v>1814</v>
      </c>
      <c r="E45" s="628"/>
      <c r="F45" s="628"/>
      <c r="G45" s="628"/>
      <c r="H45" s="1913">
        <f>IF(SUM(H46:H50)=0,"NO",SUM(H46:H50))</f>
        <v>3005.066006979403</v>
      </c>
      <c r="I45" s="1913">
        <f t="shared" ref="I45:K45" si="16">IF(SUM(I46:I51)=0,"NO",SUM(I46:I51))</f>
        <v>0.68955586916671419</v>
      </c>
      <c r="J45" s="1913">
        <f t="shared" si="16"/>
        <v>0.45377165844644329</v>
      </c>
      <c r="K45" s="3065" t="str">
        <f t="shared" si="16"/>
        <v>NO</v>
      </c>
    </row>
    <row r="46" spans="2:11" ht="18" customHeight="1" x14ac:dyDescent="0.2">
      <c r="B46" s="282" t="s">
        <v>132</v>
      </c>
      <c r="C46" s="691">
        <v>6500.0000000000009</v>
      </c>
      <c r="D46" s="3076" t="s">
        <v>1814</v>
      </c>
      <c r="E46" s="1913">
        <f>IFERROR(H46*1000/$C46,"NA")</f>
        <v>66.433846153846147</v>
      </c>
      <c r="F46" s="1913">
        <f t="shared" ref="F46:G51" si="17">IFERROR(I46*1000000/$C46,"NA")</f>
        <v>1.8376401637578106</v>
      </c>
      <c r="G46" s="1913">
        <f t="shared" si="17"/>
        <v>2.2780206851971556</v>
      </c>
      <c r="H46" s="691">
        <v>431.82000000000005</v>
      </c>
      <c r="I46" s="691">
        <v>1.1944661064425771E-2</v>
      </c>
      <c r="J46" s="691">
        <v>1.4807134453781515E-2</v>
      </c>
      <c r="K46" s="3093" t="s">
        <v>2146</v>
      </c>
    </row>
    <row r="47" spans="2:11" ht="18" customHeight="1" x14ac:dyDescent="0.2">
      <c r="B47" s="282" t="s">
        <v>133</v>
      </c>
      <c r="C47" s="691">
        <v>14809.011627906977</v>
      </c>
      <c r="D47" s="3076" t="s">
        <v>1814</v>
      </c>
      <c r="E47" s="1913">
        <f t="shared" ref="E47:E51" si="18">IFERROR(H47*1000/$C47,"NA")</f>
        <v>91.077215429903021</v>
      </c>
      <c r="F47" s="1913">
        <f t="shared" si="17"/>
        <v>0.95238095238095222</v>
      </c>
      <c r="G47" s="1913">
        <f t="shared" si="17"/>
        <v>0.67523809523809519</v>
      </c>
      <c r="H47" s="691">
        <v>1348.7635423388226</v>
      </c>
      <c r="I47" s="691">
        <v>1.4103820598006644E-2</v>
      </c>
      <c r="J47" s="691">
        <v>9.9996088039867106E-3</v>
      </c>
      <c r="K47" s="3093" t="s">
        <v>2146</v>
      </c>
    </row>
    <row r="48" spans="2:11" ht="18" customHeight="1" x14ac:dyDescent="0.2">
      <c r="B48" s="282" t="s">
        <v>134</v>
      </c>
      <c r="C48" s="691">
        <v>23800</v>
      </c>
      <c r="D48" s="3076" t="s">
        <v>1814</v>
      </c>
      <c r="E48" s="1913">
        <f t="shared" si="18"/>
        <v>51.448843052125227</v>
      </c>
      <c r="F48" s="1913">
        <f t="shared" si="17"/>
        <v>0.91409090909090907</v>
      </c>
      <c r="G48" s="1913">
        <f t="shared" si="17"/>
        <v>0.86459090909090885</v>
      </c>
      <c r="H48" s="691">
        <v>1224.4824646405802</v>
      </c>
      <c r="I48" s="691">
        <v>2.1755363636363635E-2</v>
      </c>
      <c r="J48" s="691">
        <v>2.057726363636363E-2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70009.311694681965</v>
      </c>
      <c r="D51" s="3076" t="s">
        <v>1814</v>
      </c>
      <c r="E51" s="1913">
        <f t="shared" si="18"/>
        <v>94.961433701679923</v>
      </c>
      <c r="F51" s="1913">
        <f t="shared" si="17"/>
        <v>9.1666666666666696</v>
      </c>
      <c r="G51" s="1913">
        <f t="shared" si="17"/>
        <v>5.833333333333333</v>
      </c>
      <c r="H51" s="691">
        <v>6648.1846109947865</v>
      </c>
      <c r="I51" s="691">
        <v>0.64175202386791819</v>
      </c>
      <c r="J51" s="691">
        <v>0.40838765155231144</v>
      </c>
      <c r="K51" s="3093" t="s">
        <v>2146</v>
      </c>
    </row>
    <row r="52" spans="2:11" ht="18" customHeight="1" x14ac:dyDescent="0.2">
      <c r="B52" s="1241" t="s">
        <v>156</v>
      </c>
      <c r="C52" s="3094">
        <f>IF(SUM(C53:C58)=0,"NO",SUM(C53:C58))</f>
        <v>79299.999999999985</v>
      </c>
      <c r="D52" s="3076" t="s">
        <v>1814</v>
      </c>
      <c r="E52" s="628"/>
      <c r="F52" s="628"/>
      <c r="G52" s="628"/>
      <c r="H52" s="1913">
        <f>IF(SUM(H53:H57)=0,"NO",SUM(H53:H57))</f>
        <v>4972.9678353025156</v>
      </c>
      <c r="I52" s="1913">
        <f t="shared" ref="I52:K52" si="19">IF(SUM(I53:I58)=0,"NO",SUM(I53:I58))</f>
        <v>0.13761178533589485</v>
      </c>
      <c r="J52" s="1913">
        <f t="shared" si="19"/>
        <v>3.8504889596952495E-2</v>
      </c>
      <c r="K52" s="3065" t="str">
        <f t="shared" si="19"/>
        <v>NO</v>
      </c>
    </row>
    <row r="53" spans="2:11" ht="18" customHeight="1" x14ac:dyDescent="0.2">
      <c r="B53" s="282" t="s">
        <v>132</v>
      </c>
      <c r="C53" s="2147">
        <v>5000</v>
      </c>
      <c r="D53" s="3076" t="s">
        <v>1814</v>
      </c>
      <c r="E53" s="1913">
        <f>IFERROR(H53*1000/$C53,"NA")</f>
        <v>67.591999999999999</v>
      </c>
      <c r="F53" s="1913">
        <f t="shared" ref="F53:G58" si="20">IFERROR(I53*1000000/$C53,"NA")</f>
        <v>11.255059231681134</v>
      </c>
      <c r="G53" s="1913">
        <f t="shared" si="20"/>
        <v>1.7152238934164719</v>
      </c>
      <c r="H53" s="691">
        <v>337.96</v>
      </c>
      <c r="I53" s="691">
        <v>5.6275296158405666E-2</v>
      </c>
      <c r="J53" s="691">
        <v>8.576119467082359E-3</v>
      </c>
      <c r="K53" s="3093" t="s">
        <v>2146</v>
      </c>
    </row>
    <row r="54" spans="2:11" ht="18" customHeight="1" x14ac:dyDescent="0.2">
      <c r="B54" s="282" t="s">
        <v>133</v>
      </c>
      <c r="C54" s="691">
        <v>22300.000000000004</v>
      </c>
      <c r="D54" s="3076" t="s">
        <v>1814</v>
      </c>
      <c r="E54" s="1913">
        <f t="shared" ref="E54:E58" si="21">IFERROR(H54*1000/$C54,"NA")</f>
        <v>90.269058295964129</v>
      </c>
      <c r="F54" s="1913">
        <f t="shared" si="20"/>
        <v>0.95238095238095233</v>
      </c>
      <c r="G54" s="1913">
        <f t="shared" si="20"/>
        <v>0.82456544949818511</v>
      </c>
      <c r="H54" s="691">
        <v>2013.0000000000005</v>
      </c>
      <c r="I54" s="691">
        <v>2.123809523809524E-2</v>
      </c>
      <c r="J54" s="691">
        <v>1.8387809523809528E-2</v>
      </c>
      <c r="K54" s="3093" t="s">
        <v>2146</v>
      </c>
    </row>
    <row r="55" spans="2:11" ht="18" customHeight="1" x14ac:dyDescent="0.2">
      <c r="B55" s="282" t="s">
        <v>134</v>
      </c>
      <c r="C55" s="691">
        <v>50999.999999999985</v>
      </c>
      <c r="D55" s="3076" t="s">
        <v>1814</v>
      </c>
      <c r="E55" s="1913">
        <f t="shared" si="21"/>
        <v>51.411918339265007</v>
      </c>
      <c r="F55" s="1913">
        <f t="shared" si="20"/>
        <v>0.99866131907308409</v>
      </c>
      <c r="G55" s="1913">
        <f t="shared" si="20"/>
        <v>0.11191426024955439</v>
      </c>
      <c r="H55" s="691">
        <v>2622.0078353025146</v>
      </c>
      <c r="I55" s="691">
        <v>5.0931727272727274E-2</v>
      </c>
      <c r="J55" s="691">
        <v>5.7076272727272729E-3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1000</v>
      </c>
      <c r="D58" s="3076" t="s">
        <v>1814</v>
      </c>
      <c r="E58" s="3095">
        <f t="shared" si="21"/>
        <v>94.000000000000014</v>
      </c>
      <c r="F58" s="3095">
        <f t="shared" si="20"/>
        <v>9.1666666666666696</v>
      </c>
      <c r="G58" s="3095">
        <f t="shared" si="20"/>
        <v>5.8333333333333348</v>
      </c>
      <c r="H58" s="2190">
        <v>94.000000000000014</v>
      </c>
      <c r="I58" s="691">
        <v>9.1666666666666702E-3</v>
      </c>
      <c r="J58" s="691">
        <v>5.8333333333333345E-3</v>
      </c>
      <c r="K58" s="3093" t="s">
        <v>2146</v>
      </c>
    </row>
    <row r="59" spans="2:11" ht="18" customHeight="1" x14ac:dyDescent="0.2">
      <c r="B59" s="1241" t="s">
        <v>157</v>
      </c>
      <c r="C59" s="3094">
        <f>IF(SUM(C61,C68,C75,C82,C89,C96,C103,C112)=0,"NO",SUM(C61,C68,C75,C82,C89,C96,C103,C112))</f>
        <v>95088.266187784146</v>
      </c>
      <c r="D59" s="3076" t="s">
        <v>1814</v>
      </c>
      <c r="E59" s="1914"/>
      <c r="F59" s="1914"/>
      <c r="G59" s="1914"/>
      <c r="H59" s="1913">
        <f>IF(SUM(H61,H68,H75,H82,H89,H96,H103,H112)=0,"NO",SUM(H61,H68,H75,H82,H89,H96,H103,H112))</f>
        <v>6343.5811472828145</v>
      </c>
      <c r="I59" s="1913">
        <f>IF(SUM(I61,I68,I75,I82,I89,I96,I103,I112)=0,"NO",SUM(I61,I68,I75,I82,I89,I96,I103,I112))</f>
        <v>0.32348261739078293</v>
      </c>
      <c r="J59" s="1913">
        <f>IF(SUM(J61,J68,J75,J82,J89,J96,J103,J112)=0,"NO",SUM(J61,J68,J75,J82,J89,J96,J103,J112))</f>
        <v>0.25113942142909451</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8899.9999999999982</v>
      </c>
      <c r="D61" s="3076" t="s">
        <v>1814</v>
      </c>
      <c r="E61" s="628"/>
      <c r="F61" s="628"/>
      <c r="G61" s="628"/>
      <c r="H61" s="1913">
        <f>IF(SUM(H62:H66)=0,"NO",SUM(H62:H66))</f>
        <v>465.56653854804648</v>
      </c>
      <c r="I61" s="1913">
        <f t="shared" ref="I61:K61" si="22">IF(SUM(I62:I67)=0,"NO",SUM(I62:I67))</f>
        <v>4.1237761904761902E-2</v>
      </c>
      <c r="J61" s="1913">
        <f t="shared" si="22"/>
        <v>8.2900619047619022E-3</v>
      </c>
      <c r="K61" s="3065" t="str">
        <f t="shared" si="22"/>
        <v>NO</v>
      </c>
    </row>
    <row r="62" spans="2:11" ht="18" customHeight="1" x14ac:dyDescent="0.2">
      <c r="B62" s="158" t="s">
        <v>132</v>
      </c>
      <c r="C62" s="691">
        <v>799.99999999999989</v>
      </c>
      <c r="D62" s="3076" t="s">
        <v>1814</v>
      </c>
      <c r="E62" s="1913">
        <f>IFERROR(H62*1000/$C62,"NA")</f>
        <v>61.412500000000009</v>
      </c>
      <c r="F62" s="1913">
        <f t="shared" ref="F62:G67" si="23">IFERROR(I62*1000000/$C62,"NA")</f>
        <v>42.13095238095238</v>
      </c>
      <c r="G62" s="1913">
        <f t="shared" si="23"/>
        <v>2.1309523809523809</v>
      </c>
      <c r="H62" s="691">
        <v>49.13</v>
      </c>
      <c r="I62" s="691">
        <v>3.3704761904761904E-2</v>
      </c>
      <c r="J62" s="691">
        <v>1.7047619047619047E-3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8099.9999999999982</v>
      </c>
      <c r="D64" s="3076" t="s">
        <v>1814</v>
      </c>
      <c r="E64" s="1913">
        <f t="shared" si="24"/>
        <v>51.411918339265007</v>
      </c>
      <c r="F64" s="1913">
        <f t="shared" si="23"/>
        <v>0.92999999999999994</v>
      </c>
      <c r="G64" s="1913">
        <f t="shared" si="23"/>
        <v>0.81299999999999994</v>
      </c>
      <c r="H64" s="691">
        <v>416.43653854804649</v>
      </c>
      <c r="I64" s="691">
        <v>7.532999999999998E-3</v>
      </c>
      <c r="J64" s="691">
        <v>6.5852999999999979E-3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34386.657608695656</v>
      </c>
      <c r="D75" s="3077" t="s">
        <v>1814</v>
      </c>
      <c r="E75" s="628"/>
      <c r="F75" s="628"/>
      <c r="G75" s="628"/>
      <c r="H75" s="1913">
        <f>IF(SUM(H76:H80)=0,"NO",SUM(H76:H80))</f>
        <v>2459.0007575643926</v>
      </c>
      <c r="I75" s="1913">
        <f t="shared" ref="I75:K75" si="28">IF(SUM(I76:I81)=0,"NO",SUM(I76:I81))</f>
        <v>9.9048229242737942E-2</v>
      </c>
      <c r="J75" s="1913">
        <f t="shared" si="28"/>
        <v>9.2579495314637023E-2</v>
      </c>
      <c r="K75" s="3065" t="str">
        <f t="shared" si="28"/>
        <v>NO</v>
      </c>
    </row>
    <row r="76" spans="2:11" ht="18" customHeight="1" x14ac:dyDescent="0.2">
      <c r="B76" s="158" t="s">
        <v>132</v>
      </c>
      <c r="C76" s="691">
        <v>25256.657608695652</v>
      </c>
      <c r="D76" s="3077" t="s">
        <v>1814</v>
      </c>
      <c r="E76" s="1913">
        <f>IFERROR(H76*1000/$C76,"NA")</f>
        <v>70.091052294648961</v>
      </c>
      <c r="F76" s="1913">
        <f t="shared" ref="F76:G81" si="29">IFERROR(I76*1000000/$C76,"NA")</f>
        <v>3.4607326334959918</v>
      </c>
      <c r="G76" s="1913">
        <f t="shared" si="29"/>
        <v>3.3767722624706806</v>
      </c>
      <c r="H76" s="691">
        <v>1770.2657092391305</v>
      </c>
      <c r="I76" s="691">
        <v>8.740653919944788E-2</v>
      </c>
      <c r="J76" s="691">
        <v>8.5285980855762555E-2</v>
      </c>
      <c r="K76" s="3093" t="s">
        <v>2146</v>
      </c>
    </row>
    <row r="77" spans="2:11" ht="18" customHeight="1" x14ac:dyDescent="0.2">
      <c r="B77" s="158" t="s">
        <v>133</v>
      </c>
      <c r="C77" s="691">
        <v>8029.9999999999991</v>
      </c>
      <c r="D77" s="3077" t="s">
        <v>1814</v>
      </c>
      <c r="E77" s="1913">
        <f t="shared" ref="E77:E81" si="30">IFERROR(H77*1000/$C77,"NA")</f>
        <v>78.72751409116691</v>
      </c>
      <c r="F77" s="1913">
        <f t="shared" si="29"/>
        <v>1.1791643889526831</v>
      </c>
      <c r="G77" s="1913">
        <f t="shared" si="29"/>
        <v>0.78707527507776576</v>
      </c>
      <c r="H77" s="691">
        <v>632.18193815207019</v>
      </c>
      <c r="I77" s="691">
        <v>9.4686900432900435E-3</v>
      </c>
      <c r="J77" s="691">
        <v>6.3202144588744586E-3</v>
      </c>
      <c r="K77" s="3093" t="s">
        <v>2146</v>
      </c>
    </row>
    <row r="78" spans="2:11" ht="18" customHeight="1" x14ac:dyDescent="0.2">
      <c r="B78" s="158" t="s">
        <v>134</v>
      </c>
      <c r="C78" s="691">
        <v>1100.0000000000086</v>
      </c>
      <c r="D78" s="3077" t="s">
        <v>1814</v>
      </c>
      <c r="E78" s="1913">
        <f t="shared" si="30"/>
        <v>51.411918339265</v>
      </c>
      <c r="F78" s="1913">
        <f t="shared" si="29"/>
        <v>1.9754545454545451</v>
      </c>
      <c r="G78" s="1913">
        <f t="shared" si="29"/>
        <v>0.88481818181818161</v>
      </c>
      <c r="H78" s="691">
        <v>56.553110173191939</v>
      </c>
      <c r="I78" s="691">
        <v>2.1730000000000169E-3</v>
      </c>
      <c r="J78" s="691">
        <v>9.7330000000000745E-4</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37001.608579088483</v>
      </c>
      <c r="D89" s="3077" t="s">
        <v>1814</v>
      </c>
      <c r="E89" s="628"/>
      <c r="F89" s="628"/>
      <c r="G89" s="628"/>
      <c r="H89" s="1913">
        <f>IF(SUM(H90:H94)=0,"NO",SUM(H90:H94))</f>
        <v>2582.4132147670493</v>
      </c>
      <c r="I89" s="1913">
        <f t="shared" ref="I89:K89" si="36">IF(SUM(I90:I95)=0,"NO",SUM(I90:I95))</f>
        <v>0.13661498555064239</v>
      </c>
      <c r="J89" s="1913">
        <f t="shared" si="36"/>
        <v>0.13592559451272587</v>
      </c>
      <c r="K89" s="3065" t="str">
        <f t="shared" si="36"/>
        <v>NO</v>
      </c>
    </row>
    <row r="90" spans="2:11" ht="18" customHeight="1" x14ac:dyDescent="0.2">
      <c r="B90" s="158" t="s">
        <v>132</v>
      </c>
      <c r="C90" s="691">
        <v>36801.608579088483</v>
      </c>
      <c r="D90" s="3077" t="s">
        <v>1814</v>
      </c>
      <c r="E90" s="1913">
        <f>IFERROR(H90*1000/$C90,"NA")</f>
        <v>69.891804472936542</v>
      </c>
      <c r="F90" s="1913">
        <f t="shared" ref="F90:G95" si="37">IFERROR(I90*1000000/$C90,"NA")</f>
        <v>3.7072609768027549</v>
      </c>
      <c r="G90" s="1913">
        <f t="shared" si="37"/>
        <v>3.6885283435148657</v>
      </c>
      <c r="H90" s="691">
        <v>2572.1308310991963</v>
      </c>
      <c r="I90" s="691">
        <v>0.13643316736882422</v>
      </c>
      <c r="J90" s="691">
        <v>0.1357437763309077</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200.00000000000006</v>
      </c>
      <c r="D92" s="3077" t="s">
        <v>1814</v>
      </c>
      <c r="E92" s="1913">
        <f t="shared" si="38"/>
        <v>51.411918339265</v>
      </c>
      <c r="F92" s="1913">
        <f t="shared" si="37"/>
        <v>0.90909090909090906</v>
      </c>
      <c r="G92" s="1913">
        <f t="shared" si="37"/>
        <v>0.90909090909090906</v>
      </c>
      <c r="H92" s="691">
        <v>10.282383667853003</v>
      </c>
      <c r="I92" s="691">
        <v>1.8181818181818186E-4</v>
      </c>
      <c r="J92" s="691">
        <v>1.8181818181818186E-4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8400</v>
      </c>
      <c r="D96" s="3076" t="s">
        <v>1814</v>
      </c>
      <c r="E96" s="628"/>
      <c r="F96" s="628"/>
      <c r="G96" s="628"/>
      <c r="H96" s="1913">
        <f>IF(SUM(H97:H101)=0,"NO",SUM(H97:H101))</f>
        <v>495.70508553736954</v>
      </c>
      <c r="I96" s="1913">
        <f t="shared" ref="I96:K96" si="42">IF(SUM(I97:I102)=0,"NO",SUM(I97:I102))</f>
        <v>8.0646926406926413E-3</v>
      </c>
      <c r="J96" s="1913">
        <f t="shared" si="42"/>
        <v>7.8957056277056282E-3</v>
      </c>
      <c r="K96" s="3065" t="str">
        <f t="shared" si="42"/>
        <v>NO</v>
      </c>
    </row>
    <row r="97" spans="2:11" ht="18" customHeight="1" x14ac:dyDescent="0.2">
      <c r="B97" s="158" t="s">
        <v>132</v>
      </c>
      <c r="C97" s="691">
        <v>800</v>
      </c>
      <c r="D97" s="3076" t="s">
        <v>1814</v>
      </c>
      <c r="E97" s="1913">
        <f>IFERROR(H97*1000/$C97,"NA")</f>
        <v>64.762500000000003</v>
      </c>
      <c r="F97" s="1913">
        <f t="shared" ref="F97:G102" si="43">IFERROR(I97*1000000/$C97,"NA")</f>
        <v>1.316883116883117</v>
      </c>
      <c r="G97" s="1913">
        <f t="shared" si="43"/>
        <v>2.1369350649350647</v>
      </c>
      <c r="H97" s="691">
        <v>51.81</v>
      </c>
      <c r="I97" s="691">
        <v>1.0535064935064935E-3</v>
      </c>
      <c r="J97" s="691">
        <v>1.7095480519480517E-3</v>
      </c>
      <c r="K97" s="3093" t="s">
        <v>2146</v>
      </c>
    </row>
    <row r="98" spans="2:11" ht="18" customHeight="1" x14ac:dyDescent="0.2">
      <c r="B98" s="158" t="s">
        <v>133</v>
      </c>
      <c r="C98" s="691">
        <v>1299.9999999999998</v>
      </c>
      <c r="D98" s="3076" t="s">
        <v>1814</v>
      </c>
      <c r="E98" s="1913">
        <f t="shared" ref="E98:E102" si="44">IFERROR(H98*1000/$C98,"NA")</f>
        <v>92.307692307692321</v>
      </c>
      <c r="F98" s="1913">
        <f t="shared" si="43"/>
        <v>0.95238095238095233</v>
      </c>
      <c r="G98" s="1913">
        <f t="shared" si="43"/>
        <v>0.66666666666666674</v>
      </c>
      <c r="H98" s="691">
        <v>120</v>
      </c>
      <c r="I98" s="691">
        <v>1.2380952380952378E-3</v>
      </c>
      <c r="J98" s="691">
        <v>8.6666666666666663E-4</v>
      </c>
      <c r="K98" s="3093" t="s">
        <v>2146</v>
      </c>
    </row>
    <row r="99" spans="2:11" ht="18" customHeight="1" x14ac:dyDescent="0.2">
      <c r="B99" s="158" t="s">
        <v>134</v>
      </c>
      <c r="C99" s="691">
        <v>6300.0000000000009</v>
      </c>
      <c r="D99" s="3076" t="s">
        <v>1814</v>
      </c>
      <c r="E99" s="1913">
        <f t="shared" si="44"/>
        <v>51.411918339265</v>
      </c>
      <c r="F99" s="1913">
        <f t="shared" si="43"/>
        <v>0.91636363636363638</v>
      </c>
      <c r="G99" s="1913">
        <f t="shared" si="43"/>
        <v>0.84436363636363632</v>
      </c>
      <c r="H99" s="691">
        <v>323.89508553736954</v>
      </c>
      <c r="I99" s="691">
        <v>5.77309090909091E-3</v>
      </c>
      <c r="J99" s="691">
        <v>5.3194909090909098E-3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6399.9999999999991</v>
      </c>
      <c r="D112" s="3076" t="s">
        <v>1814</v>
      </c>
      <c r="E112" s="628"/>
      <c r="F112" s="628"/>
      <c r="G112" s="628"/>
      <c r="H112" s="1913">
        <f>H113</f>
        <v>340.89555086595749</v>
      </c>
      <c r="I112" s="1913">
        <f>I113</f>
        <v>3.8516948051948052E-2</v>
      </c>
      <c r="J112" s="1913">
        <f>J113</f>
        <v>6.4485640692640671E-3</v>
      </c>
      <c r="K112" s="3065" t="str">
        <f>K113</f>
        <v>NO</v>
      </c>
    </row>
    <row r="113" spans="2:11" ht="18" customHeight="1" x14ac:dyDescent="0.2">
      <c r="B113" s="3090" t="s">
        <v>2259</v>
      </c>
      <c r="C113" s="3099">
        <f>IF(SUM(C114:C119)=0,"NO",SUM(C114:C119))</f>
        <v>6399.9999999999991</v>
      </c>
      <c r="D113" s="3099" t="s">
        <v>1814</v>
      </c>
      <c r="E113" s="628"/>
      <c r="F113" s="628"/>
      <c r="G113" s="628"/>
      <c r="H113" s="3099">
        <f>IF(SUM(H114:H118)=0,"NO",SUM(H114:H118))</f>
        <v>340.89555086595749</v>
      </c>
      <c r="I113" s="3099">
        <f t="shared" ref="I113" si="51">IF(SUM(I114:I119)=0,"NO",SUM(I114:I119))</f>
        <v>3.8516948051948052E-2</v>
      </c>
      <c r="J113" s="3099">
        <f t="shared" ref="J113" si="52">IF(SUM(J114:J119)=0,"NO",SUM(J114:J119))</f>
        <v>6.4485640692640671E-3</v>
      </c>
      <c r="K113" s="3100" t="str">
        <f t="shared" ref="K113" si="53">IF(SUM(K114:K119)=0,"NO",SUM(K114:K119))</f>
        <v>NO</v>
      </c>
    </row>
    <row r="114" spans="2:11" ht="18" customHeight="1" x14ac:dyDescent="0.2">
      <c r="B114" s="158" t="s">
        <v>132</v>
      </c>
      <c r="C114" s="691">
        <v>799.99999999999989</v>
      </c>
      <c r="D114" s="3076" t="s">
        <v>1814</v>
      </c>
      <c r="E114" s="1913">
        <f>IFERROR(H114*1000/$C114,"NA")</f>
        <v>61.412500000000016</v>
      </c>
      <c r="F114" s="1913">
        <f t="shared" ref="F114:G119" si="54">IFERROR(I114*1000000/$C114,"NA")</f>
        <v>41.768614718614735</v>
      </c>
      <c r="G114" s="1913">
        <f t="shared" si="54"/>
        <v>1.7645454545454544</v>
      </c>
      <c r="H114" s="691">
        <v>49.13000000000001</v>
      </c>
      <c r="I114" s="691">
        <v>3.3414891774891778E-2</v>
      </c>
      <c r="J114" s="691">
        <v>1.4116363636363634E-3</v>
      </c>
      <c r="K114" s="3093" t="s">
        <v>2146</v>
      </c>
    </row>
    <row r="115" spans="2:11" ht="18" customHeight="1" x14ac:dyDescent="0.2">
      <c r="B115" s="158" t="s">
        <v>133</v>
      </c>
      <c r="C115" s="691">
        <v>100</v>
      </c>
      <c r="D115" s="3076" t="s">
        <v>1814</v>
      </c>
      <c r="E115" s="1913">
        <f t="shared" ref="E115:E119" si="55">IFERROR(H115*1000/$C115,"NA")</f>
        <v>90</v>
      </c>
      <c r="F115" s="1913">
        <f t="shared" si="54"/>
        <v>0.95238095238095222</v>
      </c>
      <c r="G115" s="1913">
        <f t="shared" si="54"/>
        <v>0.70609523809523822</v>
      </c>
      <c r="H115" s="691">
        <v>9</v>
      </c>
      <c r="I115" s="691">
        <v>9.5238095238095227E-5</v>
      </c>
      <c r="J115" s="691">
        <v>7.0609523809523819E-5</v>
      </c>
      <c r="K115" s="3093" t="s">
        <v>2146</v>
      </c>
    </row>
    <row r="116" spans="2:11" ht="18" customHeight="1" x14ac:dyDescent="0.2">
      <c r="B116" s="158" t="s">
        <v>134</v>
      </c>
      <c r="C116" s="691">
        <v>5499.9999999999991</v>
      </c>
      <c r="D116" s="3076" t="s">
        <v>1814</v>
      </c>
      <c r="E116" s="1913">
        <f t="shared" si="55"/>
        <v>51.411918339265014</v>
      </c>
      <c r="F116" s="1913">
        <f t="shared" si="54"/>
        <v>0.91033057851239652</v>
      </c>
      <c r="G116" s="1913">
        <f t="shared" si="54"/>
        <v>0.90296694214876017</v>
      </c>
      <c r="H116" s="691">
        <v>282.76555086595749</v>
      </c>
      <c r="I116" s="691">
        <v>5.00681818181818E-3</v>
      </c>
      <c r="J116" s="691">
        <v>4.9663181818181803E-3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5667.1230049704345</v>
      </c>
      <c r="D10" s="4413">
        <f t="shared" ref="D10:F10" si="0">SUM(D11:D16)</f>
        <v>27383.771225338642</v>
      </c>
      <c r="E10" s="4413">
        <f t="shared" si="0"/>
        <v>2515.3281362476755</v>
      </c>
      <c r="F10" s="4413">
        <f t="shared" si="0"/>
        <v>2363.7764379064315</v>
      </c>
      <c r="G10" s="4414" t="s">
        <v>2146</v>
      </c>
      <c r="H10" s="4415" t="s">
        <v>2312</v>
      </c>
      <c r="I10" s="4416" t="s">
        <v>2313</v>
      </c>
    </row>
    <row r="11" spans="2:9" ht="18" customHeight="1" x14ac:dyDescent="0.2">
      <c r="B11" s="1558" t="s">
        <v>1476</v>
      </c>
      <c r="C11" s="4417">
        <f>Table1!D10</f>
        <v>1299.2288818725997</v>
      </c>
      <c r="D11" s="4418">
        <f>Table1!G10</f>
        <v>5287.7693337574374</v>
      </c>
      <c r="E11" s="4418">
        <f>Table1!H10</f>
        <v>790.86730814244902</v>
      </c>
      <c r="F11" s="4418">
        <f>Table1!F10</f>
        <v>1531.7060092690283</v>
      </c>
      <c r="G11" s="4419" t="s">
        <v>2146</v>
      </c>
      <c r="H11" s="4420" t="s">
        <v>2154</v>
      </c>
      <c r="I11" s="4421" t="s">
        <v>2154</v>
      </c>
    </row>
    <row r="12" spans="2:9" ht="18" customHeight="1" x14ac:dyDescent="0.2">
      <c r="B12" s="2393" t="s">
        <v>1551</v>
      </c>
      <c r="C12" s="4422">
        <f>'Table2(I)'!D10</f>
        <v>3.0036935116052974</v>
      </c>
      <c r="D12" s="4388">
        <f>'Table2(I)'!L10</f>
        <v>9.9138160894991891</v>
      </c>
      <c r="E12" s="4388">
        <f>'Table2(I)'!M10</f>
        <v>209.24375373797261</v>
      </c>
      <c r="F12" s="4388">
        <f>'Table2(I)'!K10</f>
        <v>37.115349448777224</v>
      </c>
      <c r="G12" s="4423" t="s">
        <v>2146</v>
      </c>
      <c r="H12" s="4424" t="s">
        <v>2146</v>
      </c>
      <c r="I12" s="4425" t="s">
        <v>2146</v>
      </c>
    </row>
    <row r="13" spans="2:9" ht="18" customHeight="1" x14ac:dyDescent="0.2">
      <c r="B13" s="2393" t="s">
        <v>1552</v>
      </c>
      <c r="C13" s="4422">
        <f>Table3!D10</f>
        <v>2838.9773839645618</v>
      </c>
      <c r="D13" s="4388">
        <f>Table3!G10</f>
        <v>449.08986997018991</v>
      </c>
      <c r="E13" s="4388">
        <f>Table3!H10</f>
        <v>26.196909081594409</v>
      </c>
      <c r="F13" s="4388">
        <f>Table3!F10</f>
        <v>26.592482533729303</v>
      </c>
      <c r="G13" s="4426"/>
      <c r="H13" s="4424" t="s">
        <v>2154</v>
      </c>
      <c r="I13" s="4425" t="s">
        <v>2153</v>
      </c>
    </row>
    <row r="14" spans="2:9" ht="18" customHeight="1" x14ac:dyDescent="0.2">
      <c r="B14" s="2393" t="s">
        <v>1553</v>
      </c>
      <c r="C14" s="4422">
        <f>Table4!D10</f>
        <v>699.1475012280481</v>
      </c>
      <c r="D14" s="4388">
        <f>Table4!G10</f>
        <v>21636.998205521515</v>
      </c>
      <c r="E14" s="4423">
        <f>Table4!H10</f>
        <v>1009.1150333517749</v>
      </c>
      <c r="F14" s="4423">
        <f>Table4!F10</f>
        <v>768.36259665489672</v>
      </c>
      <c r="G14" s="4426"/>
      <c r="H14" s="4427" t="s">
        <v>2154</v>
      </c>
      <c r="I14" s="4425" t="s">
        <v>2154</v>
      </c>
    </row>
    <row r="15" spans="2:9" ht="18" customHeight="1" x14ac:dyDescent="0.2">
      <c r="B15" s="2393" t="s">
        <v>1554</v>
      </c>
      <c r="C15" s="4422">
        <f>Table5!D10</f>
        <v>826.76554439361973</v>
      </c>
      <c r="D15" s="4388" t="str">
        <f>Table5!G10</f>
        <v>NO</v>
      </c>
      <c r="E15" s="4423">
        <f>Table5!H10</f>
        <v>479.90513193388443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1991</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440737.79944183357</v>
      </c>
      <c r="D10" s="4193">
        <f>SUM(D11,D22,D30,D41,D50,D56)</f>
        <v>439341.82550684205</v>
      </c>
      <c r="E10" s="3840">
        <f>IF(D10="NO",IF(C10="NO","NA",-C10),IF(C10="NO",D10,D10-C10))</f>
        <v>-1395.973934991518</v>
      </c>
      <c r="F10" s="3838">
        <f>IF(E10="NA","NA",E10/C10*100)</f>
        <v>-0.31673569563568871</v>
      </c>
      <c r="G10" s="3841">
        <f>IF(E10="NA","NA",E10/Table8s2!$G$35*100)</f>
        <v>-0.3186796476459598</v>
      </c>
      <c r="H10" s="3842">
        <f>IF(E10="NA","NA",E10/Table8s2!$G$34*100)</f>
        <v>-0.22461474160072759</v>
      </c>
      <c r="I10" s="4194">
        <f>SUM(I11,I22,I30,I41,I50,I56)</f>
        <v>160733.04738915749</v>
      </c>
      <c r="J10" s="4193">
        <f>SUM(J11,J22,J30,J41,J50,J56)</f>
        <v>158679.44413917218</v>
      </c>
      <c r="K10" s="3840">
        <f t="shared" ref="K10:K12" si="0">IF(J10="NO",IF(I10="NO","NA",-I10),IF(I10="NO",J10,J10-I10))</f>
        <v>-2053.6032499853172</v>
      </c>
      <c r="L10" s="3838">
        <f t="shared" ref="L10:L12" si="1">IF(K10="NA","NA",K10/I10*100)</f>
        <v>-1.2776484259725709</v>
      </c>
      <c r="M10" s="3841">
        <f>IF(K10="NA","NA",K10/Table8s2!$G$35*100)</f>
        <v>-0.46880643234495289</v>
      </c>
      <c r="N10" s="3842">
        <f>IF(K10="NA","NA",K10/Table8s2!$G$34*100)</f>
        <v>-0.33042849281327669</v>
      </c>
      <c r="O10" s="4194">
        <f>SUM(O11,O22,O30,O41,O50,O56)</f>
        <v>18006.470092945554</v>
      </c>
      <c r="P10" s="4193">
        <f>SUM(P11,P22,P30,P41,P50,P56)</f>
        <v>17888.523874473522</v>
      </c>
      <c r="Q10" s="3840">
        <f t="shared" ref="Q10:Q12" si="2">IF(P10="NO",IF(O10="NO","NA",-O10),IF(O10="NO",P10,P10-O10))</f>
        <v>-117.94621847203234</v>
      </c>
      <c r="R10" s="3838">
        <f t="shared" ref="R10:R12" si="3">IF(Q10="NA","NA",Q10/O10*100)</f>
        <v>-0.65502132213154018</v>
      </c>
      <c r="S10" s="3841">
        <f>IF(Q10="NA","NA",Q10/Table8s2!$G$35*100)</f>
        <v>-2.6925330338685043E-2</v>
      </c>
      <c r="T10" s="3842">
        <f>IF(Q10="NA","NA",Q10/Table8s2!$G$34*100)</f>
        <v>-1.8977760773906911E-2</v>
      </c>
    </row>
    <row r="11" spans="2:20" ht="18" customHeight="1" x14ac:dyDescent="0.2">
      <c r="B11" s="1405" t="s">
        <v>1476</v>
      </c>
      <c r="C11" s="3839">
        <f>SUM(C12,C18,C21)</f>
        <v>260930.35964980797</v>
      </c>
      <c r="D11" s="3839">
        <f>Summary2!C11</f>
        <v>260937.17654980801</v>
      </c>
      <c r="E11" s="3843">
        <f t="shared" ref="E11:E38" si="4">IF(D11="NO",IF(C11="NO","NA",-C11),IF(C11="NO",D11,D11-C11))</f>
        <v>6.8169000000343658</v>
      </c>
      <c r="F11" s="3839">
        <f t="shared" ref="F11:F38" si="5">IF(E11="NA","NA",E11/C11*100)</f>
        <v>2.6125361606764578E-3</v>
      </c>
      <c r="G11" s="3844">
        <f>IF(E11="NA","NA",E11/Table8s2!$G$35*100)</f>
        <v>1.5561947365886129E-3</v>
      </c>
      <c r="H11" s="3845">
        <f>IF(E11="NA","NA",E11/Table8s2!$G$34*100)</f>
        <v>1.0968515913121419E-3</v>
      </c>
      <c r="I11" s="3846">
        <f>SUM(I12,I18,I21)</f>
        <v>36378.0284004286</v>
      </c>
      <c r="J11" s="3839">
        <f>Summary2!D11</f>
        <v>36378.408692432793</v>
      </c>
      <c r="K11" s="3843">
        <f t="shared" si="0"/>
        <v>0.38029200419259723</v>
      </c>
      <c r="L11" s="3839">
        <f t="shared" si="1"/>
        <v>1.0453892663081121E-3</v>
      </c>
      <c r="M11" s="3844">
        <f>IF(K11="NA","NA",K11/Table8s2!$G$35*100)</f>
        <v>8.6814888774702746E-5</v>
      </c>
      <c r="N11" s="3845">
        <f>IF(K11="NA","NA",K11/Table8s2!$G$34*100)</f>
        <v>6.1189674186188918E-5</v>
      </c>
      <c r="O11" s="3846">
        <f>SUM(O12,O18,O21)</f>
        <v>1775.0752573989437</v>
      </c>
      <c r="P11" s="3839">
        <f>Summary2!E11</f>
        <v>1775.1187277907347</v>
      </c>
      <c r="Q11" s="3843">
        <f t="shared" si="2"/>
        <v>4.3470391791061047E-2</v>
      </c>
      <c r="R11" s="3839">
        <f t="shared" si="3"/>
        <v>2.4489323261008751E-3</v>
      </c>
      <c r="S11" s="3844">
        <f>IF(Q11="NA","NA",Q11/Table8s2!$G$35*100)</f>
        <v>9.9236302281613379E-6</v>
      </c>
      <c r="T11" s="3845">
        <f>IF(Q11="NA","NA",Q11/Table8s2!$G$34*100)</f>
        <v>6.9944649929949408E-6</v>
      </c>
    </row>
    <row r="12" spans="2:20" ht="18" customHeight="1" x14ac:dyDescent="0.2">
      <c r="B12" s="620" t="s">
        <v>131</v>
      </c>
      <c r="C12" s="3839">
        <f>SUM(C13:C17)</f>
        <v>253929.15883652301</v>
      </c>
      <c r="D12" s="3839">
        <f>Summary2!C12</f>
        <v>253935.97573652305</v>
      </c>
      <c r="E12" s="3839">
        <f t="shared" si="4"/>
        <v>6.8169000000343658</v>
      </c>
      <c r="F12" s="3847">
        <f t="shared" si="5"/>
        <v>2.6845676295186786E-3</v>
      </c>
      <c r="G12" s="3844">
        <f>IF(E12="NA","NA",E12/Table8s2!$G$35*100)</f>
        <v>1.5561947365886129E-3</v>
      </c>
      <c r="H12" s="3845">
        <f>IF(E12="NA","NA",E12/Table8s2!$G$34*100)</f>
        <v>1.0968515913121419E-3</v>
      </c>
      <c r="I12" s="3846">
        <f>SUM(I13:I17)</f>
        <v>3752.4884246429856</v>
      </c>
      <c r="J12" s="3839">
        <f>Summary2!D12</f>
        <v>3752.5537520923822</v>
      </c>
      <c r="K12" s="3839">
        <f t="shared" si="0"/>
        <v>6.5327449396590964E-2</v>
      </c>
      <c r="L12" s="3847">
        <f t="shared" si="1"/>
        <v>1.7409100842944308E-3</v>
      </c>
      <c r="M12" s="3844">
        <f>IF(K12="NA","NA",K12/Table8s2!$G$35*100)</f>
        <v>1.4913264519828853E-5</v>
      </c>
      <c r="N12" s="3845">
        <f>IF(K12="NA","NA",K12/Table8s2!$G$34*100)</f>
        <v>1.0511305259964644E-5</v>
      </c>
      <c r="O12" s="3848">
        <f>SUM(O13:O17)</f>
        <v>1741.9674050063516</v>
      </c>
      <c r="P12" s="3847">
        <f>Summary2!E12</f>
        <v>1742.0108753981426</v>
      </c>
      <c r="Q12" s="3839">
        <f t="shared" si="2"/>
        <v>4.3470391791061047E-2</v>
      </c>
      <c r="R12" s="3847">
        <f t="shared" si="3"/>
        <v>2.4954767618572374E-3</v>
      </c>
      <c r="S12" s="3844">
        <f>IF(Q12="NA","NA",Q12/Table8s2!$G$35*100)</f>
        <v>9.9236302281613379E-6</v>
      </c>
      <c r="T12" s="3845">
        <f>IF(Q12="NA","NA",Q12/Table8s2!$G$34*100)</f>
        <v>6.9944649929949408E-6</v>
      </c>
    </row>
    <row r="13" spans="2:20" ht="18" customHeight="1" x14ac:dyDescent="0.2">
      <c r="B13" s="1392" t="s">
        <v>1478</v>
      </c>
      <c r="C13" s="3847">
        <v>145798.89301365922</v>
      </c>
      <c r="D13" s="3839">
        <f>Summary2!C13</f>
        <v>145798.89301365922</v>
      </c>
      <c r="E13" s="3839">
        <f t="shared" si="4"/>
        <v>0</v>
      </c>
      <c r="F13" s="3847">
        <f t="shared" si="5"/>
        <v>0</v>
      </c>
      <c r="G13" s="3844">
        <f>IF(E13="NA","NA",E13/Table8s2!$G$35*100)</f>
        <v>0</v>
      </c>
      <c r="H13" s="3845">
        <f>IF(E13="NA","NA",E13/Table8s2!$G$34*100)</f>
        <v>0</v>
      </c>
      <c r="I13" s="3846">
        <v>165.9523512550131</v>
      </c>
      <c r="J13" s="3839">
        <f>Summary2!D13</f>
        <v>165.95235125501313</v>
      </c>
      <c r="K13" s="3839">
        <f t="shared" ref="K13" si="6">IF(J13="NO",IF(I13="NO","NA",-I13),IF(I13="NO",J13,J13-I13))</f>
        <v>2.8421709430404007E-14</v>
      </c>
      <c r="L13" s="3847">
        <f t="shared" ref="L13" si="7">IF(K13="NA","NA",K13/I13*100)</f>
        <v>1.7126427685697189E-14</v>
      </c>
      <c r="M13" s="3844">
        <f>IF(K13="NA","NA",K13/Table8s2!$G$35*100)</f>
        <v>6.4882446009509727E-18</v>
      </c>
      <c r="N13" s="3845">
        <f>IF(K13="NA","NA",K13/Table8s2!$G$34*100)</f>
        <v>4.5731046687486668E-18</v>
      </c>
      <c r="O13" s="3848">
        <v>431.70308392819419</v>
      </c>
      <c r="P13" s="3847">
        <f>Summary2!E13</f>
        <v>431.70308392819419</v>
      </c>
      <c r="Q13" s="3839">
        <f t="shared" ref="Q13" si="8">IF(P13="NO",IF(O13="NO","NA",-O13),IF(O13="NO",P13,P13-O13))</f>
        <v>0</v>
      </c>
      <c r="R13" s="3847">
        <f t="shared" ref="R13" si="9">IF(Q13="NA","NA",Q13/O13*100)</f>
        <v>0</v>
      </c>
      <c r="S13" s="3844">
        <f>IF(Q13="NA","NA",Q13/Table8s2!$G$35*100)</f>
        <v>0</v>
      </c>
      <c r="T13" s="3845">
        <f>IF(Q13="NA","NA",Q13/Table8s2!$G$34*100)</f>
        <v>0</v>
      </c>
    </row>
    <row r="14" spans="2:20" ht="18" customHeight="1" x14ac:dyDescent="0.2">
      <c r="B14" s="1392" t="s">
        <v>1517</v>
      </c>
      <c r="C14" s="3847">
        <v>35411.642792381514</v>
      </c>
      <c r="D14" s="3839">
        <f>Summary2!C14</f>
        <v>35411.642792381535</v>
      </c>
      <c r="E14" s="3839">
        <f t="shared" si="4"/>
        <v>2.1827872842550278E-11</v>
      </c>
      <c r="F14" s="3847">
        <f t="shared" si="5"/>
        <v>6.1640384690784072E-14</v>
      </c>
      <c r="G14" s="3844">
        <f>IF(E14="NA","NA",E14/Table8s2!$G$35*100)</f>
        <v>4.9829718535303476E-15</v>
      </c>
      <c r="H14" s="3845">
        <f>IF(E14="NA","NA",E14/Table8s2!$G$34*100)</f>
        <v>3.5121443855989757E-15</v>
      </c>
      <c r="I14" s="3846">
        <v>55.913820496643467</v>
      </c>
      <c r="J14" s="3839">
        <f>Summary2!D14</f>
        <v>55.913820496643488</v>
      </c>
      <c r="K14" s="3839">
        <f t="shared" ref="K14:K20" si="10">IF(J14="NO",IF(I14="NO","NA",-I14),IF(I14="NO",J14,J14-I14))</f>
        <v>2.1316282072803006E-14</v>
      </c>
      <c r="L14" s="3847">
        <f t="shared" ref="L14:L20" si="11">IF(K14="NA","NA",K14/I14*100)</f>
        <v>3.8123458356923816E-14</v>
      </c>
      <c r="M14" s="3844">
        <f>IF(K14="NA","NA",K14/Table8s2!$G$35*100)</f>
        <v>4.8661834507132301E-18</v>
      </c>
      <c r="N14" s="3845">
        <f>IF(K14="NA","NA",K14/Table8s2!$G$34*100)</f>
        <v>3.4298285015614997E-18</v>
      </c>
      <c r="O14" s="3848">
        <v>293.34012576141276</v>
      </c>
      <c r="P14" s="3847">
        <f>Summary2!E14</f>
        <v>293.34012576141271</v>
      </c>
      <c r="Q14" s="3839">
        <f t="shared" ref="Q14:Q20" si="12">IF(P14="NO",IF(O14="NO","NA",-O14),IF(O14="NO",P14,P14-O14))</f>
        <v>-5.6843418860808015E-14</v>
      </c>
      <c r="R14" s="3847">
        <f t="shared" ref="R14:R20" si="13">IF(Q14="NA","NA",Q14/O14*100)</f>
        <v>-1.9377989531183818E-14</v>
      </c>
      <c r="S14" s="3844">
        <f>IF(Q14="NA","NA",Q14/Table8s2!$G$35*100)</f>
        <v>-1.2976489201901945E-17</v>
      </c>
      <c r="T14" s="3845">
        <f>IF(Q14="NA","NA",Q14/Table8s2!$G$34*100)</f>
        <v>-9.1462093374973335E-18</v>
      </c>
    </row>
    <row r="15" spans="2:20" ht="18" customHeight="1" x14ac:dyDescent="0.2">
      <c r="B15" s="1392" t="s">
        <v>1480</v>
      </c>
      <c r="C15" s="3847">
        <v>59161.858503249918</v>
      </c>
      <c r="D15" s="3839">
        <f>Summary2!C15</f>
        <v>59194.715442148321</v>
      </c>
      <c r="E15" s="3839">
        <f t="shared" si="4"/>
        <v>32.856938898403314</v>
      </c>
      <c r="F15" s="3847">
        <f t="shared" si="5"/>
        <v>5.5537367705577392E-2</v>
      </c>
      <c r="G15" s="3844">
        <f>IF(E15="NA","NA",E15/Table8s2!$G$35*100)</f>
        <v>7.5007401273087674E-3</v>
      </c>
      <c r="H15" s="3845">
        <f>IF(E15="NA","NA",E15/Table8s2!$G$34*100)</f>
        <v>5.2867411457081376E-3</v>
      </c>
      <c r="I15" s="3846">
        <v>736.23610856638334</v>
      </c>
      <c r="J15" s="3839">
        <f>Summary2!D15</f>
        <v>736.38832620628853</v>
      </c>
      <c r="K15" s="3839">
        <f t="shared" si="10"/>
        <v>0.15221763990518866</v>
      </c>
      <c r="L15" s="3847">
        <f t="shared" si="11"/>
        <v>2.0675111982973848E-2</v>
      </c>
      <c r="M15" s="3844">
        <f>IF(K15="NA","NA",K15/Table8s2!$G$35*100)</f>
        <v>3.4748975345861205E-5</v>
      </c>
      <c r="N15" s="3845">
        <f>IF(K15="NA","NA",K15/Table8s2!$G$34*100)</f>
        <v>2.4492094728533952E-5</v>
      </c>
      <c r="O15" s="3848">
        <v>870.19292552679678</v>
      </c>
      <c r="P15" s="3847">
        <f>Summary2!E15</f>
        <v>870.43170888841985</v>
      </c>
      <c r="Q15" s="3839">
        <f t="shared" si="12"/>
        <v>0.23878336162306368</v>
      </c>
      <c r="R15" s="3847">
        <f t="shared" si="13"/>
        <v>2.7440278427741664E-2</v>
      </c>
      <c r="S15" s="3844">
        <f>IF(Q15="NA","NA",Q15/Table8s2!$G$35*100)</f>
        <v>5.4510614874924642E-5</v>
      </c>
      <c r="T15" s="3845">
        <f>IF(Q15="NA","NA",Q15/Table8s2!$G$34*100)</f>
        <v>3.8420676579354202E-5</v>
      </c>
    </row>
    <row r="16" spans="2:20" ht="18" customHeight="1" x14ac:dyDescent="0.2">
      <c r="B16" s="1392" t="s">
        <v>1481</v>
      </c>
      <c r="C16" s="3847">
        <v>13114.238397381039</v>
      </c>
      <c r="D16" s="3839">
        <f>Summary2!C16</f>
        <v>13119.620695746997</v>
      </c>
      <c r="E16" s="3839">
        <f t="shared" si="4"/>
        <v>5.3822983659574675</v>
      </c>
      <c r="F16" s="3847">
        <f t="shared" si="5"/>
        <v>4.1041638887945882E-2</v>
      </c>
      <c r="G16" s="3844">
        <f>IF(E16="NA","NA",E16/Table8s2!$G$35*100)</f>
        <v>1.2286969719095598E-3</v>
      </c>
      <c r="H16" s="3845">
        <f>IF(E16="NA","NA",E16/Table8s2!$G$34*100)</f>
        <v>8.6602158277038351E-4</v>
      </c>
      <c r="I16" s="3846">
        <v>2793.7373382469614</v>
      </c>
      <c r="J16" s="3839">
        <f>Summary2!D16</f>
        <v>2793.7390964509214</v>
      </c>
      <c r="K16" s="3839">
        <f t="shared" si="10"/>
        <v>1.7582039599801647E-3</v>
      </c>
      <c r="L16" s="3847">
        <f t="shared" si="11"/>
        <v>6.2933760304160086E-5</v>
      </c>
      <c r="M16" s="3844">
        <f>IF(K16="NA","NA",K16/Table8s2!$G$35*100)</f>
        <v>4.0137126088934787E-7</v>
      </c>
      <c r="N16" s="3845">
        <f>IF(K16="NA","NA",K16/Table8s2!$G$34*100)</f>
        <v>2.8289821052763439E-7</v>
      </c>
      <c r="O16" s="3848">
        <v>143.57865505902319</v>
      </c>
      <c r="P16" s="3847">
        <f>Summary2!E16</f>
        <v>143.57869203712238</v>
      </c>
      <c r="Q16" s="3839">
        <f t="shared" si="12"/>
        <v>3.697809918890016E-5</v>
      </c>
      <c r="R16" s="3847">
        <f t="shared" si="13"/>
        <v>2.5754593657183221E-5</v>
      </c>
      <c r="S16" s="3844">
        <f>IF(Q16="NA","NA",Q16/Table8s2!$G$35*100)</f>
        <v>8.4415384304490284E-9</v>
      </c>
      <c r="T16" s="3845">
        <f>IF(Q16="NA","NA",Q16/Table8s2!$G$34*100)</f>
        <v>5.94984332157416E-9</v>
      </c>
    </row>
    <row r="17" spans="2:20" ht="18" customHeight="1" x14ac:dyDescent="0.2">
      <c r="B17" s="1392" t="s">
        <v>1482</v>
      </c>
      <c r="C17" s="3847">
        <v>442.52612985133203</v>
      </c>
      <c r="D17" s="3839">
        <f>Summary2!C17</f>
        <v>411.10379258697037</v>
      </c>
      <c r="E17" s="3839">
        <f t="shared" si="4"/>
        <v>-31.422337264361659</v>
      </c>
      <c r="F17" s="3847">
        <f t="shared" si="5"/>
        <v>-7.1006738686635487</v>
      </c>
      <c r="G17" s="3844">
        <f>IF(E17="NA","NA",E17/Table8s2!$G$35*100)</f>
        <v>-7.1732423626377582E-3</v>
      </c>
      <c r="H17" s="3845">
        <f>IF(E17="NA","NA",E17/Table8s2!$G$34*100)</f>
        <v>-5.0559111371720504E-3</v>
      </c>
      <c r="I17" s="3846">
        <v>0.64880607798444834</v>
      </c>
      <c r="J17" s="3839">
        <f>Summary2!D17</f>
        <v>0.56015768351493034</v>
      </c>
      <c r="K17" s="3839">
        <f t="shared" si="10"/>
        <v>-8.8648394469517999E-2</v>
      </c>
      <c r="L17" s="3847">
        <f t="shared" si="11"/>
        <v>-13.663311346420967</v>
      </c>
      <c r="M17" s="3844">
        <f>IF(K17="NA","NA",K17/Table8s2!$G$35*100)</f>
        <v>-2.0237082087136316E-5</v>
      </c>
      <c r="N17" s="3845">
        <f>IF(K17="NA","NA",K17/Table8s2!$G$34*100)</f>
        <v>-1.4263687679248207E-5</v>
      </c>
      <c r="O17" s="3848">
        <v>3.1526147309243453</v>
      </c>
      <c r="P17" s="3847">
        <f>Summary2!E17</f>
        <v>2.9572647829933922</v>
      </c>
      <c r="Q17" s="3839">
        <f t="shared" si="12"/>
        <v>-0.19534994793095306</v>
      </c>
      <c r="R17" s="3847">
        <f t="shared" si="13"/>
        <v>-6.196442147362438</v>
      </c>
      <c r="S17" s="3844">
        <f>IF(Q17="NA","NA",Q17/Table8s2!$G$35*100)</f>
        <v>-4.459542618513932E-5</v>
      </c>
      <c r="T17" s="3845">
        <f>IF(Q17="NA","NA",Q17/Table8s2!$G$34*100)</f>
        <v>-3.143216142964246E-5</v>
      </c>
    </row>
    <row r="18" spans="2:20" ht="18" customHeight="1" x14ac:dyDescent="0.2">
      <c r="B18" s="620" t="s">
        <v>99</v>
      </c>
      <c r="C18" s="3847">
        <f>SUM(C19:C20)</f>
        <v>7001.2008132849487</v>
      </c>
      <c r="D18" s="3839">
        <f>Summary2!C18</f>
        <v>7001.2008132849478</v>
      </c>
      <c r="E18" s="3839">
        <f t="shared" si="4"/>
        <v>-9.0949470177292824E-13</v>
      </c>
      <c r="F18" s="3847">
        <f t="shared" si="5"/>
        <v>-1.299055299266863E-14</v>
      </c>
      <c r="G18" s="3844">
        <f>IF(E18="NA","NA",E18/Table8s2!$G$35*100)</f>
        <v>-2.0762382723043113E-16</v>
      </c>
      <c r="H18" s="3845">
        <f>IF(E18="NA","NA",E18/Table8s2!$G$34*100)</f>
        <v>-1.4633934939995734E-16</v>
      </c>
      <c r="I18" s="3846">
        <f>SUM(I19:I20)</f>
        <v>32625.539975785614</v>
      </c>
      <c r="J18" s="3839">
        <f>Summary2!D18</f>
        <v>32625.85494034041</v>
      </c>
      <c r="K18" s="3839">
        <f t="shared" si="10"/>
        <v>0.31496455479646102</v>
      </c>
      <c r="L18" s="3847">
        <f t="shared" si="11"/>
        <v>9.6539261888148027E-4</v>
      </c>
      <c r="M18" s="3844">
        <f>IF(K18="NA","NA",K18/Table8s2!$G$35*100)</f>
        <v>7.1901624254977695E-5</v>
      </c>
      <c r="N18" s="3845">
        <f>IF(K18="NA","NA",K18/Table8s2!$G$34*100)</f>
        <v>5.0678368926297428E-5</v>
      </c>
      <c r="O18" s="3848">
        <f>SUM(O19:O20)</f>
        <v>33.107852392592186</v>
      </c>
      <c r="P18" s="3847">
        <f>Summary2!E18</f>
        <v>33.107852392592186</v>
      </c>
      <c r="Q18" s="3839">
        <f t="shared" si="12"/>
        <v>0</v>
      </c>
      <c r="R18" s="3847">
        <f t="shared" si="13"/>
        <v>0</v>
      </c>
      <c r="S18" s="3844">
        <f>IF(Q18="NA","NA",Q18/Table8s2!$G$35*100)</f>
        <v>0</v>
      </c>
      <c r="T18" s="3845">
        <f>IF(Q18="NA","NA",Q18/Table8s2!$G$34*100)</f>
        <v>0</v>
      </c>
    </row>
    <row r="19" spans="2:20" ht="18" customHeight="1" x14ac:dyDescent="0.2">
      <c r="B19" s="1392" t="s">
        <v>1483</v>
      </c>
      <c r="C19" s="3847">
        <v>1171.7683050721828</v>
      </c>
      <c r="D19" s="3839">
        <f>Summary2!C19</f>
        <v>1171.7683050721826</v>
      </c>
      <c r="E19" s="3839">
        <f t="shared" si="4"/>
        <v>-2.2737367544323206E-13</v>
      </c>
      <c r="F19" s="3847">
        <f t="shared" si="5"/>
        <v>-1.9404320330137749E-14</v>
      </c>
      <c r="G19" s="3844">
        <f>IF(E19="NA","NA",E19/Table8s2!$G$35*100)</f>
        <v>-5.1905956807607782E-17</v>
      </c>
      <c r="H19" s="3845">
        <f>IF(E19="NA","NA",E19/Table8s2!$G$34*100)</f>
        <v>-3.6584837349989334E-17</v>
      </c>
      <c r="I19" s="3846">
        <v>24798.806301597178</v>
      </c>
      <c r="J19" s="3839">
        <f>Summary2!D19</f>
        <v>24798.806301597178</v>
      </c>
      <c r="K19" s="3839">
        <f t="shared" si="10"/>
        <v>0</v>
      </c>
      <c r="L19" s="3847">
        <f t="shared" si="11"/>
        <v>0</v>
      </c>
      <c r="M19" s="3844">
        <f>IF(K19="NA","NA",K19/Table8s2!$G$35*100)</f>
        <v>0</v>
      </c>
      <c r="N19" s="3845">
        <f>IF(K19="NA","NA",K19/Table8s2!$G$34*100)</f>
        <v>0</v>
      </c>
      <c r="O19" s="3848">
        <v>1.9333831802832187E-4</v>
      </c>
      <c r="P19" s="3847">
        <f>Summary2!E19</f>
        <v>1.9333831802832187E-4</v>
      </c>
      <c r="Q19" s="3839">
        <f t="shared" si="12"/>
        <v>0</v>
      </c>
      <c r="R19" s="3847">
        <f t="shared" si="13"/>
        <v>0</v>
      </c>
      <c r="S19" s="3844">
        <f>IF(Q19="NA","NA",Q19/Table8s2!$G$35*100)</f>
        <v>0</v>
      </c>
      <c r="T19" s="3845">
        <f>IF(Q19="NA","NA",Q19/Table8s2!$G$34*100)</f>
        <v>0</v>
      </c>
    </row>
    <row r="20" spans="2:20" ht="18" customHeight="1" x14ac:dyDescent="0.2">
      <c r="B20" s="1393" t="s">
        <v>1484</v>
      </c>
      <c r="C20" s="3849">
        <v>5829.4325082127662</v>
      </c>
      <c r="D20" s="3850">
        <f>Summary2!C20</f>
        <v>5829.4325082127652</v>
      </c>
      <c r="E20" s="3850">
        <f t="shared" si="4"/>
        <v>-9.0949470177292824E-13</v>
      </c>
      <c r="F20" s="3849">
        <f t="shared" si="5"/>
        <v>-1.5601770849762669E-14</v>
      </c>
      <c r="G20" s="3851">
        <f>IF(E20="NA","NA",E20/Table8s2!$G$35*100)</f>
        <v>-2.0762382723043113E-16</v>
      </c>
      <c r="H20" s="3852">
        <f>IF(E20="NA","NA",E20/Table8s2!$G$34*100)</f>
        <v>-1.4633934939995734E-16</v>
      </c>
      <c r="I20" s="3853">
        <v>7826.7336741884337</v>
      </c>
      <c r="J20" s="3850">
        <f>Summary2!D20</f>
        <v>7827.048638743232</v>
      </c>
      <c r="K20" s="3839">
        <f t="shared" si="10"/>
        <v>0.31496455479828001</v>
      </c>
      <c r="L20" s="3847">
        <f t="shared" si="11"/>
        <v>4.0242145435073736E-3</v>
      </c>
      <c r="M20" s="3844">
        <f>IF(K20="NA","NA",K20/Table8s2!$G$35*100)</f>
        <v>7.1901624255392944E-5</v>
      </c>
      <c r="N20" s="3845">
        <f>IF(K20="NA","NA",K20/Table8s2!$G$34*100)</f>
        <v>5.0678368926590109E-5</v>
      </c>
      <c r="O20" s="3854">
        <v>33.107659054274158</v>
      </c>
      <c r="P20" s="3849">
        <f>Summary2!E20</f>
        <v>33.107659054274158</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17889.265485958662</v>
      </c>
      <c r="D22" s="3839">
        <f>Summary2!C22</f>
        <v>17887.970274958665</v>
      </c>
      <c r="E22" s="3861">
        <f t="shared" si="4"/>
        <v>-1.2952109999969252</v>
      </c>
      <c r="F22" s="3861">
        <f t="shared" si="5"/>
        <v>-7.2401575180017332E-3</v>
      </c>
      <c r="G22" s="3862">
        <f>IF(E22="NA","NA",E22/Table8s2!$G$35*100)</f>
        <v>-2.9567699994964395E-4</v>
      </c>
      <c r="H22" s="3863">
        <f>IF(E22="NA","NA",E22/Table8s2!$G$34*100)</f>
        <v>-2.0840180234776162E-4</v>
      </c>
      <c r="I22" s="3839">
        <f>SUM(I23:I29)</f>
        <v>84.103418324948336</v>
      </c>
      <c r="J22" s="3839">
        <f>Summary2!D22</f>
        <v>84.103418324948322</v>
      </c>
      <c r="K22" s="3861">
        <f t="shared" ref="K22" si="14">IF(J22="NO",IF(I22="NO","NA",-I22),IF(I22="NO",J22,J22-I22))</f>
        <v>-1.4210854715202004E-14</v>
      </c>
      <c r="L22" s="3861">
        <f t="shared" ref="L22" si="15">IF(K22="NA","NA",K22/I22*100)</f>
        <v>-1.6896881242443521E-14</v>
      </c>
      <c r="M22" s="3862">
        <f>IF(K22="NA","NA",K22/Table8s2!$G$35*100)</f>
        <v>-3.2441223004754864E-18</v>
      </c>
      <c r="N22" s="3863">
        <f>IF(K22="NA","NA",K22/Table8s2!$G$34*100)</f>
        <v>-2.2865523343743334E-18</v>
      </c>
      <c r="O22" s="3839">
        <f>SUM(O23:O29)</f>
        <v>751.12145223876894</v>
      </c>
      <c r="P22" s="3839">
        <f>Summary2!E22</f>
        <v>751.12145223876905</v>
      </c>
      <c r="Q22" s="3861">
        <f t="shared" ref="Q22" si="16">IF(P22="NO",IF(O22="NO","NA",-O22),IF(O22="NO",P22,P22-O22))</f>
        <v>1.1368683772161603E-13</v>
      </c>
      <c r="R22" s="3864">
        <f t="shared" ref="R22" si="17">IF(Q22="NA","NA",Q22/O22*100)</f>
        <v>1.5135613206461434E-14</v>
      </c>
      <c r="S22" s="3865">
        <f>IF(Q22="NA","NA",Q22/Table8s2!$G$35*100)</f>
        <v>2.5952978403803891E-17</v>
      </c>
      <c r="T22" s="3866">
        <f>IF(Q22="NA","NA",Q22/Table8s2!$G$34*100)</f>
        <v>1.8292418674994667E-17</v>
      </c>
    </row>
    <row r="23" spans="2:20" ht="18" customHeight="1" x14ac:dyDescent="0.2">
      <c r="B23" s="1394" t="s">
        <v>1487</v>
      </c>
      <c r="C23" s="3839">
        <v>5152.3958590686525</v>
      </c>
      <c r="D23" s="3839">
        <f>Summary2!C23</f>
        <v>5152.3958590686525</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1061.076471625664</v>
      </c>
      <c r="D24" s="3839">
        <f>Summary2!C24</f>
        <v>1061.0764716256642</v>
      </c>
      <c r="E24" s="3839">
        <f t="shared" si="4"/>
        <v>2.2737367544323206E-13</v>
      </c>
      <c r="F24" s="3847">
        <f t="shared" si="5"/>
        <v>2.1428585170197512E-14</v>
      </c>
      <c r="G24" s="3844">
        <f>IF(E24="NA","NA",E24/Table8s2!$G$35*100)</f>
        <v>5.1905956807607782E-17</v>
      </c>
      <c r="H24" s="3845">
        <f>IF(E24="NA","NA",E24/Table8s2!$G$34*100)</f>
        <v>3.6584837349989334E-17</v>
      </c>
      <c r="I24" s="3846">
        <v>11.302349463999999</v>
      </c>
      <c r="J24" s="3839">
        <f>Summary2!D24</f>
        <v>11.302349463999999</v>
      </c>
      <c r="K24" s="3839">
        <f t="shared" ref="K24" si="18">IF(J24="NO",IF(I24="NO","NA",-I24),IF(I24="NO",J24,J24-I24))</f>
        <v>0</v>
      </c>
      <c r="L24" s="3847">
        <f t="shared" ref="L24" si="19">IF(K24="NA","NA",K24/I24*100)</f>
        <v>0</v>
      </c>
      <c r="M24" s="3844">
        <f>IF(K24="NA","NA",K24/Table8s2!$G$35*100)</f>
        <v>0</v>
      </c>
      <c r="N24" s="3845">
        <f>IF(K24="NA","NA",K24/Table8s2!$G$34*100)</f>
        <v>0</v>
      </c>
      <c r="O24" s="3848">
        <v>731.95639664999999</v>
      </c>
      <c r="P24" s="3847">
        <f>Summary2!E24</f>
        <v>731.95639664999999</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11331.682904243105</v>
      </c>
      <c r="D25" s="3839">
        <f>Summary2!C25</f>
        <v>11331.682904243107</v>
      </c>
      <c r="E25" s="3839">
        <f t="shared" si="4"/>
        <v>1.8189894035458565E-12</v>
      </c>
      <c r="F25" s="3847">
        <f t="shared" si="5"/>
        <v>1.605224412752269E-14</v>
      </c>
      <c r="G25" s="3844">
        <f>IF(E25="NA","NA",E25/Table8s2!$G$35*100)</f>
        <v>4.1524765446086225E-16</v>
      </c>
      <c r="H25" s="3845">
        <f>IF(E25="NA","NA",E25/Table8s2!$G$34*100)</f>
        <v>2.9267869879991467E-16</v>
      </c>
      <c r="I25" s="3846">
        <v>72.801068860948334</v>
      </c>
      <c r="J25" s="3839">
        <f>Summary2!D25</f>
        <v>72.80106886094832</v>
      </c>
      <c r="K25" s="3839">
        <f t="shared" ref="K25:K26" si="22">IF(J25="NO",IF(I25="NO","NA",-I25),IF(I25="NO",J25,J25-I25))</f>
        <v>-1.4210854715202004E-14</v>
      </c>
      <c r="L25" s="3847">
        <f t="shared" ref="L25:L26" si="23">IF(K25="NA","NA",K25/I25*100)</f>
        <v>-1.9520118231155442E-14</v>
      </c>
      <c r="M25" s="3844">
        <f>IF(K25="NA","NA",K25/Table8s2!$G$35*100)</f>
        <v>-3.2441223004754864E-18</v>
      </c>
      <c r="N25" s="3845">
        <f>IF(K25="NA","NA",K25/Table8s2!$G$34*100)</f>
        <v>-2.2865523343743334E-18</v>
      </c>
      <c r="O25" s="3848">
        <v>19.165055588768972</v>
      </c>
      <c r="P25" s="3847">
        <f>Summary2!E25</f>
        <v>19.165055588768968</v>
      </c>
      <c r="Q25" s="3839">
        <f t="shared" ref="Q25:Q29" si="24">IF(P25="NO",IF(O25="NO","NA",-O25),IF(O25="NO",P25,P25-O25))</f>
        <v>-3.5527136788005009E-15</v>
      </c>
      <c r="R25" s="3847">
        <f t="shared" ref="R25:R29" si="25">IF(Q25="NA","NA",Q25/O25*100)</f>
        <v>-1.853745564339739E-14</v>
      </c>
      <c r="S25" s="3844">
        <f>IF(Q25="NA","NA",Q25/Table8s2!$G$35*100)</f>
        <v>-8.1103057511887159E-19</v>
      </c>
      <c r="T25" s="3845">
        <f>IF(Q25="NA","NA",Q25/Table8s2!$G$34*100)</f>
        <v>-5.7163808359358335E-19</v>
      </c>
    </row>
    <row r="26" spans="2:20" ht="18" customHeight="1" x14ac:dyDescent="0.2">
      <c r="B26" s="1395" t="s">
        <v>1519</v>
      </c>
      <c r="C26" s="3839">
        <v>259.04219999999998</v>
      </c>
      <c r="D26" s="3839">
        <f>Summary2!C26</f>
        <v>257.74698899999999</v>
      </c>
      <c r="E26" s="3839">
        <f t="shared" si="4"/>
        <v>-1.2952109999999948</v>
      </c>
      <c r="F26" s="3847">
        <f t="shared" si="5"/>
        <v>-0.499999999999998</v>
      </c>
      <c r="G26" s="3844">
        <f>IF(E26="NA","NA",E26/Table8s2!$G$35*100)</f>
        <v>-2.9567699995034473E-4</v>
      </c>
      <c r="H26" s="3845">
        <f>IF(E26="NA","NA",E26/Table8s2!$G$34*100)</f>
        <v>-2.0840180234825553E-4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85.06805102123964</v>
      </c>
      <c r="D29" s="3855">
        <f>Summary2!C30</f>
        <v>85.06805102123964</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634.89614176008422</v>
      </c>
      <c r="D30" s="3875">
        <f>Summary2!C31</f>
        <v>634.89614176008422</v>
      </c>
      <c r="E30" s="3861">
        <f t="shared" si="4"/>
        <v>0</v>
      </c>
      <c r="F30" s="3876">
        <f t="shared" si="5"/>
        <v>0</v>
      </c>
      <c r="G30" s="3877">
        <f>IF(E30="NA","NA",E30/Table8s2!$G$35*100)</f>
        <v>0</v>
      </c>
      <c r="H30" s="3878">
        <f>IF(E30="NA","NA",E30/Table8s2!$G$34*100)</f>
        <v>0</v>
      </c>
      <c r="I30" s="3874">
        <f>SUM(I31:I40)</f>
        <v>79491.36675100775</v>
      </c>
      <c r="J30" s="3875">
        <f>Summary2!D31</f>
        <v>79491.366751007736</v>
      </c>
      <c r="K30" s="3861">
        <f t="shared" ref="K30" si="28">IF(J30="NO",IF(I30="NO","NA",-I30),IF(I30="NO",J30,J30-I30))</f>
        <v>-1.4551915228366852E-11</v>
      </c>
      <c r="L30" s="3876">
        <f t="shared" ref="L30" si="29">IF(K30="NA","NA",K30/I30*100)</f>
        <v>-1.8306283843311035E-14</v>
      </c>
      <c r="M30" s="3877">
        <f>IF(K30="NA","NA",K30/Table8s2!$G$35*100)</f>
        <v>-3.321981235686898E-15</v>
      </c>
      <c r="N30" s="3878">
        <f>IF(K30="NA","NA",K30/Table8s2!$G$34*100)</f>
        <v>-2.3414295903993174E-15</v>
      </c>
      <c r="O30" s="3874">
        <f>SUM(O31:O40)</f>
        <v>11135.076845312411</v>
      </c>
      <c r="P30" s="3875">
        <f>Summary2!E31</f>
        <v>11134.668142299459</v>
      </c>
      <c r="Q30" s="3861">
        <f t="shared" ref="Q30" si="30">IF(P30="NO",IF(O30="NO","NA",-O30),IF(O30="NO",P30,P30-O30))</f>
        <v>-0.40870301295217359</v>
      </c>
      <c r="R30" s="3880">
        <f t="shared" ref="R30" si="31">IF(Q30="NA","NA",Q30/O30*100)</f>
        <v>-3.670410349473496E-3</v>
      </c>
      <c r="S30" s="3881">
        <f>IF(Q30="NA","NA",Q30/Table8s2!$G$35*100)</f>
        <v>-9.3300690575022952E-5</v>
      </c>
      <c r="T30" s="3882">
        <f>IF(Q30="NA","NA",Q30/Table8s2!$G$34*100)</f>
        <v>-6.5761057097566132E-5</v>
      </c>
    </row>
    <row r="31" spans="2:20" ht="18" customHeight="1" x14ac:dyDescent="0.2">
      <c r="B31" s="620" t="s">
        <v>1492</v>
      </c>
      <c r="C31" s="3867"/>
      <c r="D31" s="3867"/>
      <c r="E31" s="3868"/>
      <c r="F31" s="3868"/>
      <c r="G31" s="3869"/>
      <c r="H31" s="3870"/>
      <c r="I31" s="3846">
        <v>71942.905081333636</v>
      </c>
      <c r="J31" s="3839">
        <f>Summary2!D32</f>
        <v>71942.905081333622</v>
      </c>
      <c r="K31" s="3883">
        <f t="shared" ref="K31:K33" si="32">IF(J31="NO",IF(I31="NO","NA",-I31),IF(I31="NO",J31,J31-I31))</f>
        <v>-1.4551915228366852E-11</v>
      </c>
      <c r="L31" s="3883">
        <f t="shared" ref="L31:L33" si="33">IF(K31="NA","NA",K31/I31*100)</f>
        <v>-2.0227033106204801E-14</v>
      </c>
      <c r="M31" s="3884">
        <f>IF(K31="NA","NA",K31/Table8s2!$G$35*100)</f>
        <v>-3.321981235686898E-15</v>
      </c>
      <c r="N31" s="3885">
        <f>IF(K31="NA","NA",K31/Table8s2!$G$34*100)</f>
        <v>-2.3414295903993174E-15</v>
      </c>
      <c r="O31" s="3886"/>
      <c r="P31" s="3887"/>
      <c r="Q31" s="3868"/>
      <c r="R31" s="3888"/>
      <c r="S31" s="3889"/>
      <c r="T31" s="3890"/>
    </row>
    <row r="32" spans="2:20" ht="18" customHeight="1" x14ac:dyDescent="0.2">
      <c r="B32" s="620" t="s">
        <v>1493</v>
      </c>
      <c r="C32" s="3891"/>
      <c r="D32" s="3891"/>
      <c r="E32" s="3892"/>
      <c r="F32" s="3892"/>
      <c r="G32" s="3869"/>
      <c r="H32" s="3870"/>
      <c r="I32" s="3846">
        <v>6796.3576715061845</v>
      </c>
      <c r="J32" s="3847">
        <f>Summary2!D33</f>
        <v>6796.3576715061845</v>
      </c>
      <c r="K32" s="3893">
        <f t="shared" si="32"/>
        <v>0</v>
      </c>
      <c r="L32" s="3893">
        <f t="shared" si="33"/>
        <v>0</v>
      </c>
      <c r="M32" s="3884">
        <f>IF(K32="NA","NA",K32/Table8s2!$G$35*100)</f>
        <v>0</v>
      </c>
      <c r="N32" s="3885">
        <f>IF(K32="NA","NA",K32/Table8s2!$G$34*100)</f>
        <v>0</v>
      </c>
      <c r="O32" s="3848">
        <v>206.33389153975807</v>
      </c>
      <c r="P32" s="3847">
        <f>Summary2!E33</f>
        <v>206.3338915397581</v>
      </c>
      <c r="Q32" s="3893">
        <f t="shared" ref="Q32" si="34">IF(P32="NO",IF(O32="NO","NA",-O32),IF(O32="NO",P32,P32-O32))</f>
        <v>2.8421709430404007E-14</v>
      </c>
      <c r="R32" s="3894">
        <f t="shared" ref="R32" si="35">IF(Q32="NA","NA",Q32/O32*100)</f>
        <v>1.3774619970722302E-14</v>
      </c>
      <c r="S32" s="3895">
        <f>IF(Q32="NA","NA",Q32/Table8s2!$G$35*100)</f>
        <v>6.4882446009509727E-18</v>
      </c>
      <c r="T32" s="3896">
        <f>IF(Q32="NA","NA",Q32/Table8s2!$G$34*100)</f>
        <v>4.5731046687486668E-18</v>
      </c>
    </row>
    <row r="33" spans="2:21" ht="18" customHeight="1" x14ac:dyDescent="0.2">
      <c r="B33" s="620" t="s">
        <v>1494</v>
      </c>
      <c r="C33" s="3891"/>
      <c r="D33" s="3891"/>
      <c r="E33" s="3892"/>
      <c r="F33" s="3892"/>
      <c r="G33" s="3897"/>
      <c r="H33" s="3898"/>
      <c r="I33" s="3848">
        <v>429.68050177907804</v>
      </c>
      <c r="J33" s="3847">
        <f>Summary2!D34</f>
        <v>429.68050177907804</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10806.769898275295</v>
      </c>
      <c r="P34" s="3847">
        <f>Summary2!E35</f>
        <v>10806.361195262343</v>
      </c>
      <c r="Q34" s="3893">
        <f t="shared" ref="Q34" si="36">IF(P34="NO",IF(O34="NO","NA",-O34),IF(O34="NO",P34,P34-O34))</f>
        <v>-0.40870301295217359</v>
      </c>
      <c r="R34" s="3894">
        <f t="shared" ref="R34" si="37">IF(Q34="NA","NA",Q34/O34*100)</f>
        <v>-3.7819164912301917E-3</v>
      </c>
      <c r="S34" s="3895">
        <f>IF(Q34="NA","NA",Q34/Table8s2!$G$35*100)</f>
        <v>-9.3300690575022952E-5</v>
      </c>
      <c r="T34" s="3896">
        <f>IF(Q34="NA","NA",Q34/Table8s2!$G$34*100)</f>
        <v>-6.5761057097566132E-5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322.42349638885418</v>
      </c>
      <c r="J36" s="3847">
        <f>Summary2!D37</f>
        <v>322.42349638885423</v>
      </c>
      <c r="K36" s="3893">
        <f t="shared" ref="K36" si="38">IF(J36="NO",IF(I36="NO","NA",-I36),IF(I36="NO",J36,J36-I36))</f>
        <v>5.6843418860808015E-14</v>
      </c>
      <c r="L36" s="3893">
        <f t="shared" ref="L36" si="39">IF(K36="NA","NA",K36/I36*100)</f>
        <v>1.7630048522348641E-14</v>
      </c>
      <c r="M36" s="3884">
        <f>IF(K36="NA","NA",K36/Table8s2!$G$35*100)</f>
        <v>1.2976489201901945E-17</v>
      </c>
      <c r="N36" s="3885">
        <f>IF(K36="NA","NA",K36/Table8s2!$G$34*100)</f>
        <v>9.1462093374973335E-18</v>
      </c>
      <c r="O36" s="3848">
        <v>121.97305549735795</v>
      </c>
      <c r="P36" s="3847">
        <f>Summary2!E37</f>
        <v>121.97305549735795</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260.25846060066385</v>
      </c>
      <c r="D37" s="3847">
        <f>Summary2!C38</f>
        <v>260.25846060066385</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374.63768115942037</v>
      </c>
      <c r="D38" s="3847">
        <f>Summary2!C39</f>
        <v>374.63768115942037</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161209.2893185475</v>
      </c>
      <c r="D41" s="3839">
        <f>Summary2!C42</f>
        <v>159807.7936945559</v>
      </c>
      <c r="E41" s="3929">
        <f t="shared" ref="E41" si="42">IF(D41="NO",IF(C41="NO","NA",-C41),IF(C41="NO",D41,D41-C41))</f>
        <v>-1401.4956239915919</v>
      </c>
      <c r="F41" s="3929">
        <f t="shared" ref="F41" si="43">IF(E41="NA","NA",E41/C41*100)</f>
        <v>-0.86936406079072426</v>
      </c>
      <c r="G41" s="3869"/>
      <c r="H41" s="3929">
        <f>IF(E41="NA","NA",E41/Table8s2!$G$34*100)</f>
        <v>-0.22550319138969782</v>
      </c>
      <c r="I41" s="3846">
        <f>SUM(I42:I49)</f>
        <v>21629.885663845926</v>
      </c>
      <c r="J41" s="3839">
        <f>Summary2!D42</f>
        <v>19576.130034385347</v>
      </c>
      <c r="K41" s="3929">
        <f t="shared" ref="K41:K46" si="44">IF(J41="NO",IF(I41="NO","NA",-I41),IF(I41="NO",J41,J41-I41))</f>
        <v>-2053.7556294605783</v>
      </c>
      <c r="L41" s="3929">
        <f t="shared" ref="L41:L46" si="45">IF(K41="NA","NA",K41/I41*100)</f>
        <v>-9.4949906873220531</v>
      </c>
      <c r="M41" s="3889"/>
      <c r="N41" s="3930">
        <f>IF(K41="NA","NA",K41/Table8s2!$G$34*100)</f>
        <v>-0.33045301094760798</v>
      </c>
      <c r="O41" s="3846">
        <f>SUM(O42:O49)</f>
        <v>4059.3650111225061</v>
      </c>
      <c r="P41" s="3839">
        <f>Summary2!E42</f>
        <v>4063.8101373420227</v>
      </c>
      <c r="Q41" s="3929">
        <f t="shared" ref="Q41" si="46">IF(P41="NO",IF(O41="NO","NA",-O41),IF(O41="NO",P41,P41-O41))</f>
        <v>4.4451262195166237</v>
      </c>
      <c r="R41" s="3929">
        <f t="shared" ref="R41" si="47">IF(Q41="NA","NA",Q41/O41*100)</f>
        <v>0.10950299387557283</v>
      </c>
      <c r="S41" s="3889"/>
      <c r="T41" s="3930">
        <f>IF(Q41="NA","NA",Q41/Table8s2!$G$34*100)</f>
        <v>7.1522888225374504E-4</v>
      </c>
      <c r="U41" s="713"/>
    </row>
    <row r="42" spans="2:21" ht="18" customHeight="1" x14ac:dyDescent="0.2">
      <c r="B42" s="620" t="s">
        <v>981</v>
      </c>
      <c r="C42" s="3847">
        <v>-11850.245936705611</v>
      </c>
      <c r="D42" s="3847">
        <f>Summary2!C43</f>
        <v>-12082.033388131182</v>
      </c>
      <c r="E42" s="3931">
        <f t="shared" ref="E42:E50" si="48">IF(D42="NO",IF(C42="NO","NA",-C42),IF(C42="NO",D42,D42-C42))</f>
        <v>-231.78745142557091</v>
      </c>
      <c r="F42" s="3931">
        <f t="shared" ref="F42:F50" si="49">IF(E42="NA","NA",E42/C42*100)</f>
        <v>1.9559716537833158</v>
      </c>
      <c r="G42" s="3889"/>
      <c r="H42" s="3931">
        <f>IF(E42="NA","NA",E42/Table8s2!$G$34*100)</f>
        <v>-3.7295021922140792E-2</v>
      </c>
      <c r="I42" s="3848">
        <v>6552.4531379675363</v>
      </c>
      <c r="J42" s="3847">
        <f>Summary2!D43</f>
        <v>6542.6685273097992</v>
      </c>
      <c r="K42" s="3931">
        <f t="shared" si="44"/>
        <v>-9.7846106577371756</v>
      </c>
      <c r="L42" s="3931">
        <f t="shared" si="45"/>
        <v>-0.14932744197804673</v>
      </c>
      <c r="M42" s="3889"/>
      <c r="N42" s="3932">
        <f>IF(K42="NA","NA",K42/Table8s2!$G$34*100)</f>
        <v>-1.5743616262897595E-3</v>
      </c>
      <c r="O42" s="3848">
        <v>1292.5581883146908</v>
      </c>
      <c r="P42" s="3847">
        <f>Summary2!E43</f>
        <v>1288.1945678700145</v>
      </c>
      <c r="Q42" s="3931">
        <f t="shared" ref="Q42:Q46" si="50">IF(P42="NO",IF(O42="NO","NA",-O42),IF(O42="NO",P42,P42-O42))</f>
        <v>-4.3636204446763713</v>
      </c>
      <c r="R42" s="3931">
        <f t="shared" ref="R42:R46" si="51">IF(Q42="NA","NA",Q42/O42*100)</f>
        <v>-0.33759566757809972</v>
      </c>
      <c r="S42" s="3889"/>
      <c r="T42" s="3932">
        <f>IF(Q42="NA","NA",Q42/Table8s2!$G$34*100)</f>
        <v>-7.0211445504574587E-4</v>
      </c>
      <c r="U42" s="713"/>
    </row>
    <row r="43" spans="2:21" ht="18" customHeight="1" x14ac:dyDescent="0.2">
      <c r="B43" s="620" t="s">
        <v>984</v>
      </c>
      <c r="C43" s="3847">
        <v>39920.073194334633</v>
      </c>
      <c r="D43" s="3847">
        <f>Summary2!C44</f>
        <v>39717.359150626733</v>
      </c>
      <c r="E43" s="3931">
        <f t="shared" si="48"/>
        <v>-202.71404370789969</v>
      </c>
      <c r="F43" s="3931">
        <f t="shared" si="49"/>
        <v>-0.50779977962732892</v>
      </c>
      <c r="G43" s="3889"/>
      <c r="H43" s="3931">
        <f>IF(E43="NA","NA",E43/Table8s2!$G$34*100)</f>
        <v>-3.2617057815313107E-2</v>
      </c>
      <c r="I43" s="3848">
        <v>597.87686784873745</v>
      </c>
      <c r="J43" s="3847">
        <f>Summary2!D44</f>
        <v>599.08786559999999</v>
      </c>
      <c r="K43" s="3931">
        <f t="shared" si="44"/>
        <v>1.2109977512625392</v>
      </c>
      <c r="L43" s="3931">
        <f t="shared" si="45"/>
        <v>0.20254969148077512</v>
      </c>
      <c r="M43" s="3889"/>
      <c r="N43" s="3932">
        <f>IF(K43="NA","NA",K43/Table8s2!$G$34*100)</f>
        <v>1.9485173767270244E-4</v>
      </c>
      <c r="O43" s="3848">
        <v>135.45580720576163</v>
      </c>
      <c r="P43" s="3847">
        <f>Summary2!E44</f>
        <v>135.4864260441374</v>
      </c>
      <c r="Q43" s="3931">
        <f t="shared" si="50"/>
        <v>3.0618838375772839E-2</v>
      </c>
      <c r="R43" s="3931">
        <f t="shared" si="51"/>
        <v>2.2604300994834323E-2</v>
      </c>
      <c r="S43" s="3889"/>
      <c r="T43" s="3932">
        <f>IF(Q43="NA","NA",Q43/Table8s2!$G$34*100)</f>
        <v>4.9266267066300524E-6</v>
      </c>
      <c r="U43" s="713"/>
    </row>
    <row r="44" spans="2:21" ht="18" customHeight="1" x14ac:dyDescent="0.2">
      <c r="B44" s="620" t="s">
        <v>987</v>
      </c>
      <c r="C44" s="3847">
        <v>130821.62826236725</v>
      </c>
      <c r="D44" s="3847">
        <f>Summary2!C45</f>
        <v>130310.91111872907</v>
      </c>
      <c r="E44" s="3931">
        <f t="shared" si="48"/>
        <v>-510.71714363817591</v>
      </c>
      <c r="F44" s="3931">
        <f t="shared" si="49"/>
        <v>-0.39039197908003043</v>
      </c>
      <c r="G44" s="3889"/>
      <c r="H44" s="3931">
        <f>IF(E44="NA","NA",E44/Table8s2!$G$34*100)</f>
        <v>-8.2175316009784644E-2</v>
      </c>
      <c r="I44" s="3848">
        <v>9686.9287430395216</v>
      </c>
      <c r="J44" s="3847">
        <f>Summary2!D45</f>
        <v>9709.6700206463011</v>
      </c>
      <c r="K44" s="3931">
        <f t="shared" si="44"/>
        <v>22.741277606779477</v>
      </c>
      <c r="L44" s="3931">
        <f t="shared" si="45"/>
        <v>0.234762515654098</v>
      </c>
      <c r="M44" s="3889"/>
      <c r="N44" s="3932">
        <f>IF(K44="NA","NA",K44/Table8s2!$G$34*100)</f>
        <v>3.6591128711498623E-3</v>
      </c>
      <c r="O44" s="3848">
        <v>2528.0992075687168</v>
      </c>
      <c r="P44" s="3847">
        <f>Summary2!E45</f>
        <v>2536.6881205946383</v>
      </c>
      <c r="Q44" s="3931">
        <f t="shared" si="50"/>
        <v>8.5889130259215563</v>
      </c>
      <c r="R44" s="3931">
        <f t="shared" si="51"/>
        <v>0.33973797389784982</v>
      </c>
      <c r="S44" s="3889"/>
      <c r="T44" s="3932">
        <f>IF(Q44="NA","NA",Q44/Table8s2!$G$34*100)</f>
        <v>1.3819717056251595E-3</v>
      </c>
      <c r="U44" s="713"/>
    </row>
    <row r="45" spans="2:21" ht="18" customHeight="1" x14ac:dyDescent="0.2">
      <c r="B45" s="620" t="s">
        <v>1525</v>
      </c>
      <c r="C45" s="3847">
        <v>2077.1309167767804</v>
      </c>
      <c r="D45" s="3847">
        <f>Summary2!C46</f>
        <v>1678.2768901873435</v>
      </c>
      <c r="E45" s="3931">
        <f t="shared" si="48"/>
        <v>-398.8540265894369</v>
      </c>
      <c r="F45" s="3931">
        <f t="shared" si="49"/>
        <v>-19.202161181461047</v>
      </c>
      <c r="G45" s="3889"/>
      <c r="H45" s="3931">
        <f>IF(E45="NA","NA",E45/Table8s2!$G$34*100)</f>
        <v>-6.4176337303418513E-2</v>
      </c>
      <c r="I45" s="3848">
        <v>4635.2641240849516</v>
      </c>
      <c r="J45" s="3847">
        <f>Summary2!D46</f>
        <v>2566.5093104292446</v>
      </c>
      <c r="K45" s="3931">
        <f t="shared" si="44"/>
        <v>-2068.754813655707</v>
      </c>
      <c r="L45" s="3931">
        <f t="shared" si="45"/>
        <v>-44.63078604100258</v>
      </c>
      <c r="M45" s="3889"/>
      <c r="N45" s="3932">
        <f>IF(K45="NA","NA",K45/Table8s2!$G$34*100)</f>
        <v>-0.33286640692711883</v>
      </c>
      <c r="O45" s="3848">
        <v>66.046310790376992</v>
      </c>
      <c r="P45" s="3847">
        <f>Summary2!E46</f>
        <v>66.072520683361105</v>
      </c>
      <c r="Q45" s="3931">
        <f t="shared" si="50"/>
        <v>2.6209892984113026E-2</v>
      </c>
      <c r="R45" s="3931">
        <f t="shared" si="51"/>
        <v>3.96841135719148E-2</v>
      </c>
      <c r="S45" s="3889"/>
      <c r="T45" s="3932">
        <f>IF(Q45="NA","NA",Q45/Table8s2!$G$34*100)</f>
        <v>4.2172193852924919E-6</v>
      </c>
      <c r="U45" s="713"/>
    </row>
    <row r="46" spans="2:21" ht="18" customHeight="1" x14ac:dyDescent="0.2">
      <c r="B46" s="620" t="s">
        <v>1526</v>
      </c>
      <c r="C46" s="3847">
        <v>6812.0117769586905</v>
      </c>
      <c r="D46" s="3847">
        <f>Summary2!C47</f>
        <v>6750.9811935626794</v>
      </c>
      <c r="E46" s="3931">
        <f t="shared" si="48"/>
        <v>-61.030583396011025</v>
      </c>
      <c r="F46" s="3931">
        <f t="shared" si="49"/>
        <v>-0.89592598184348571</v>
      </c>
      <c r="G46" s="3889"/>
      <c r="H46" s="3931">
        <f>IF(E46="NA","NA",E46/Table8s2!$G$34*100)</f>
        <v>-9.8199317162178702E-3</v>
      </c>
      <c r="I46" s="3848">
        <v>157.36279090517982</v>
      </c>
      <c r="J46" s="3847">
        <f>Summary2!D47</f>
        <v>158.19431040000001</v>
      </c>
      <c r="K46" s="3931">
        <f t="shared" si="44"/>
        <v>0.83151949482018495</v>
      </c>
      <c r="L46" s="3931">
        <f t="shared" si="45"/>
        <v>0.52840921925515638</v>
      </c>
      <c r="M46" s="3889"/>
      <c r="N46" s="3932">
        <f>IF(K46="NA","NA",K46/Table8s2!$G$34*100)</f>
        <v>1.3379299697751035E-4</v>
      </c>
      <c r="O46" s="3848">
        <v>32.955464721530973</v>
      </c>
      <c r="P46" s="3847">
        <f>Summary2!E47</f>
        <v>33.118469628443194</v>
      </c>
      <c r="Q46" s="3931">
        <f t="shared" si="50"/>
        <v>0.1630049069122208</v>
      </c>
      <c r="R46" s="3931">
        <f t="shared" si="51"/>
        <v>0.49462178212199176</v>
      </c>
      <c r="S46" s="3889"/>
      <c r="T46" s="3932">
        <f>IF(Q46="NA","NA",Q46/Table8s2!$G$34*100)</f>
        <v>2.6227785582516334E-5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-6571.3088951842274</v>
      </c>
      <c r="D48" s="3847">
        <f>Summary2!C49</f>
        <v>-6567.7012704187327</v>
      </c>
      <c r="E48" s="3931">
        <f t="shared" si="48"/>
        <v>3.6076247654946201</v>
      </c>
      <c r="F48" s="3931">
        <f t="shared" si="49"/>
        <v>-5.4899637546158606E-2</v>
      </c>
      <c r="G48" s="3889"/>
      <c r="H48" s="3931">
        <f>IF(E48="NA","NA",E48/Table8s2!$G$34*100)</f>
        <v>5.8047337717583036E-4</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4.2500325214285715</v>
      </c>
      <c r="P49" s="3855">
        <f>Summary2!E50</f>
        <v>4.2500325214285715</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73.988845759355272</v>
      </c>
      <c r="D50" s="3839">
        <f>Summary2!C51</f>
        <v>73.988845759355272</v>
      </c>
      <c r="E50" s="3839">
        <f t="shared" si="48"/>
        <v>0</v>
      </c>
      <c r="F50" s="3839">
        <f t="shared" si="49"/>
        <v>0</v>
      </c>
      <c r="G50" s="3844">
        <f>IF(E50="NA","NA",E50/Table8s2!$G$35*100)</f>
        <v>0</v>
      </c>
      <c r="H50" s="3845">
        <f>IF(E50="NA","NA",E50/Table8s2!$G$34*100)</f>
        <v>0</v>
      </c>
      <c r="I50" s="3839">
        <f>SUM(I51:I55)</f>
        <v>23149.663155550275</v>
      </c>
      <c r="J50" s="3839">
        <f>Summary2!D51</f>
        <v>23149.435243021351</v>
      </c>
      <c r="K50" s="3839">
        <f t="shared" ref="K50" si="54">IF(J50="NO",IF(I50="NO","NA",-I50),IF(I50="NO",J50,J50-I50))</f>
        <v>-0.22791252892420744</v>
      </c>
      <c r="L50" s="3839">
        <f t="shared" ref="L50" si="55">IF(K50="NA","NA",K50/I50*100)</f>
        <v>-9.8451768992398499E-4</v>
      </c>
      <c r="M50" s="3844">
        <f>IF(K50="NA","NA",K50/Table8s2!$G$35*100)</f>
        <v>-5.2028968873338855E-5</v>
      </c>
      <c r="N50" s="3845">
        <f>IF(K50="NA","NA",K50/Table8s2!$G$34*100)</f>
        <v>-3.6671539853779757E-5</v>
      </c>
      <c r="O50" s="3839">
        <f>SUM(O51:O55)</f>
        <v>285.83152687292386</v>
      </c>
      <c r="P50" s="3839">
        <f>Summary2!E51</f>
        <v>163.80541480253592</v>
      </c>
      <c r="Q50" s="3839">
        <f t="shared" si="52"/>
        <v>-122.02611207038794</v>
      </c>
      <c r="R50" s="3839">
        <f t="shared" si="53"/>
        <v>-42.691620971761736</v>
      </c>
      <c r="S50" s="3844">
        <f>IF(Q50="NA","NA",Q50/Table8s2!$G$35*100)</f>
        <v>-2.785670808275794E-2</v>
      </c>
      <c r="T50" s="3845">
        <f>IF(Q50="NA","NA",Q50/Table8s2!$G$34*100)</f>
        <v>-1.96342230640561E-2</v>
      </c>
    </row>
    <row r="51" spans="2:21" ht="18" customHeight="1" x14ac:dyDescent="0.2">
      <c r="B51" s="620" t="s">
        <v>1530</v>
      </c>
      <c r="C51" s="3918"/>
      <c r="D51" s="3918"/>
      <c r="E51" s="3888"/>
      <c r="F51" s="3903"/>
      <c r="G51" s="3904"/>
      <c r="H51" s="3905"/>
      <c r="I51" s="3839">
        <v>17049.736699048921</v>
      </c>
      <c r="J51" s="3839">
        <f>Summary2!D52</f>
        <v>17049.508786519997</v>
      </c>
      <c r="K51" s="3839">
        <f t="shared" ref="K51:K52" si="56">IF(J51="NO",IF(I51="NO","NA",-I51),IF(I51="NO",J51,J51-I51))</f>
        <v>-0.22791252892420744</v>
      </c>
      <c r="L51" s="3839">
        <f t="shared" ref="L51:L52" si="57">IF(K51="NA","NA",K51/I51*100)</f>
        <v>-1.3367510181956123E-3</v>
      </c>
      <c r="M51" s="3844">
        <f>IF(K51="NA","NA",K51/Table8s2!$G$35*100)</f>
        <v>-5.2028968873338855E-5</v>
      </c>
      <c r="N51" s="3845">
        <f>IF(K51="NA","NA",K51/Table8s2!$G$34*100)</f>
        <v>-3.6671539853779757E-5</v>
      </c>
      <c r="O51" s="3886"/>
      <c r="P51" s="3887"/>
      <c r="Q51" s="3940"/>
      <c r="R51" s="3941"/>
      <c r="S51" s="3942"/>
      <c r="T51" s="3943"/>
    </row>
    <row r="52" spans="2:21" ht="18" customHeight="1" x14ac:dyDescent="0.2">
      <c r="B52" s="1396" t="s">
        <v>1531</v>
      </c>
      <c r="C52" s="3918"/>
      <c r="D52" s="3918"/>
      <c r="E52" s="3888"/>
      <c r="F52" s="3903"/>
      <c r="G52" s="3904"/>
      <c r="H52" s="3905"/>
      <c r="I52" s="3849">
        <v>13.526846539471713</v>
      </c>
      <c r="J52" s="3847">
        <f>Summary2!D53</f>
        <v>13.526846539471713</v>
      </c>
      <c r="K52" s="3839">
        <f t="shared" si="56"/>
        <v>0</v>
      </c>
      <c r="L52" s="3839">
        <f t="shared" si="57"/>
        <v>0</v>
      </c>
      <c r="M52" s="3844">
        <f>IF(K52="NA","NA",K52/Table8s2!$G$35*100)</f>
        <v>0</v>
      </c>
      <c r="N52" s="3845">
        <f>IF(K52="NA","NA",K52/Table8s2!$G$34*100)</f>
        <v>0</v>
      </c>
      <c r="O52" s="3839">
        <v>16.386808379245736</v>
      </c>
      <c r="P52" s="3839">
        <f>Summary2!E53</f>
        <v>16.386808379245736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73.988845759355272</v>
      </c>
      <c r="D53" s="3839">
        <f>Summary2!C54</f>
        <v>73.988845759355272</v>
      </c>
      <c r="E53" s="3839">
        <f t="shared" ref="E53" si="60">IF(D53="NO",IF(C53="NO","NA",-C53),IF(C53="NO",D53,D53-C53))</f>
        <v>0</v>
      </c>
      <c r="F53" s="3839">
        <f t="shared" ref="F53" si="61">IF(E53="NA","NA",E53/C53*100)</f>
        <v>0</v>
      </c>
      <c r="G53" s="3844">
        <f>IF(E53="NA","NA",E53/Table8s2!$G$35*100)</f>
        <v>0</v>
      </c>
      <c r="H53" s="3845">
        <f>IF(E53="NA","NA",E53/Table8s2!$G$34*100)</f>
        <v>0</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
      <c r="B54" s="620" t="s">
        <v>1533</v>
      </c>
      <c r="C54" s="3945"/>
      <c r="D54" s="3946"/>
      <c r="E54" s="3947"/>
      <c r="F54" s="3946"/>
      <c r="G54" s="3948"/>
      <c r="H54" s="3949"/>
      <c r="I54" s="3847">
        <v>6083.8048163618805</v>
      </c>
      <c r="J54" s="3847">
        <f>Summary2!D55</f>
        <v>6083.8048163618814</v>
      </c>
      <c r="K54" s="3839">
        <f t="shared" ref="K54" si="62">IF(J54="NO",IF(I54="NO","NA",-I54),IF(I54="NO",J54,J54-I54))</f>
        <v>9.0949470177292824E-13</v>
      </c>
      <c r="L54" s="3839">
        <f t="shared" ref="L54" si="63">IF(K54="NA","NA",K54/I54*100)</f>
        <v>1.4949439195138524E-14</v>
      </c>
      <c r="M54" s="3844">
        <f>IF(K54="NA","NA",K54/Table8s2!$G$35*100)</f>
        <v>2.0762382723043113E-16</v>
      </c>
      <c r="N54" s="3845">
        <f>IF(K54="NA","NA",K54/Table8s2!$G$34*100)</f>
        <v>1.4633934939995734E-16</v>
      </c>
      <c r="O54" s="3839">
        <v>259.38001849367811</v>
      </c>
      <c r="P54" s="3839">
        <f>Summary2!E55</f>
        <v>137.35390642329017</v>
      </c>
      <c r="Q54" s="3839">
        <f t="shared" ref="Q54" si="64">IF(P54="NO",IF(O54="NO","NA",-O54),IF(O54="NO",P54,P54-O54))</f>
        <v>-122.02611207038794</v>
      </c>
      <c r="R54" s="3839">
        <f t="shared" ref="R54" si="65">IF(Q54="NA","NA",Q54/O54*100)</f>
        <v>-47.045301630804722</v>
      </c>
      <c r="S54" s="3844">
        <f>IF(Q54="NA","NA",Q54/Table8s2!$G$35*100)</f>
        <v>-2.785670808275794E-2</v>
      </c>
      <c r="T54" s="3845">
        <f>IF(Q54="NA","NA",Q54/Table8s2!$G$34*100)</f>
        <v>-1.96342230640561E-2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6436.174</v>
      </c>
      <c r="D59" s="3847">
        <f>Summary2!C60</f>
        <v>6436.1739999999991</v>
      </c>
      <c r="E59" s="3861">
        <f t="shared" ref="E59" si="66">IF(D59="NO",IF(C59="NO","NA",-C59),IF(C59="NO",D59,D59-C59))</f>
        <v>-9.0949470177292824E-13</v>
      </c>
      <c r="F59" s="3861">
        <f t="shared" ref="F59" si="67">IF(E59="NA","NA",E59/C59*100)</f>
        <v>-1.4130983745512912E-14</v>
      </c>
      <c r="G59" s="3862">
        <f>IF(E59="NA","NA",E59/Table8s2!$G$35*100)</f>
        <v>-2.0762382723043113E-16</v>
      </c>
      <c r="H59" s="3863">
        <f>IF(E59="NA","NA",E59/Table8s2!$G$34*100)</f>
        <v>-1.4633934939995734E-16</v>
      </c>
      <c r="I59" s="3847">
        <v>5.2714370800000001</v>
      </c>
      <c r="J59" s="3847">
        <f>Summary2!D60</f>
        <v>5.2714370800000001</v>
      </c>
      <c r="K59" s="3861">
        <f t="shared" ref="K59:K61" si="68">IF(J59="NO",IF(I59="NO","NA",-I59),IF(I59="NO",J59,J59-I59))</f>
        <v>0</v>
      </c>
      <c r="L59" s="3861">
        <f t="shared" ref="L59:L61" si="69">IF(K59="NA","NA",K59/I59*100)</f>
        <v>0</v>
      </c>
      <c r="M59" s="3862">
        <f>IF(K59="NA","NA",K59/Table8s2!$G$35*100)</f>
        <v>0</v>
      </c>
      <c r="N59" s="3863">
        <f>IF(K59="NA","NA",K59/Table8s2!$G$34*100)</f>
        <v>0</v>
      </c>
      <c r="O59" s="3848">
        <v>19.97751190681565</v>
      </c>
      <c r="P59" s="3847">
        <f>Summary2!E60</f>
        <v>19.977511906815792</v>
      </c>
      <c r="Q59" s="3861">
        <f t="shared" ref="Q59" si="70">IF(P59="NO",IF(O59="NO","NA",-O59),IF(O59="NO",P59,P59-O59))</f>
        <v>1.4210854715202004E-13</v>
      </c>
      <c r="R59" s="3966">
        <f t="shared" ref="R59" si="71">IF(Q59="NA","NA",Q59/O59*100)</f>
        <v>7.1134257266310233E-13</v>
      </c>
      <c r="S59" s="3967">
        <f>IF(Q59="NA","NA",Q59/Table8s2!$G$35*100)</f>
        <v>3.2441223004754868E-17</v>
      </c>
      <c r="T59" s="3968">
        <f>IF(Q59="NA","NA",Q59/Table8s2!$G$34*100)</f>
        <v>2.2865523343743334E-17</v>
      </c>
    </row>
    <row r="60" spans="2:21" ht="18" customHeight="1" x14ac:dyDescent="0.2">
      <c r="B60" s="1410" t="s">
        <v>111</v>
      </c>
      <c r="C60" s="3847">
        <v>4558.8</v>
      </c>
      <c r="D60" s="3847">
        <f>Summary2!C61</f>
        <v>4558.7999999999993</v>
      </c>
      <c r="E60" s="3861">
        <f t="shared" ref="E60:E61" si="72">IF(D60="NO",IF(C60="NO","NA",-C60),IF(C60="NO",D60,D60-C60))</f>
        <v>-9.0949470177292824E-13</v>
      </c>
      <c r="F60" s="3861">
        <f t="shared" ref="F60:F61" si="73">IF(E60="NA","NA",E60/C60*100)</f>
        <v>-1.9950309330809165E-14</v>
      </c>
      <c r="G60" s="3862">
        <f>IF(E60="NA","NA",E60/Table8s2!$G$35*100)</f>
        <v>-2.0762382723043113E-16</v>
      </c>
      <c r="H60" s="3863">
        <f>IF(E60="NA","NA",E60/Table8s2!$G$34*100)</f>
        <v>-1.4633934939995734E-16</v>
      </c>
      <c r="I60" s="3847">
        <v>0.22835708000000002</v>
      </c>
      <c r="J60" s="3847">
        <f>Summary2!D61</f>
        <v>0.22835707999999996</v>
      </c>
      <c r="K60" s="3861">
        <f t="shared" si="68"/>
        <v>-5.5511151231257827E-17</v>
      </c>
      <c r="L60" s="3861">
        <f t="shared" si="69"/>
        <v>-2.4308924965785087E-14</v>
      </c>
      <c r="M60" s="3862">
        <f>IF(K60="NA","NA",K60/Table8s2!$G$35*100)</f>
        <v>-1.2672352736232369E-20</v>
      </c>
      <c r="N60" s="3863">
        <f>IF(K60="NA","NA",K60/Table8s2!$G$34*100)</f>
        <v>-8.9318450561497398E-21</v>
      </c>
      <c r="O60" s="3848">
        <v>6.3406119068156501</v>
      </c>
      <c r="P60" s="3847">
        <f>Summary2!E61</f>
        <v>6.3406119068157896</v>
      </c>
      <c r="Q60" s="3861">
        <f t="shared" ref="Q60:Q61" si="74">IF(P60="NO",IF(O60="NO","NA",-O60),IF(O60="NO",P60,P60-O60))</f>
        <v>1.3944401189291966E-13</v>
      </c>
      <c r="R60" s="3966">
        <f t="shared" ref="R60:R61" si="75">IF(Q60="NA","NA",Q60/O60*100)</f>
        <v>2.1992201059179874E-12</v>
      </c>
      <c r="S60" s="3967">
        <f>IF(Q60="NA","NA",Q60/Table8s2!$G$35*100)</f>
        <v>3.1832950073415713E-17</v>
      </c>
      <c r="T60" s="3968">
        <f>IF(Q60="NA","NA",Q60/Table8s2!$G$34*100)</f>
        <v>2.2436794781048144E-17</v>
      </c>
    </row>
    <row r="61" spans="2:21" ht="18" customHeight="1" x14ac:dyDescent="0.2">
      <c r="B61" s="1411" t="s">
        <v>1503</v>
      </c>
      <c r="C61" s="3847">
        <v>1877.374</v>
      </c>
      <c r="D61" s="3847">
        <f>Summary2!C62</f>
        <v>1877.374</v>
      </c>
      <c r="E61" s="3861">
        <f t="shared" si="72"/>
        <v>0</v>
      </c>
      <c r="F61" s="3861">
        <f t="shared" si="73"/>
        <v>0</v>
      </c>
      <c r="G61" s="3862">
        <f>IF(E61="NA","NA",E61/Table8s2!$G$35*100)</f>
        <v>0</v>
      </c>
      <c r="H61" s="3863">
        <f>IF(E61="NA","NA",E61/Table8s2!$G$34*100)</f>
        <v>0</v>
      </c>
      <c r="I61" s="3847">
        <v>5.0430799999999998</v>
      </c>
      <c r="J61" s="3847">
        <f>Summary2!D62</f>
        <v>5.0430799999999998</v>
      </c>
      <c r="K61" s="3861">
        <f t="shared" si="68"/>
        <v>0</v>
      </c>
      <c r="L61" s="3861">
        <f t="shared" si="69"/>
        <v>0</v>
      </c>
      <c r="M61" s="3862">
        <f>IF(K61="NA","NA",K61/Table8s2!$G$35*100)</f>
        <v>0</v>
      </c>
      <c r="N61" s="3863">
        <f>IF(K61="NA","NA",K61/Table8s2!$G$34*100)</f>
        <v>0</v>
      </c>
      <c r="O61" s="3848">
        <v>13.636899999999999</v>
      </c>
      <c r="P61" s="3847">
        <f>Summary2!E62</f>
        <v>13.636900000000001</v>
      </c>
      <c r="Q61" s="3861">
        <f t="shared" si="74"/>
        <v>1.7763568394002505E-15</v>
      </c>
      <c r="R61" s="3966">
        <f t="shared" si="75"/>
        <v>1.302610446215966E-14</v>
      </c>
      <c r="S61" s="3967">
        <f>IF(Q61="NA","NA",Q61/Table8s2!$G$35*100)</f>
        <v>4.055152875594358E-19</v>
      </c>
      <c r="T61" s="3968">
        <f>IF(Q61="NA","NA",Q61/Table8s2!$G$34*100)</f>
        <v>2.8581904179679167E-19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15017.92222</v>
      </c>
      <c r="D63" s="3847">
        <f>Summary2!C64</f>
        <v>15017.92222</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-191075.65821621753</v>
      </c>
      <c r="D65" s="3849">
        <f>Summary2!C66</f>
        <v>-191072.90426935992</v>
      </c>
      <c r="E65" s="3977">
        <f t="shared" si="76"/>
        <v>2.7539468576142099</v>
      </c>
      <c r="F65" s="3984">
        <f t="shared" si="77"/>
        <v>-1.4412860765853788E-3</v>
      </c>
      <c r="G65" s="3985">
        <f>IF(E65="NA","NA",E65/Table8s2!$G$35*100)</f>
        <v>6.2868424131825001E-4</v>
      </c>
      <c r="H65" s="3986">
        <f>IF(E65="NA","NA",E65/Table8s2!$G$34*100)</f>
        <v>4.4311505129134812E-4</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1193.6537599999999</v>
      </c>
      <c r="D10" s="4019">
        <f>IF(SUM(D11:D30)=0,"NO",SUM(D11:D30))</f>
        <v>1193.6537599999999</v>
      </c>
      <c r="E10" s="4019">
        <f>IF(D10="NO",IF(C10="NO","NA",-C10),IF(C10="NO",D10,D10-C10))</f>
        <v>0</v>
      </c>
      <c r="F10" s="4019">
        <f>IF(E10="NA","NA",E10/C10*100)</f>
        <v>0</v>
      </c>
      <c r="G10" s="4020">
        <f>IF(E10="NA","NA",E10/$G$35*100)</f>
        <v>0</v>
      </c>
      <c r="H10" s="4021">
        <f>IF(E10="NA","NA",E10/$G$34*100)</f>
        <v>0</v>
      </c>
      <c r="I10" s="4022">
        <f>IF(SUM(I11:I30)=0,"NO",SUM(I11:I30))</f>
        <v>4146.8866252000589</v>
      </c>
      <c r="J10" s="4022">
        <f>IF(SUM(J11:J30)=0,"NO",SUM(J11:J30))</f>
        <v>4146.8866252000589</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246.69030699012214</v>
      </c>
      <c r="V10" s="4019">
        <f>IF(SUM(V11:V30)=0,"NO",SUM(V11:V30))</f>
        <v>246.69030699012217</v>
      </c>
      <c r="W10" s="4019">
        <f>IF(V10="NO",IF(U10="NO","NA",-U10),IF(U10="NO",V10,V10-U10))</f>
        <v>2.8421709430404007E-14</v>
      </c>
      <c r="X10" s="4023">
        <f>IF(W10="NA","NA",W10/U10*100)</f>
        <v>1.1521210450940845E-14</v>
      </c>
      <c r="Y10" s="4024">
        <f>IF(W10="NA","NA",W10/$G$35*100)</f>
        <v>6.4882446009509727E-18</v>
      </c>
      <c r="Z10" s="4021">
        <f>IF(W10="NA","NA",W10/$G$34*100)</f>
        <v>4.5731046687486668E-18</v>
      </c>
      <c r="AA10" s="4019" t="s">
        <v>2146</v>
      </c>
      <c r="AB10" s="4019" t="s">
        <v>2146</v>
      </c>
      <c r="AC10" s="4019" t="s">
        <v>2147</v>
      </c>
      <c r="AD10" s="4023" t="s">
        <v>2147</v>
      </c>
      <c r="AE10" s="4024" t="s">
        <v>2147</v>
      </c>
      <c r="AF10" s="4021" t="s">
        <v>2147</v>
      </c>
    </row>
    <row r="11" spans="2:32" ht="18" customHeight="1" x14ac:dyDescent="0.2">
      <c r="B11" s="1951" t="s">
        <v>1694</v>
      </c>
      <c r="C11" s="3848">
        <v>1193.6537599999999</v>
      </c>
      <c r="D11" s="3847">
        <f>'Table2(I)'!F25</f>
        <v>1193.6537599999999</v>
      </c>
      <c r="E11" s="3847">
        <f>IF(D11="NO",IF(C11="NO","NA",-C11),IF(C11="NO",D11,D11-C11))</f>
        <v>0</v>
      </c>
      <c r="F11" s="4016">
        <f>IF(E11="NA","NA",E11/C11*100)</f>
        <v>0</v>
      </c>
      <c r="G11" s="3871">
        <f>IF(E11="NA","NA",E11/$G$35*100)</f>
        <v>0</v>
      </c>
      <c r="H11" s="3872">
        <f>IF(E11="NA","NA",E11/$G$34*100)</f>
        <v>0</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4146.8866252000589</v>
      </c>
      <c r="J13" s="3839">
        <f>'Table2(II)'!AH41</f>
        <v>4146.8866252000589</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t="s">
        <v>2146</v>
      </c>
      <c r="D21" s="3847" t="str">
        <f>'Table2(I)'!F46</f>
        <v>NO</v>
      </c>
      <c r="E21" s="3847" t="str">
        <f>IF(D21="NO",IF(C21="NO","NA",-C21),IF(C21="NO",D21,D21-C21))</f>
        <v>NA</v>
      </c>
      <c r="F21" s="4016" t="str">
        <f>IF(E21="NA","NA",E21/C21*100)</f>
        <v>NA</v>
      </c>
      <c r="G21" s="3871" t="str">
        <f>IF(E21="NA","NA",E21/$G$35*100)</f>
        <v>NA</v>
      </c>
      <c r="H21" s="3872" t="str">
        <f>IF(E21="NA","NA",E21/$G$34*100)</f>
        <v>NA</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t="s">
        <v>2146</v>
      </c>
      <c r="D22" s="3847" t="str">
        <f>'Table2(I)'!F47</f>
        <v>NO</v>
      </c>
      <c r="E22" s="3847" t="str">
        <f t="shared" ref="E22:E25" si="0">IF(D22="NO",IF(C22="NO","NA",-C22),IF(C22="NO",D22,D22-C22))</f>
        <v>NA</v>
      </c>
      <c r="F22" s="4016" t="str">
        <f t="shared" ref="F22:F25" si="1">IF(E22="NA","NA",E22/C22*100)</f>
        <v>NA</v>
      </c>
      <c r="G22" s="3871" t="str">
        <f t="shared" ref="G22:G25" si="2">IF(E22="NA","NA",E22/$G$35*100)</f>
        <v>NA</v>
      </c>
      <c r="H22" s="3872" t="str">
        <f t="shared" ref="H22:H25" si="3">IF(E22="NA","NA",E22/$G$34*100)</f>
        <v>NA</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t="s">
        <v>2146</v>
      </c>
      <c r="D23" s="3847" t="str">
        <f>'Table2(I)'!F48</f>
        <v>NO</v>
      </c>
      <c r="E23" s="3847" t="str">
        <f t="shared" si="0"/>
        <v>NA</v>
      </c>
      <c r="F23" s="4016" t="str">
        <f t="shared" si="1"/>
        <v>NA</v>
      </c>
      <c r="G23" s="3871" t="str">
        <f t="shared" si="2"/>
        <v>NA</v>
      </c>
      <c r="H23" s="3872" t="str">
        <f t="shared" si="3"/>
        <v>NA</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t="s">
        <v>2146</v>
      </c>
      <c r="D25" s="3847" t="str">
        <f>'Table2(I)'!F50</f>
        <v>NO</v>
      </c>
      <c r="E25" s="3847" t="str">
        <f t="shared" si="0"/>
        <v>NA</v>
      </c>
      <c r="F25" s="4016" t="str">
        <f t="shared" si="1"/>
        <v>NA</v>
      </c>
      <c r="G25" s="3871" t="str">
        <f t="shared" si="2"/>
        <v>NA</v>
      </c>
      <c r="H25" s="3872" t="str">
        <f t="shared" si="3"/>
        <v>NA</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232.83956519473981</v>
      </c>
      <c r="V27" s="3847">
        <f>IFERROR('Table2(I)'!I53*23500,'Table2(I)'!I53)</f>
        <v>232.83956519473986</v>
      </c>
      <c r="W27" s="3847">
        <f>IF(V27="NO",IF(U27="NO","NA",-U27),IF(U27="NO",V27,V27-U27))</f>
        <v>5.6843418860808015E-14</v>
      </c>
      <c r="X27" s="4016">
        <f>IF(W27="NA","NA",W27/U27*100)</f>
        <v>2.4413127044480577E-14</v>
      </c>
      <c r="Y27" s="3871">
        <f>IF(W27="NA","NA",W27/$G$35*100)</f>
        <v>1.2976489201901945E-17</v>
      </c>
      <c r="Z27" s="3872">
        <f>IF(W27="NA","NA",W27/$G$34*100)</f>
        <v>9.1462093374973335E-18</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13.850741795382335</v>
      </c>
      <c r="V28" s="3847">
        <f>IFERROR('Table2(I)'!I54*23500,'Table2(I)'!I54)</f>
        <v>13.850741795382298</v>
      </c>
      <c r="W28" s="3847">
        <f>IF(V28="NO",IF(U28="NO","NA",-U28),IF(U28="NO",V28,V28-U28))</f>
        <v>-3.730349362740526E-14</v>
      </c>
      <c r="X28" s="4016">
        <f>IF(W28="NA","NA",W28/U28*100)</f>
        <v>-2.693248793349233E-13</v>
      </c>
      <c r="Y28" s="3871">
        <f>IF(W28="NA","NA",W28/$G$35*100)</f>
        <v>-8.5158210387481523E-18</v>
      </c>
      <c r="Z28" s="3872">
        <f>IF(W28="NA","NA",W28/$G$34*100)</f>
        <v>-6.0021998777326251E-18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625064.54761612683</v>
      </c>
      <c r="F34" s="4523"/>
      <c r="G34" s="4522">
        <f>SUM(Table8s1!D10,Table8s1!J10,Table8s1!P10,D10,J10,P10,V10,AB10)</f>
        <v>621497.02421267796</v>
      </c>
      <c r="H34" s="4523"/>
      <c r="I34" s="3839">
        <f>G34-E34</f>
        <v>-3567.5234034488676</v>
      </c>
      <c r="J34" s="4045">
        <f>IF(I34="NA","NA",I34/E34*100)</f>
        <v>-0.57074480020578677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438166.00762261089</v>
      </c>
      <c r="F35" s="4525"/>
      <c r="G35" s="4526">
        <f>G34-SUM(Table8s1!D41,Table8s1!J41,Table8s1!P41)</f>
        <v>438049.2903463947</v>
      </c>
      <c r="H35" s="4527"/>
      <c r="I35" s="3855">
        <f>G35-E35</f>
        <v>-116.71727621619357</v>
      </c>
      <c r="J35" s="4046">
        <f>IF(I35="NA","NA",I35/E35*100)</f>
        <v>-2.6637683933875875E-2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870687.88356251351</v>
      </c>
      <c r="D10" s="1913" t="s">
        <v>1814</v>
      </c>
      <c r="E10" s="628"/>
      <c r="F10" s="628"/>
      <c r="G10" s="628"/>
      <c r="H10" s="1847">
        <f>IF(SUM(H11:H14)=0,"NO",SUM(H11:H14))</f>
        <v>59194.715442148314</v>
      </c>
      <c r="I10" s="1847">
        <f>IF(SUM(I11:I15)=0,"NO",SUM(I11:I15))</f>
        <v>26.299583078796019</v>
      </c>
      <c r="J10" s="2192">
        <f>IF(SUM(J11:J15)=0,"NO",SUM(J11:J15))</f>
        <v>3.2846479580695078</v>
      </c>
    </row>
    <row r="11" spans="2:11" ht="18" customHeight="1" x14ac:dyDescent="0.2">
      <c r="B11" s="282" t="s">
        <v>132</v>
      </c>
      <c r="C11" s="1913">
        <f>IF(SUM(C17:C18,C21:C24,C82,C89:C92,C100)=0,"NO",SUM(C17:C18,C21:C24,C82,C89:C92,C100))</f>
        <v>862177.99114609428</v>
      </c>
      <c r="D11" s="1909" t="s">
        <v>1814</v>
      </c>
      <c r="E11" s="1913">
        <f>IFERROR(H11*1000/$C11,"NA")</f>
        <v>67.982292750033864</v>
      </c>
      <c r="F11" s="1913">
        <f t="shared" ref="F11:G15" si="0">IFERROR(I11*1000000/$C11,"NA")</f>
        <v>30.263273848331302</v>
      </c>
      <c r="G11" s="1913">
        <f t="shared" si="0"/>
        <v>3.8044788799459104</v>
      </c>
      <c r="H11" s="1913">
        <f>IF(SUM(H17:H18,H21:H24,H82,H89:H92,H100)=0,"NO",SUM(H17:H18,H21:H24,H82,H89:H92,H100))</f>
        <v>58612.836596729881</v>
      </c>
      <c r="I11" s="1913">
        <f>IF(SUM(I17:I18,I21:I24,I82,I89:I92,I100)=0,"NO",SUM(I17:I18,I21:I24,I82,I89:I92,I100))</f>
        <v>26.092328652058413</v>
      </c>
      <c r="J11" s="3085">
        <f>IF(SUM(J17:J18,J21:J24,J82,J89:J92,J100)=0,"NO",SUM(J17:J18,J21:J24,J82,J89:J92,J100))</f>
        <v>3.280137958069508</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4760</v>
      </c>
      <c r="D13" s="1909" t="s">
        <v>1814</v>
      </c>
      <c r="E13" s="1913">
        <f t="shared" si="1"/>
        <v>51.411918339264993</v>
      </c>
      <c r="F13" s="1913">
        <f t="shared" si="0"/>
        <v>18.465215701177424</v>
      </c>
      <c r="G13" s="1913">
        <f t="shared" si="0"/>
        <v>0.16386554621848742</v>
      </c>
      <c r="H13" s="1913">
        <f>IF(SUM(H26,H84,H94,H102)=0,"NO",SUM(H26,H84,H94,H102))</f>
        <v>244.72073129490138</v>
      </c>
      <c r="I13" s="1913">
        <f>IF(SUM(I26,I84,I94,I102)=0,"NO",SUM(I26,I84,I94,I102))</f>
        <v>8.7894426737604531E-2</v>
      </c>
      <c r="J13" s="3085">
        <f>IF(SUM(J26,J84,J94,J102)=0,"NO",SUM(J26,J84,J94,J102))</f>
        <v>7.8000000000000009E-4</v>
      </c>
    </row>
    <row r="14" spans="2:11" ht="18" customHeight="1" x14ac:dyDescent="0.2">
      <c r="B14" s="282" t="s">
        <v>175</v>
      </c>
      <c r="C14" s="1913">
        <f>IF(SUM(C28,C86,C96,C103)=0,"NO",SUM(C28,C86,C96,C103))</f>
        <v>3749.8924164192526</v>
      </c>
      <c r="D14" s="1909" t="s">
        <v>1814</v>
      </c>
      <c r="E14" s="1913">
        <f t="shared" si="1"/>
        <v>89.91140989732213</v>
      </c>
      <c r="F14" s="1913">
        <f t="shared" si="0"/>
        <v>31.83024650983883</v>
      </c>
      <c r="G14" s="1913">
        <f t="shared" si="0"/>
        <v>0.99469520343246343</v>
      </c>
      <c r="H14" s="1913">
        <f>IF(SUM(H28,H86,H96,H103)=0,"NO",SUM(H28,H86,H96,H103))</f>
        <v>337.15811412353122</v>
      </c>
      <c r="I14" s="1913">
        <f>IF(SUM(I28,I86,I96,I103)=0,"NO",SUM(I28,I86,I96,I103))</f>
        <v>0.11936000000000001</v>
      </c>
      <c r="J14" s="3085">
        <f>IF(SUM(J28,J86,J96,J103)=0,"NO",SUM(J28,J86,J96,J103))</f>
        <v>3.7300000000000002E-3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46763.277799381016</v>
      </c>
      <c r="D16" s="1909" t="s">
        <v>1814</v>
      </c>
      <c r="E16" s="628"/>
      <c r="F16" s="628"/>
      <c r="G16" s="628"/>
      <c r="H16" s="1913">
        <f>IF(SUM(H17:H18)=0,"NO",SUM(H17:H18))</f>
        <v>3245.8447855142877</v>
      </c>
      <c r="I16" s="1913">
        <f>IF(SUM(I17:I19)=0,"NO",SUM(I17:I19))</f>
        <v>2.4563887590651694E-2</v>
      </c>
      <c r="J16" s="3085">
        <f>IF(SUM(J17:J19)=0,"NO",SUM(J17:J19))</f>
        <v>3.4162472217304299E-2</v>
      </c>
    </row>
    <row r="17" spans="2:10" ht="18" customHeight="1" x14ac:dyDescent="0.2">
      <c r="B17" s="282" t="s">
        <v>177</v>
      </c>
      <c r="C17" s="691">
        <v>3415.1343548571199</v>
      </c>
      <c r="D17" s="1909" t="s">
        <v>1814</v>
      </c>
      <c r="E17" s="1913">
        <f t="shared" ref="E17:E19" si="2">IFERROR(H17*1000/$C17,"NA")</f>
        <v>66.999999999999915</v>
      </c>
      <c r="F17" s="1913">
        <f t="shared" ref="F17:G19" si="3">IFERROR(I17*1000000/$C17,"NA")</f>
        <v>0.49999999999999944</v>
      </c>
      <c r="G17" s="1913">
        <f t="shared" si="3"/>
        <v>1.9999999999999978</v>
      </c>
      <c r="H17" s="691">
        <v>228.81400177542673</v>
      </c>
      <c r="I17" s="691">
        <v>1.7075671774285581E-3</v>
      </c>
      <c r="J17" s="2911">
        <v>6.8302687097142323E-3</v>
      </c>
    </row>
    <row r="18" spans="2:10" ht="18" customHeight="1" x14ac:dyDescent="0.2">
      <c r="B18" s="282" t="s">
        <v>178</v>
      </c>
      <c r="C18" s="691">
        <v>43348.143444523899</v>
      </c>
      <c r="D18" s="1909" t="s">
        <v>1814</v>
      </c>
      <c r="E18" s="1913">
        <f t="shared" si="2"/>
        <v>69.599999999999937</v>
      </c>
      <c r="F18" s="1913">
        <f t="shared" si="3"/>
        <v>0.52727334084040312</v>
      </c>
      <c r="G18" s="1913">
        <f t="shared" si="3"/>
        <v>0.63052766129578963</v>
      </c>
      <c r="H18" s="691">
        <v>3017.0307837388609</v>
      </c>
      <c r="I18" s="691">
        <v>2.2856320413223136E-2</v>
      </c>
      <c r="J18" s="2911">
        <v>2.7332203507590067E-2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763527.04399389052</v>
      </c>
      <c r="D20" s="1909" t="s">
        <v>1814</v>
      </c>
      <c r="E20" s="628"/>
      <c r="F20" s="628"/>
      <c r="G20" s="628"/>
      <c r="H20" s="1913">
        <f>IF(SUM(H21:H24,H26,H28)=0,"NO",SUM(H21:H24,H26,H28))</f>
        <v>51703.654950362557</v>
      </c>
      <c r="I20" s="1913">
        <f>IF(SUM(I21:I24,I26:I28)=0,"NO",SUM(I21:I24,I26:I28))</f>
        <v>22.459105494263305</v>
      </c>
      <c r="J20" s="3085">
        <f>IF(SUM(J21:J24,J26:J28)=0,"NO",SUM(J21:J24,J26:J28))</f>
        <v>2.4589283739782752</v>
      </c>
    </row>
    <row r="21" spans="2:10" ht="18" customHeight="1" x14ac:dyDescent="0.2">
      <c r="B21" s="282" t="s">
        <v>167</v>
      </c>
      <c r="C21" s="1913">
        <f>IF(SUM(C31,C41,C51,C61,C72)=0,"NO",SUM(C31,C41,C51,C61,C72))</f>
        <v>539959.37870958343</v>
      </c>
      <c r="D21" s="1909" t="s">
        <v>1814</v>
      </c>
      <c r="E21" s="1913">
        <f t="shared" ref="E21:E23" si="4">IFERROR(H21*1000/$C21,"NA")</f>
        <v>67.400000000000048</v>
      </c>
      <c r="F21" s="1913">
        <f t="shared" ref="F21:G23" si="5">IFERROR(I21*1000000/$C21,"NA")</f>
        <v>35.209922796088009</v>
      </c>
      <c r="G21" s="1913">
        <f t="shared" si="5"/>
        <v>3.9507901432995927</v>
      </c>
      <c r="H21" s="1913">
        <f>IF(SUM(H31,H41,H51,H61,H72)=0,"NO",SUM(H31,H41,H51,H61,H72))</f>
        <v>36393.262125025947</v>
      </c>
      <c r="I21" s="1913">
        <f>IF(SUM(I31,I41,I51,I61,I72)=0,"NO",SUM(I31,I41,I51,I61,I72))</f>
        <v>19.011928037388078</v>
      </c>
      <c r="J21" s="3085">
        <f>IF(SUM(J31,J41,J51,J61,J72)=0,"NO",SUM(J31,J41,J51,J61,J72))</f>
        <v>2.1332661911879942</v>
      </c>
    </row>
    <row r="22" spans="2:10" ht="18" customHeight="1" x14ac:dyDescent="0.2">
      <c r="B22" s="282" t="s">
        <v>168</v>
      </c>
      <c r="C22" s="1913">
        <f t="shared" ref="C22:C29" si="6">IF(SUM(C32,C42,C52,C62,C73)=0,"NO",SUM(C32,C42,C52,C62,C73))</f>
        <v>191154.22091603</v>
      </c>
      <c r="D22" s="1909" t="s">
        <v>1814</v>
      </c>
      <c r="E22" s="1913">
        <f t="shared" si="4"/>
        <v>69.899999999999977</v>
      </c>
      <c r="F22" s="1913">
        <f t="shared" si="5"/>
        <v>10.428919754189986</v>
      </c>
      <c r="G22" s="1913">
        <f t="shared" si="5"/>
        <v>1.5972999259128386</v>
      </c>
      <c r="H22" s="1913">
        <f t="shared" ref="H22:J29" si="7">IF(SUM(H32,H42,H52,H62,H73)=0,"NO",SUM(H32,H42,H52,H62,H73))</f>
        <v>13361.680042030493</v>
      </c>
      <c r="I22" s="1913">
        <f t="shared" si="7"/>
        <v>1.9935320306079816</v>
      </c>
      <c r="J22" s="3085">
        <f t="shared" si="7"/>
        <v>0.30533062290710111</v>
      </c>
    </row>
    <row r="23" spans="2:10" ht="18" customHeight="1" x14ac:dyDescent="0.2">
      <c r="B23" s="282" t="s">
        <v>169</v>
      </c>
      <c r="C23" s="1913">
        <f t="shared" si="6"/>
        <v>32108.875144303314</v>
      </c>
      <c r="D23" s="1909" t="s">
        <v>1814</v>
      </c>
      <c r="E23" s="1913">
        <f t="shared" si="4"/>
        <v>60.199999999999953</v>
      </c>
      <c r="F23" s="1913">
        <f t="shared" si="5"/>
        <v>43.912715352688735</v>
      </c>
      <c r="G23" s="1913">
        <f t="shared" si="5"/>
        <v>0.62386364496277313</v>
      </c>
      <c r="H23" s="1913">
        <f t="shared" si="7"/>
        <v>1932.9542836870578</v>
      </c>
      <c r="I23" s="1913">
        <f t="shared" si="7"/>
        <v>1.4099878945068141</v>
      </c>
      <c r="J23" s="3085">
        <f t="shared" si="7"/>
        <v>2.0031559883179652E-2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300.00000000000034</v>
      </c>
      <c r="D26" s="1909" t="s">
        <v>1814</v>
      </c>
      <c r="E26" s="1913">
        <f t="shared" si="8"/>
        <v>51.41191833926495</v>
      </c>
      <c r="F26" s="1913">
        <f t="shared" si="9"/>
        <v>145.5251058681184</v>
      </c>
      <c r="G26" s="1913">
        <f t="shared" si="9"/>
        <v>0.99999999999999889</v>
      </c>
      <c r="H26" s="1913">
        <f t="shared" si="7"/>
        <v>15.423575501779503</v>
      </c>
      <c r="I26" s="1913">
        <f t="shared" si="7"/>
        <v>4.3657531760435575E-2</v>
      </c>
      <c r="J26" s="3085">
        <f t="shared" si="7"/>
        <v>3.0000000000000003E-4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4.5692239737967206</v>
      </c>
      <c r="D28" s="1909" t="s">
        <v>1814</v>
      </c>
      <c r="E28" s="628"/>
      <c r="F28" s="628"/>
      <c r="G28" s="628"/>
      <c r="H28" s="1913">
        <f>H29</f>
        <v>0.33492411727929949</v>
      </c>
      <c r="I28" s="1913" t="str">
        <f>I29</f>
        <v>NE</v>
      </c>
      <c r="J28" s="3085" t="str">
        <f>J29</f>
        <v>NE</v>
      </c>
    </row>
    <row r="29" spans="2:10" ht="18" customHeight="1" x14ac:dyDescent="0.2">
      <c r="B29" s="3105" t="s">
        <v>252</v>
      </c>
      <c r="C29" s="1913">
        <f t="shared" si="6"/>
        <v>4.5692239737967206</v>
      </c>
      <c r="D29" s="1909" t="s">
        <v>1814</v>
      </c>
      <c r="E29" s="3103">
        <f t="shared" ref="E29" si="10">IFERROR(H29*1000/$C29,"NA")</f>
        <v>73.299999999999969</v>
      </c>
      <c r="F29" s="3103" t="str">
        <f>IFERROR(I29*1000000/$C29,"NA")</f>
        <v>NA</v>
      </c>
      <c r="G29" s="3103" t="str">
        <f>IFERROR(J29*1000000/$C29,"NA")</f>
        <v>NA</v>
      </c>
      <c r="H29" s="1913">
        <f t="shared" si="7"/>
        <v>0.33492411727929949</v>
      </c>
      <c r="I29" s="1913" t="str">
        <f>IF(SUM(I39,I49,I59,I69,I80)=0,"NE",SUM(I39,I49,I59,I69,I80))</f>
        <v>NE</v>
      </c>
      <c r="J29" s="3085" t="str">
        <f>IF(SUM(J39,J49,J59,J69,J80)=0,"NE",SUM(J39,J49,J59,J69,J80))</f>
        <v>NE</v>
      </c>
    </row>
    <row r="30" spans="2:10" ht="18" customHeight="1" x14ac:dyDescent="0.2">
      <c r="B30" s="1242" t="s">
        <v>182</v>
      </c>
      <c r="C30" s="1913">
        <f>IF(SUM(C31:C34,C36:C38)=0,"NO",SUM(C31:C34,C36:C38))</f>
        <v>496458.03967934847</v>
      </c>
      <c r="D30" s="1909" t="s">
        <v>1814</v>
      </c>
      <c r="E30" s="628"/>
      <c r="F30" s="628"/>
      <c r="G30" s="628"/>
      <c r="H30" s="1913">
        <f>IF(SUM(H31:H34,H36,H38)=0,"NO",SUM(H31:H34,H36,H38))</f>
        <v>33325.722342743917</v>
      </c>
      <c r="I30" s="1913">
        <f>IF(SUM(I31:I34,I36:I38)=0,"NO",SUM(I31:I34,I36:I38))</f>
        <v>17.840635251675142</v>
      </c>
      <c r="J30" s="3085">
        <f>IF(SUM(J31:J34,J36:J38)=0,"NO",SUM(J31:J34,J36:J38))</f>
        <v>2.077595305324083</v>
      </c>
    </row>
    <row r="31" spans="2:10" ht="18" customHeight="1" x14ac:dyDescent="0.2">
      <c r="B31" s="282" t="s">
        <v>167</v>
      </c>
      <c r="C31" s="691">
        <v>461207.33120597602</v>
      </c>
      <c r="D31" s="1909" t="s">
        <v>1814</v>
      </c>
      <c r="E31" s="1913">
        <f t="shared" ref="E31:E33" si="11">IFERROR(H31*1000/$C31,"NA")</f>
        <v>67.400000000000048</v>
      </c>
      <c r="F31" s="1913">
        <f t="shared" ref="F31:G33" si="12">IFERROR(I31*1000000/$C31,"NA")</f>
        <v>36.272125096683673</v>
      </c>
      <c r="G31" s="1913">
        <f t="shared" si="12"/>
        <v>4.4686249497083628</v>
      </c>
      <c r="H31" s="691">
        <v>31085.374123282811</v>
      </c>
      <c r="I31" s="691">
        <v>16.728970013010784</v>
      </c>
      <c r="J31" s="2911">
        <v>2.0609625872154327</v>
      </c>
    </row>
    <row r="32" spans="2:10" ht="18" customHeight="1" x14ac:dyDescent="0.2">
      <c r="B32" s="282" t="s">
        <v>168</v>
      </c>
      <c r="C32" s="691">
        <v>12266.9318158194</v>
      </c>
      <c r="D32" s="1909" t="s">
        <v>1814</v>
      </c>
      <c r="E32" s="1913">
        <f t="shared" si="11"/>
        <v>69.899999999999736</v>
      </c>
      <c r="F32" s="1913">
        <f t="shared" si="12"/>
        <v>5.1474272876257094</v>
      </c>
      <c r="G32" s="1913">
        <f t="shared" si="12"/>
        <v>0.17530332741466451</v>
      </c>
      <c r="H32" s="691">
        <v>857.45853392577283</v>
      </c>
      <c r="I32" s="691">
        <v>6.3143139564192777E-2</v>
      </c>
      <c r="J32" s="2911">
        <v>2.1504339644819533E-3</v>
      </c>
    </row>
    <row r="33" spans="2:10" ht="18" customHeight="1" x14ac:dyDescent="0.2">
      <c r="B33" s="282" t="s">
        <v>169</v>
      </c>
      <c r="C33" s="691">
        <v>22900.292084050299</v>
      </c>
      <c r="D33" s="1909" t="s">
        <v>1814</v>
      </c>
      <c r="E33" s="1913">
        <f t="shared" si="11"/>
        <v>60.199999999999918</v>
      </c>
      <c r="F33" s="1913">
        <f t="shared" si="12"/>
        <v>44.834913967366184</v>
      </c>
      <c r="G33" s="1913">
        <f t="shared" si="12"/>
        <v>0.62876052051293074</v>
      </c>
      <c r="H33" s="691">
        <v>1378.5975834598262</v>
      </c>
      <c r="I33" s="691">
        <v>1.0267326254159521</v>
      </c>
      <c r="J33" s="2911">
        <v>1.4398799570665612E-2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83.484573502722299</v>
      </c>
      <c r="D36" s="1909" t="s">
        <v>1814</v>
      </c>
      <c r="E36" s="1913">
        <f t="shared" si="13"/>
        <v>51.411918339265</v>
      </c>
      <c r="F36" s="1913">
        <f t="shared" si="14"/>
        <v>261.00000000000006</v>
      </c>
      <c r="G36" s="1913">
        <f t="shared" si="14"/>
        <v>1.0000000000000002</v>
      </c>
      <c r="H36" s="691">
        <v>4.2921020755103259</v>
      </c>
      <c r="I36" s="691">
        <v>2.1789473684210525E-2</v>
      </c>
      <c r="J36" s="2911">
        <v>8.3484573502722311E-5</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107661.51393394075</v>
      </c>
      <c r="D40" s="1909" t="s">
        <v>1814</v>
      </c>
      <c r="E40" s="628"/>
      <c r="F40" s="628"/>
      <c r="G40" s="628"/>
      <c r="H40" s="1913">
        <f>IF(SUM(H41:H44,H46,H48)=0,"NO",SUM(H41:H44,H46,H48))</f>
        <v>7261.6125140834729</v>
      </c>
      <c r="I40" s="1913">
        <f>IF(SUM(I41:I44,I46:I48)=0,"NO",SUM(I41:I44,I46:I48))</f>
        <v>3.3041126430160035</v>
      </c>
      <c r="J40" s="3085">
        <f>IF(SUM(J41:J44,J46:J48)=0,"NO",SUM(J41:J44,J46:J48))</f>
        <v>7.6275768144366415E-2</v>
      </c>
    </row>
    <row r="41" spans="2:10" ht="18" customHeight="1" x14ac:dyDescent="0.2">
      <c r="B41" s="282" t="s">
        <v>167</v>
      </c>
      <c r="C41" s="691">
        <v>72595.195733228189</v>
      </c>
      <c r="D41" s="1909" t="s">
        <v>1814</v>
      </c>
      <c r="E41" s="1913">
        <f t="shared" ref="E41:E43" si="16">IFERROR(H41*1000/$C41,"NA")</f>
        <v>67.399999999999991</v>
      </c>
      <c r="F41" s="1913">
        <f t="shared" ref="F41:G43" si="17">IFERROR(I41*1000000/$C41,"NA")</f>
        <v>27.782255888514506</v>
      </c>
      <c r="G41" s="1913">
        <f t="shared" si="17"/>
        <v>0.92332505465641279</v>
      </c>
      <c r="H41" s="691">
        <v>4892.9161924195796</v>
      </c>
      <c r="I41" s="691">
        <v>2.016858304137342</v>
      </c>
      <c r="J41" s="2911">
        <v>6.7028963068175906E-2</v>
      </c>
    </row>
    <row r="42" spans="2:10" ht="18" customHeight="1" x14ac:dyDescent="0.2">
      <c r="B42" s="282" t="s">
        <v>168</v>
      </c>
      <c r="C42" s="691">
        <v>26567.4191732986</v>
      </c>
      <c r="D42" s="1909" t="s">
        <v>1814</v>
      </c>
      <c r="E42" s="1913">
        <f t="shared" si="16"/>
        <v>69.900000000000006</v>
      </c>
      <c r="F42" s="1913">
        <f t="shared" si="17"/>
        <v>34.518444677102529</v>
      </c>
      <c r="G42" s="1913">
        <f t="shared" si="17"/>
        <v>0.1929268892757908</v>
      </c>
      <c r="H42" s="691">
        <v>1857.0626002135723</v>
      </c>
      <c r="I42" s="691">
        <v>0.91706598894690083</v>
      </c>
      <c r="J42" s="2911">
        <v>5.1255695371905004E-3</v>
      </c>
    </row>
    <row r="43" spans="2:10" ht="18" customHeight="1" x14ac:dyDescent="0.2">
      <c r="B43" s="282" t="s">
        <v>169</v>
      </c>
      <c r="C43" s="691">
        <v>8498.8990274139687</v>
      </c>
      <c r="D43" s="1909" t="s">
        <v>1814</v>
      </c>
      <c r="E43" s="1913">
        <f t="shared" si="16"/>
        <v>60.2</v>
      </c>
      <c r="F43" s="1913">
        <f t="shared" si="17"/>
        <v>43.557212379825252</v>
      </c>
      <c r="G43" s="1913">
        <f t="shared" si="17"/>
        <v>0.48491404894993989</v>
      </c>
      <c r="H43" s="691">
        <v>511.63372145032099</v>
      </c>
      <c r="I43" s="691">
        <v>0.37018834993176053</v>
      </c>
      <c r="J43" s="2911">
        <v>4.1212355390000139E-3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156515.8098744723</v>
      </c>
      <c r="D50" s="1909" t="s">
        <v>1814</v>
      </c>
      <c r="E50" s="628"/>
      <c r="F50" s="628"/>
      <c r="G50" s="628"/>
      <c r="H50" s="1913">
        <f>IF(SUM(H51:H54,H56,H58)=0,"NO",SUM(H51:H54,H56,H58))</f>
        <v>10921.393869000625</v>
      </c>
      <c r="I50" s="1913">
        <f>IF(SUM(I51:I54,I56:I58)=0,"NO",SUM(I51:I54,I56:I58))</f>
        <v>1.0997343998877178</v>
      </c>
      <c r="J50" s="3085">
        <f>IF(SUM(J51:J54,J56:J58)=0,"NO",SUM(J51:J54,J56:J58))</f>
        <v>0.30219565784736585</v>
      </c>
    </row>
    <row r="51" spans="2:10" ht="18" customHeight="1" x14ac:dyDescent="0.2">
      <c r="B51" s="282" t="s">
        <v>167</v>
      </c>
      <c r="C51" s="691">
        <v>3269.7404882239798</v>
      </c>
      <c r="D51" s="1909" t="s">
        <v>1814</v>
      </c>
      <c r="E51" s="1913">
        <f t="shared" ref="E51:E53" si="21">IFERROR(H51*1000/$C51,"NA")</f>
        <v>67.400000000000063</v>
      </c>
      <c r="F51" s="1913">
        <f t="shared" ref="F51:G53" si="22">IFERROR(I51*1000000/$C51,"NA")</f>
        <v>15.743304626436554</v>
      </c>
      <c r="G51" s="1913">
        <f t="shared" si="22"/>
        <v>0.73797851866727338</v>
      </c>
      <c r="H51" s="691">
        <v>220.38050890629643</v>
      </c>
      <c r="I51" s="691">
        <v>5.1476520555503502E-2</v>
      </c>
      <c r="J51" s="2911">
        <v>2.4129982419259398E-3</v>
      </c>
    </row>
    <row r="52" spans="2:10" ht="18" customHeight="1" x14ac:dyDescent="0.2">
      <c r="B52" s="282" t="s">
        <v>168</v>
      </c>
      <c r="C52" s="691">
        <v>152319.86992691198</v>
      </c>
      <c r="D52" s="1909" t="s">
        <v>1814</v>
      </c>
      <c r="E52" s="1913">
        <f t="shared" si="21"/>
        <v>69.900000000000006</v>
      </c>
      <c r="F52" s="1913">
        <f t="shared" si="22"/>
        <v>6.6525982630047755</v>
      </c>
      <c r="G52" s="1913">
        <f t="shared" si="22"/>
        <v>1.9567678172811265</v>
      </c>
      <c r="H52" s="691">
        <v>10647.158907891149</v>
      </c>
      <c r="I52" s="691">
        <v>1.0133229020968879</v>
      </c>
      <c r="J52" s="2911">
        <v>0.29805461940542866</v>
      </c>
    </row>
    <row r="53" spans="2:10" ht="18" customHeight="1" x14ac:dyDescent="0.2">
      <c r="B53" s="282" t="s">
        <v>169</v>
      </c>
      <c r="C53" s="691">
        <v>709.68403283904797</v>
      </c>
      <c r="D53" s="1909" t="s">
        <v>1814</v>
      </c>
      <c r="E53" s="1913">
        <f t="shared" si="21"/>
        <v>60.200000000000038</v>
      </c>
      <c r="F53" s="1913">
        <f t="shared" si="22"/>
        <v>18.412305412632996</v>
      </c>
      <c r="G53" s="1913">
        <f t="shared" si="22"/>
        <v>2.1298559690955168</v>
      </c>
      <c r="H53" s="691">
        <v>42.722978776910715</v>
      </c>
      <c r="I53" s="691">
        <v>1.3066919159101617E-2</v>
      </c>
      <c r="J53" s="2911">
        <v>1.5115247735140252E-3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216.51542649727801</v>
      </c>
      <c r="D56" s="1909" t="s">
        <v>1814</v>
      </c>
      <c r="E56" s="1913">
        <f t="shared" si="23"/>
        <v>51.411918339264936</v>
      </c>
      <c r="F56" s="1913">
        <f t="shared" si="24"/>
        <v>100.99999999999986</v>
      </c>
      <c r="G56" s="1913">
        <f t="shared" si="24"/>
        <v>0.99999999999999867</v>
      </c>
      <c r="H56" s="691">
        <v>11.131473426269176</v>
      </c>
      <c r="I56" s="691">
        <v>2.186805807622505E-2</v>
      </c>
      <c r="J56" s="2911">
        <v>2.1651542649727773E-4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2891.680506129017</v>
      </c>
      <c r="D60" s="1909" t="s">
        <v>1814</v>
      </c>
      <c r="E60" s="628"/>
      <c r="F60" s="628"/>
      <c r="G60" s="628"/>
      <c r="H60" s="1913">
        <f>IF(SUM(H61:H64,H66,H68)=0,"NO",SUM(H61:H64,H66,H68))</f>
        <v>194.92622453454095</v>
      </c>
      <c r="I60" s="1913">
        <f>IF(SUM(I61:I64,I66:I68)=0,"NO",SUM(I61:I64,I66:I68))</f>
        <v>0.21462319968444973</v>
      </c>
      <c r="J60" s="3085">
        <f>IF(SUM(J61:J64,J66:J68)=0,"NO",SUM(J61:J64,J66:J68))</f>
        <v>2.8616426624593293E-3</v>
      </c>
    </row>
    <row r="61" spans="2:10" ht="18" customHeight="1" x14ac:dyDescent="0.2">
      <c r="B61" s="282" t="s">
        <v>167</v>
      </c>
      <c r="C61" s="691">
        <v>2887.1112821552201</v>
      </c>
      <c r="D61" s="1909" t="s">
        <v>1814</v>
      </c>
      <c r="E61" s="1913">
        <f t="shared" ref="E61:E63" si="26">IFERROR(H61*1000/$C61,"NA")</f>
        <v>67.399999999999935</v>
      </c>
      <c r="F61" s="1913">
        <f t="shared" ref="F61:G63" si="27">IFERROR(I61*1000000/$C61,"NA")</f>
        <v>74.338388343740647</v>
      </c>
      <c r="G61" s="1913">
        <f t="shared" si="27"/>
        <v>0.9911785112498751</v>
      </c>
      <c r="H61" s="691">
        <v>194.59130041726166</v>
      </c>
      <c r="I61" s="691">
        <v>0.21462319968444973</v>
      </c>
      <c r="J61" s="2911">
        <v>2.8616426624593293E-3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4.5692239737967206</v>
      </c>
      <c r="D68" s="1909" t="s">
        <v>1814</v>
      </c>
      <c r="E68" s="628"/>
      <c r="F68" s="628"/>
      <c r="G68" s="628"/>
      <c r="H68" s="1913">
        <f>H69</f>
        <v>0.33492411727929949</v>
      </c>
      <c r="I68" s="1913" t="str">
        <f>I69</f>
        <v>NE</v>
      </c>
      <c r="J68" s="3085" t="str">
        <f>J69</f>
        <v>NE</v>
      </c>
    </row>
    <row r="69" spans="2:10" ht="18" customHeight="1" x14ac:dyDescent="0.2">
      <c r="B69" s="3105" t="s">
        <v>252</v>
      </c>
      <c r="C69" s="691">
        <v>4.5692239737967206</v>
      </c>
      <c r="D69" s="1909" t="s">
        <v>1814</v>
      </c>
      <c r="E69" s="3103">
        <f t="shared" ref="E69" si="30">IFERROR(H69*1000/$C69,"NA")</f>
        <v>73.299999999999969</v>
      </c>
      <c r="F69" s="3103" t="str">
        <f>IFERROR(I69*1000000/$C69,"NA")</f>
        <v>NA</v>
      </c>
      <c r="G69" s="3103" t="str">
        <f>IFERROR(J69*1000000/$C69,"NA")</f>
        <v>NA</v>
      </c>
      <c r="H69" s="691">
        <v>0.33492411727929949</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24820</v>
      </c>
      <c r="D81" s="1909" t="s">
        <v>1814</v>
      </c>
      <c r="E81" s="628"/>
      <c r="F81" s="628"/>
      <c r="G81" s="628"/>
      <c r="H81" s="1913">
        <f>IF(SUM(H82:H84,H86)=0,"NO",SUM(H82:H84,H86))</f>
        <v>1734.548238366785</v>
      </c>
      <c r="I81" s="1913">
        <f>IF(SUM(I82:I86)=0,"NO",SUM(I82:I86))</f>
        <v>9.9199999999999983E-2</v>
      </c>
      <c r="J81" s="3085">
        <f>IF(SUM(J82:J86)=0,"NO",SUM(J82:J86))</f>
        <v>0.74399999999999988</v>
      </c>
    </row>
    <row r="82" spans="2:10" ht="18" customHeight="1" x14ac:dyDescent="0.2">
      <c r="B82" s="282" t="s">
        <v>132</v>
      </c>
      <c r="C82" s="691">
        <v>24800</v>
      </c>
      <c r="D82" s="1909" t="s">
        <v>1814</v>
      </c>
      <c r="E82" s="1913">
        <f t="shared" ref="E82:E85" si="36">IFERROR(H82*1000/$C82,"NA")</f>
        <v>69.899999999999991</v>
      </c>
      <c r="F82" s="1913">
        <f t="shared" ref="F82:G85" si="37">IFERROR(I82*1000000/$C82,"NA")</f>
        <v>3.9999999999999996</v>
      </c>
      <c r="G82" s="1913">
        <f t="shared" si="37"/>
        <v>29.999999999999996</v>
      </c>
      <c r="H82" s="691">
        <v>1733.5199999999998</v>
      </c>
      <c r="I82" s="691">
        <v>9.9199999999999983E-2</v>
      </c>
      <c r="J82" s="2911">
        <v>0.74399999999999988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30588.849820823605</v>
      </c>
      <c r="D88" s="1909" t="s">
        <v>1814</v>
      </c>
      <c r="E88" s="628"/>
      <c r="F88" s="628"/>
      <c r="G88" s="628"/>
      <c r="H88" s="1913">
        <f>IF(SUM(H89:H92,H94,H96)=0,"NO",SUM(H89:H92,H94,H96))</f>
        <v>2245.6188637116848</v>
      </c>
      <c r="I88" s="3334">
        <f>IF(SUM(I89:I92,I94:I96)=0,"NE",SUM(I89:I92,I94:I96))</f>
        <v>3.6541319717361089</v>
      </c>
      <c r="J88" s="3335">
        <f>IF(SUM(J89:J92,J94:J96)=0,"NE",SUM(J89:J92,J94:J96))</f>
        <v>4.7004852553014342E-2</v>
      </c>
    </row>
    <row r="89" spans="2:10" ht="18" customHeight="1" x14ac:dyDescent="0.2">
      <c r="B89" s="282" t="s">
        <v>190</v>
      </c>
      <c r="C89" s="691">
        <v>15366.157499999999</v>
      </c>
      <c r="D89" s="1909" t="s">
        <v>1814</v>
      </c>
      <c r="E89" s="1913">
        <f t="shared" ref="E89:E91" si="39">IFERROR(H89*1000/$C89,"NA")</f>
        <v>73.600000000000009</v>
      </c>
      <c r="F89" s="1913">
        <f t="shared" ref="F89:G91" si="40">IFERROR(I89*1000000/$C89,"NA")</f>
        <v>7.0000000000000009</v>
      </c>
      <c r="G89" s="1913">
        <f t="shared" si="40"/>
        <v>2.0000000000000004</v>
      </c>
      <c r="H89" s="691">
        <v>1130.949192</v>
      </c>
      <c r="I89" s="3336">
        <v>0.10756310250000001</v>
      </c>
      <c r="J89" s="3337">
        <v>3.0732315000000007E-2</v>
      </c>
    </row>
    <row r="90" spans="2:10" ht="18" customHeight="1" x14ac:dyDescent="0.2">
      <c r="B90" s="282" t="s">
        <v>191</v>
      </c>
      <c r="C90" s="691">
        <v>1996.8803934043201</v>
      </c>
      <c r="D90" s="1909" t="s">
        <v>1814</v>
      </c>
      <c r="E90" s="1913">
        <f t="shared" si="39"/>
        <v>69.900000000000134</v>
      </c>
      <c r="F90" s="1913">
        <f t="shared" si="40"/>
        <v>7.0000000000000133</v>
      </c>
      <c r="G90" s="1913">
        <f t="shared" si="40"/>
        <v>2.0000000000000036</v>
      </c>
      <c r="H90" s="691">
        <v>139.58193949896224</v>
      </c>
      <c r="I90" s="3336">
        <v>1.3978162753830268E-2</v>
      </c>
      <c r="J90" s="3337">
        <v>3.9937607868086476E-3</v>
      </c>
    </row>
    <row r="91" spans="2:10" ht="18" customHeight="1" x14ac:dyDescent="0.2">
      <c r="B91" s="282" t="s">
        <v>167</v>
      </c>
      <c r="C91" s="691">
        <v>9454.1964068952202</v>
      </c>
      <c r="D91" s="1909" t="s">
        <v>1814</v>
      </c>
      <c r="E91" s="1913">
        <f t="shared" si="39"/>
        <v>67.399999999999991</v>
      </c>
      <c r="F91" s="1913">
        <f t="shared" si="40"/>
        <v>359.99999999999994</v>
      </c>
      <c r="G91" s="1913">
        <f t="shared" si="40"/>
        <v>0.8999999999999998</v>
      </c>
      <c r="H91" s="691">
        <v>637.21283782473779</v>
      </c>
      <c r="I91" s="3336">
        <v>3.4035107064822787</v>
      </c>
      <c r="J91" s="3337">
        <v>8.5087767662056953E-3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40</v>
      </c>
      <c r="D94" s="1909" t="s">
        <v>1814</v>
      </c>
      <c r="E94" s="1913">
        <f t="shared" ref="E94:E95" si="43">IFERROR(H94*1000/$C94,"NA")</f>
        <v>51.411918339265</v>
      </c>
      <c r="F94" s="1913">
        <f t="shared" si="42"/>
        <v>243</v>
      </c>
      <c r="G94" s="1913">
        <f t="shared" si="42"/>
        <v>1</v>
      </c>
      <c r="H94" s="691">
        <v>2.0564767335706002</v>
      </c>
      <c r="I94" s="3336">
        <v>9.7199999999999995E-3</v>
      </c>
      <c r="J94" s="3337">
        <v>4.0000000000000003E-5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3731.6155205240657</v>
      </c>
      <c r="D96" s="1909" t="s">
        <v>1814</v>
      </c>
      <c r="E96" s="628"/>
      <c r="F96" s="628"/>
      <c r="G96" s="628"/>
      <c r="H96" s="1913">
        <f>IF(SUM(H97:H98)=0,"NO",SUM(H97:H98))</f>
        <v>335.81841765441402</v>
      </c>
      <c r="I96" s="3334">
        <f>IF(SUM(I97:I98)=0,"NE",SUM(I97:I98))</f>
        <v>0.11936000000000001</v>
      </c>
      <c r="J96" s="3335">
        <f>IF(SUM(J97:J98)=0,"NE",SUM(J97:J98))</f>
        <v>3.7300000000000002E-3</v>
      </c>
    </row>
    <row r="97" spans="2:10" ht="18" customHeight="1" x14ac:dyDescent="0.2">
      <c r="B97" s="2572" t="s">
        <v>2260</v>
      </c>
      <c r="C97" s="691">
        <v>3730</v>
      </c>
      <c r="D97" s="1909" t="s">
        <v>1814</v>
      </c>
      <c r="E97" s="3103">
        <f t="shared" ref="E97" si="44">IFERROR(H97*1000/$C97,"NA")</f>
        <v>90</v>
      </c>
      <c r="F97" s="3103">
        <f>IFERROR(I97*1000000/$C97,"NA")</f>
        <v>32.000000000000007</v>
      </c>
      <c r="G97" s="3103">
        <f>IFERROR(J97*1000000/$C97,"NA")</f>
        <v>1.0000000000000002</v>
      </c>
      <c r="H97" s="691">
        <v>335.7</v>
      </c>
      <c r="I97" s="3336">
        <v>0.11936000000000001</v>
      </c>
      <c r="J97" s="3337">
        <v>3.7300000000000002E-3</v>
      </c>
    </row>
    <row r="98" spans="2:10" ht="18" customHeight="1" x14ac:dyDescent="0.2">
      <c r="B98" s="2572" t="s">
        <v>252</v>
      </c>
      <c r="C98" s="691">
        <v>1.6155205240656398</v>
      </c>
      <c r="D98" s="1909" t="s">
        <v>1814</v>
      </c>
      <c r="E98" s="3103">
        <f t="shared" ref="E98" si="45">IFERROR(H98*1000/$C98,"NA")</f>
        <v>73.29999999999977</v>
      </c>
      <c r="F98" s="3103" t="str">
        <f>IFERROR(I98*1000000/$C98,"NA")</f>
        <v>NA</v>
      </c>
      <c r="G98" s="3103" t="str">
        <f>IFERROR(J98*1000000/$C98,"NA")</f>
        <v>NA</v>
      </c>
      <c r="H98" s="691">
        <v>0.11841765441401104</v>
      </c>
      <c r="I98" s="3336" t="s">
        <v>2154</v>
      </c>
      <c r="J98" s="3337" t="s">
        <v>2154</v>
      </c>
    </row>
    <row r="99" spans="2:10" ht="18" customHeight="1" x14ac:dyDescent="0.2">
      <c r="B99" s="1241" t="s">
        <v>193</v>
      </c>
      <c r="C99" s="1913">
        <f>IF(SUM(C100:C104)=0,"NO",SUM(C100:C104))</f>
        <v>4988.7119484184468</v>
      </c>
      <c r="D99" s="1909" t="s">
        <v>1814</v>
      </c>
      <c r="E99" s="628"/>
      <c r="F99" s="628"/>
      <c r="G99" s="628"/>
      <c r="H99" s="1913">
        <f>IF(SUM(H100:H103)=0,"NO",SUM(H100:H103))</f>
        <v>265.04860419300388</v>
      </c>
      <c r="I99" s="1913">
        <f>IF(SUM(I100:I104)=0,"NO",SUM(I100:I104))</f>
        <v>6.2581725205952315E-2</v>
      </c>
      <c r="J99" s="3085">
        <f>IF(SUM(J100:J104)=0,"NO",SUM(J100:J104))</f>
        <v>5.5225932091513348E-4</v>
      </c>
    </row>
    <row r="100" spans="2:10" ht="18" customHeight="1" x14ac:dyDescent="0.2">
      <c r="B100" s="282" t="s">
        <v>132</v>
      </c>
      <c r="C100" s="1913">
        <f>IF(SUM(C106,C113:C116)=0,"NO",SUM(C106,C113:C116))</f>
        <v>575.00427649705694</v>
      </c>
      <c r="D100" s="1909" t="s">
        <v>1814</v>
      </c>
      <c r="E100" s="3103">
        <f t="shared" ref="E100:E104" si="46">IFERROR(H100*1000/$C100,"NA")</f>
        <v>65.793234406655074</v>
      </c>
      <c r="F100" s="3103">
        <f t="shared" ref="F100:G104" si="47">IFERROR(I100*1000000/$C100,"NA")</f>
        <v>48.808037393661024</v>
      </c>
      <c r="G100" s="3103">
        <f t="shared" si="47"/>
        <v>0.1952321495746441</v>
      </c>
      <c r="H100" s="1913">
        <f>IF(SUM(H106,H113:H116)=0,"NO",SUM(H106,H113:H116))</f>
        <v>37.831391148399973</v>
      </c>
      <c r="I100" s="1913">
        <f>IF(SUM(I106,I113:I116)=0,"NO",SUM(I106,I113:I116))</f>
        <v>2.8064830228783359E-2</v>
      </c>
      <c r="J100" s="3085">
        <f>IF(SUM(J106,J113:J116)=0,"NO",SUM(J106,J113:J116))</f>
        <v>1.1225932091513343E-4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4400</v>
      </c>
      <c r="D102" s="1909" t="s">
        <v>1814</v>
      </c>
      <c r="E102" s="3103">
        <f t="shared" si="46"/>
        <v>51.411918339265</v>
      </c>
      <c r="F102" s="3103">
        <f t="shared" si="47"/>
        <v>7.8447488584474909</v>
      </c>
      <c r="G102" s="3103">
        <f t="shared" si="47"/>
        <v>0.1</v>
      </c>
      <c r="H102" s="1913">
        <f t="shared" si="48"/>
        <v>226.21244069276599</v>
      </c>
      <c r="I102" s="1913">
        <f t="shared" si="48"/>
        <v>3.4516894977168956E-2</v>
      </c>
      <c r="J102" s="3085">
        <f t="shared" si="48"/>
        <v>4.4000000000000002E-4</v>
      </c>
    </row>
    <row r="103" spans="2:10" ht="18" customHeight="1" x14ac:dyDescent="0.2">
      <c r="B103" s="282" t="s">
        <v>175</v>
      </c>
      <c r="C103" s="1913">
        <f>IF(SUM(C109,C120)=0,"NO",SUM(C109,C120))</f>
        <v>13.707671921390199</v>
      </c>
      <c r="D103" s="1909" t="s">
        <v>1814</v>
      </c>
      <c r="E103" s="3103">
        <f t="shared" si="46"/>
        <v>73.299999999999756</v>
      </c>
      <c r="F103" s="3103" t="str">
        <f t="shared" si="47"/>
        <v>NA</v>
      </c>
      <c r="G103" s="3103" t="str">
        <f t="shared" si="47"/>
        <v>NA</v>
      </c>
      <c r="H103" s="1913">
        <f t="shared" si="48"/>
        <v>1.0047723518378984</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4400</v>
      </c>
      <c r="D105" s="1909" t="s">
        <v>1814</v>
      </c>
      <c r="E105" s="628"/>
      <c r="F105" s="628"/>
      <c r="G105" s="628"/>
      <c r="H105" s="1913">
        <f>IF(SUM(H106:H109)=0,"NO",SUM(H106:H109))</f>
        <v>226.21244069276599</v>
      </c>
      <c r="I105" s="1913">
        <f>IF(SUM(I106:I110)=0,"NO",SUM(I106:I110))</f>
        <v>3.4516894977168956E-2</v>
      </c>
      <c r="J105" s="3085">
        <f>IF(SUM(J106:J110)=0,"NO",SUM(J106:J110))</f>
        <v>4.4000000000000002E-4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4400</v>
      </c>
      <c r="D108" s="1909" t="s">
        <v>1814</v>
      </c>
      <c r="E108" s="3103">
        <f t="shared" si="49"/>
        <v>51.411918339265</v>
      </c>
      <c r="F108" s="3103">
        <f t="shared" si="50"/>
        <v>7.8447488584474909</v>
      </c>
      <c r="G108" s="3103">
        <f t="shared" si="50"/>
        <v>0.1</v>
      </c>
      <c r="H108" s="691">
        <v>226.21244069276599</v>
      </c>
      <c r="I108" s="691">
        <v>3.4516894977168956E-2</v>
      </c>
      <c r="J108" s="2911">
        <v>4.4000000000000002E-4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588.71194841844715</v>
      </c>
      <c r="D111" s="1909" t="s">
        <v>1814</v>
      </c>
      <c r="E111" s="628"/>
      <c r="F111" s="628"/>
      <c r="G111" s="628"/>
      <c r="H111" s="1913">
        <f>H112</f>
        <v>38.836163500237873</v>
      </c>
      <c r="I111" s="1913">
        <f>I112</f>
        <v>2.8064830228783359E-2</v>
      </c>
      <c r="J111" s="3085">
        <f>J112</f>
        <v>1.1225932091513343E-4</v>
      </c>
    </row>
    <row r="112" spans="2:10" ht="18" customHeight="1" x14ac:dyDescent="0.2">
      <c r="B112" s="3089" t="s">
        <v>2148</v>
      </c>
      <c r="C112" s="3099">
        <f>IF(SUM(C113:C116,C118:C121)=0,"NO",SUM(C113:C116,C118:C121))</f>
        <v>588.71194841844715</v>
      </c>
      <c r="D112" s="3099" t="s">
        <v>1814</v>
      </c>
      <c r="E112" s="628"/>
      <c r="F112" s="628"/>
      <c r="G112" s="628"/>
      <c r="H112" s="3099">
        <f>IF(SUM(H113:H116,H118:H120)=0,"NO",SUM(H113:H116,H118:H120))</f>
        <v>38.836163500237873</v>
      </c>
      <c r="I112" s="3099">
        <f>IF(SUM(I113:I116,I118:I121)=0,"NO",SUM(I113:I116,I118:I121))</f>
        <v>2.8064830228783359E-2</v>
      </c>
      <c r="J112" s="3100">
        <f>IF(SUM(J113:J116,J118:J121)=0,"NO",SUM(J113:J116,J118:J121))</f>
        <v>1.1225932091513343E-4</v>
      </c>
    </row>
    <row r="113" spans="2:10" ht="18" customHeight="1" x14ac:dyDescent="0.2">
      <c r="B113" s="282" t="s">
        <v>167</v>
      </c>
      <c r="C113" s="691">
        <v>575.00427649705694</v>
      </c>
      <c r="D113" s="1913" t="s">
        <v>1814</v>
      </c>
      <c r="E113" s="1913">
        <f t="shared" ref="E113:E115" si="51">IFERROR(H113*1000/$C113,"NA")</f>
        <v>65.793234406655074</v>
      </c>
      <c r="F113" s="1913">
        <f t="shared" ref="F113:G115" si="52">IFERROR(I113*1000000/$C113,"NA")</f>
        <v>48.808037393661024</v>
      </c>
      <c r="G113" s="1913">
        <f t="shared" si="52"/>
        <v>0.1952321495746441</v>
      </c>
      <c r="H113" s="691">
        <v>37.831391148399973</v>
      </c>
      <c r="I113" s="691">
        <v>2.8064830228783359E-2</v>
      </c>
      <c r="J113" s="2911">
        <v>1.1225932091513343E-4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13.707671921390199</v>
      </c>
      <c r="D120" s="1909" t="s">
        <v>1814</v>
      </c>
      <c r="E120" s="3103">
        <f t="shared" si="53"/>
        <v>73.299999999999756</v>
      </c>
      <c r="F120" s="3103" t="str">
        <f t="shared" si="54"/>
        <v>NA</v>
      </c>
      <c r="G120" s="3103" t="str">
        <f t="shared" si="54"/>
        <v>NA</v>
      </c>
      <c r="H120" s="691">
        <v>1.0047723518378984</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298150.48126436019</v>
      </c>
      <c r="D10" s="3109" t="s">
        <v>1814</v>
      </c>
      <c r="E10" s="2135"/>
      <c r="F10" s="2135"/>
      <c r="G10" s="2135"/>
      <c r="H10" s="3109">
        <f>IF(SUM(H11:H15)=0,"NO",SUM(H11:H15))</f>
        <v>13119.620695746999</v>
      </c>
      <c r="I10" s="3109">
        <f>IF(SUM(I11:I16)=0,"NO",SUM(I11:I16))</f>
        <v>99.776396301818636</v>
      </c>
      <c r="J10" s="3109">
        <f>IF(SUM(J11:J16)=0,"NO",SUM(J11:J16))</f>
        <v>0.54180638504574485</v>
      </c>
      <c r="K10" s="420" t="str">
        <f>IF(SUM(K11:K16)=0,"NO",SUM(K11:K16))</f>
        <v>NO</v>
      </c>
    </row>
    <row r="11" spans="2:12" ht="18" customHeight="1" x14ac:dyDescent="0.2">
      <c r="B11" s="282" t="s">
        <v>132</v>
      </c>
      <c r="C11" s="1913">
        <f>IF(SUM(C18,C39,C60)=0,"NO",SUM(C18,C39,C60))</f>
        <v>88605.27126436017</v>
      </c>
      <c r="D11" s="3109" t="s">
        <v>1814</v>
      </c>
      <c r="E11" s="1913">
        <f t="shared" ref="E11:E16" si="0">IFERROR(H11*1000/$C11,"NA")</f>
        <v>68.024407681004178</v>
      </c>
      <c r="F11" s="1913">
        <f t="shared" ref="F11:G16" si="1">IFERROR(I11*1000000/$C11,"NA")</f>
        <v>9.6366808990366017</v>
      </c>
      <c r="G11" s="1913">
        <f t="shared" si="1"/>
        <v>2.5744211225875069</v>
      </c>
      <c r="H11" s="1913">
        <f>IF(SUM(H18,H39,H60)=0,"NO",SUM(H18,H39,H60))</f>
        <v>6027.3210951727997</v>
      </c>
      <c r="I11" s="1913">
        <f>IF(SUM(I18,I39,I60)=0,"NO",SUM(I18,I39,I60))</f>
        <v>0.85386072514721634</v>
      </c>
      <c r="J11" s="1913">
        <f>IF(SUM(J18,J39,J60)=0,"NO",SUM(J18,J39,J60))</f>
        <v>0.22810728191556467</v>
      </c>
      <c r="K11" s="3085" t="str">
        <f>IF(SUM(K18,K39,K60)=0,"NO",SUM(K18,K39,K60))</f>
        <v>NO</v>
      </c>
    </row>
    <row r="12" spans="2:12" ht="18" customHeight="1" x14ac:dyDescent="0.2">
      <c r="B12" s="282" t="s">
        <v>133</v>
      </c>
      <c r="C12" s="1913">
        <f t="shared" ref="C12:C16" si="2">IF(SUM(C19,C40,C61)=0,"NO",SUM(C19,C40,C61))</f>
        <v>5799.9</v>
      </c>
      <c r="D12" s="3109" t="s">
        <v>1814</v>
      </c>
      <c r="E12" s="1913">
        <f t="shared" si="0"/>
        <v>91.810376040966233</v>
      </c>
      <c r="F12" s="1913">
        <f t="shared" si="1"/>
        <v>0.95238095238095233</v>
      </c>
      <c r="G12" s="1913">
        <f t="shared" si="1"/>
        <v>0.66666666666666652</v>
      </c>
      <c r="H12" s="1913">
        <f t="shared" ref="H12:K16" si="3">IF(SUM(H19,H40,H61)=0,"NO",SUM(H19,H40,H61))</f>
        <v>532.49099999999999</v>
      </c>
      <c r="I12" s="1913">
        <f t="shared" si="3"/>
        <v>5.5237142857142854E-3</v>
      </c>
      <c r="J12" s="1913">
        <f t="shared" si="3"/>
        <v>3.8665999999999991E-3</v>
      </c>
      <c r="K12" s="3085" t="str">
        <f t="shared" si="3"/>
        <v>NO</v>
      </c>
    </row>
    <row r="13" spans="2:12" ht="18" customHeight="1" x14ac:dyDescent="0.2">
      <c r="B13" s="282" t="s">
        <v>134</v>
      </c>
      <c r="C13" s="1913">
        <f t="shared" si="2"/>
        <v>127200.00000000001</v>
      </c>
      <c r="D13" s="3109" t="s">
        <v>1814</v>
      </c>
      <c r="E13" s="1913">
        <f t="shared" si="0"/>
        <v>51.570822331558162</v>
      </c>
      <c r="F13" s="1913">
        <f t="shared" si="1"/>
        <v>0.90909090909090928</v>
      </c>
      <c r="G13" s="1913">
        <f t="shared" si="1"/>
        <v>0.90909090909090906</v>
      </c>
      <c r="H13" s="1913">
        <f t="shared" si="3"/>
        <v>6559.8086005741989</v>
      </c>
      <c r="I13" s="1913">
        <f t="shared" si="3"/>
        <v>0.11563636363636368</v>
      </c>
      <c r="J13" s="1913">
        <f t="shared" si="3"/>
        <v>0.11563636363636365</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76545.31</v>
      </c>
      <c r="D16" s="3109" t="s">
        <v>1814</v>
      </c>
      <c r="E16" s="1913">
        <f t="shared" si="0"/>
        <v>70.529758387548512</v>
      </c>
      <c r="F16" s="1913">
        <f t="shared" si="1"/>
        <v>1290.7567491561447</v>
      </c>
      <c r="G16" s="1913">
        <f t="shared" si="1"/>
        <v>2.5370089884516305</v>
      </c>
      <c r="H16" s="1913">
        <f t="shared" si="3"/>
        <v>5398.7222200000006</v>
      </c>
      <c r="I16" s="1913">
        <f t="shared" si="3"/>
        <v>98.801375498749337</v>
      </c>
      <c r="J16" s="1913">
        <f t="shared" si="3"/>
        <v>0.19419613949381648</v>
      </c>
      <c r="K16" s="3085" t="str">
        <f t="shared" si="3"/>
        <v>NO</v>
      </c>
    </row>
    <row r="17" spans="2:11" ht="18" customHeight="1" x14ac:dyDescent="0.2">
      <c r="B17" s="1241" t="s">
        <v>1942</v>
      </c>
      <c r="C17" s="3109">
        <f>IF(SUM(C18:C23)=0,"NO",SUM(C18:C23))</f>
        <v>61365.21</v>
      </c>
      <c r="D17" s="3109" t="s">
        <v>1814</v>
      </c>
      <c r="E17" s="628"/>
      <c r="F17" s="628"/>
      <c r="G17" s="628"/>
      <c r="H17" s="3078">
        <f>IF(SUM(H18:H22)=0,"NO",SUM(H18:H22))</f>
        <v>3650.3461010439078</v>
      </c>
      <c r="I17" s="3078">
        <f>IF(SUM(I18:I23)=0,"NO",SUM(I18:I23))</f>
        <v>5.8236242099567098E-2</v>
      </c>
      <c r="J17" s="3110">
        <f>IF(SUM(J18:J23)=0,"NO",SUM(J18:J23))</f>
        <v>7.3182380194805191E-2</v>
      </c>
      <c r="K17" s="3085" t="str">
        <f>IF(SUM(K18:K23)=0,"NO",SUM(K18:K23))</f>
        <v>NO</v>
      </c>
    </row>
    <row r="18" spans="2:11" ht="18" customHeight="1" x14ac:dyDescent="0.2">
      <c r="B18" s="282" t="s">
        <v>132</v>
      </c>
      <c r="C18" s="3109">
        <f>IF(SUM(C26,C33)=0,"NO",SUM(C26,C33))</f>
        <v>19520</v>
      </c>
      <c r="D18" s="3109" t="s">
        <v>1814</v>
      </c>
      <c r="E18" s="1913">
        <f t="shared" ref="E18" si="4">IFERROR(H18*1000/$C18,"NA")</f>
        <v>66.423770491803296</v>
      </c>
      <c r="F18" s="1913">
        <f t="shared" ref="F18:G23" si="5">IFERROR(I18*1000000/$C18,"NA")</f>
        <v>0.87675644028103039</v>
      </c>
      <c r="G18" s="1913">
        <f t="shared" si="5"/>
        <v>1.7789812646370018</v>
      </c>
      <c r="H18" s="3109">
        <f>IF(SUM(H26,H33)=0,"NO",SUM(H26,H33))</f>
        <v>1296.5920000000003</v>
      </c>
      <c r="I18" s="3109">
        <f>IF(SUM(I26,I33)=0,"NO",SUM(I26,I33))</f>
        <v>1.7114285714285714E-2</v>
      </c>
      <c r="J18" s="3109">
        <f>IF(SUM(J26,J33)=0,"NO",SUM(J26,J33))</f>
        <v>3.4725714285714276E-2</v>
      </c>
      <c r="K18" s="3085" t="str">
        <f>IF(SUM(K26,K33)=0,"NO",SUM(K26,K33))</f>
        <v>NO</v>
      </c>
    </row>
    <row r="19" spans="2:11" ht="18" customHeight="1" x14ac:dyDescent="0.2">
      <c r="B19" s="282" t="s">
        <v>133</v>
      </c>
      <c r="C19" s="3109">
        <f t="shared" ref="C19:C21" si="6">IF(SUM(C27,C34)=0,"NO",SUM(C27,C34))</f>
        <v>5299.9</v>
      </c>
      <c r="D19" s="3109" t="s">
        <v>1814</v>
      </c>
      <c r="E19" s="1913">
        <f t="shared" ref="E19:E23" si="7">IFERROR(H19*1000/$C19,"NA")</f>
        <v>91.792486650691529</v>
      </c>
      <c r="F19" s="1913">
        <f t="shared" si="5"/>
        <v>0.95238095238095233</v>
      </c>
      <c r="G19" s="1913">
        <f t="shared" si="5"/>
        <v>0.66666666666666652</v>
      </c>
      <c r="H19" s="3109">
        <f t="shared" ref="H19:K21" si="8">IF(SUM(H27,H34)=0,"NO",SUM(H27,H34))</f>
        <v>486.49099999999999</v>
      </c>
      <c r="I19" s="3109">
        <f t="shared" si="8"/>
        <v>5.047523809523809E-3</v>
      </c>
      <c r="J19" s="3109">
        <f t="shared" si="8"/>
        <v>3.5332666666666656E-3</v>
      </c>
      <c r="K19" s="3085" t="str">
        <f t="shared" si="8"/>
        <v>NO</v>
      </c>
    </row>
    <row r="20" spans="2:11" ht="18" customHeight="1" x14ac:dyDescent="0.2">
      <c r="B20" s="282" t="s">
        <v>134</v>
      </c>
      <c r="C20" s="3109">
        <f t="shared" si="6"/>
        <v>36200</v>
      </c>
      <c r="D20" s="3109" t="s">
        <v>1814</v>
      </c>
      <c r="E20" s="1913">
        <f t="shared" si="7"/>
        <v>51.581853619997453</v>
      </c>
      <c r="F20" s="1913">
        <f t="shared" si="5"/>
        <v>0.90909090909090917</v>
      </c>
      <c r="G20" s="1913">
        <f t="shared" si="5"/>
        <v>0.90909090909090917</v>
      </c>
      <c r="H20" s="3109">
        <f t="shared" si="8"/>
        <v>1867.2631010439077</v>
      </c>
      <c r="I20" s="3109">
        <f t="shared" si="8"/>
        <v>3.2909090909090909E-2</v>
      </c>
      <c r="J20" s="3109">
        <f t="shared" si="8"/>
        <v>3.2909090909090909E-2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61365.21</v>
      </c>
      <c r="D25" s="3078" t="s">
        <v>1814</v>
      </c>
      <c r="E25" s="628"/>
      <c r="F25" s="628"/>
      <c r="G25" s="628"/>
      <c r="H25" s="3078">
        <f>IF(SUM(H26:H30)=0,"NO",SUM(H26:H30))</f>
        <v>3650.3461010439078</v>
      </c>
      <c r="I25" s="3078">
        <f>IF(SUM(I26:I31)=0,"NO",SUM(I26:I31))</f>
        <v>5.8236242099567098E-2</v>
      </c>
      <c r="J25" s="3110">
        <f>IF(SUM(J26:J31)=0,"NO",SUM(J26:J31))</f>
        <v>7.3182380194805191E-2</v>
      </c>
      <c r="K25" s="3085" t="str">
        <f>IF(SUM(K26:K31)=0,"NO",SUM(K26:K31))</f>
        <v>NO</v>
      </c>
    </row>
    <row r="26" spans="2:11" ht="18" customHeight="1" x14ac:dyDescent="0.2">
      <c r="B26" s="282" t="s">
        <v>132</v>
      </c>
      <c r="C26" s="691">
        <v>19520</v>
      </c>
      <c r="D26" s="3078" t="s">
        <v>1814</v>
      </c>
      <c r="E26" s="1913">
        <f t="shared" ref="E26:E31" si="9">IFERROR(H26*1000/$C26,"NA")</f>
        <v>66.423770491803296</v>
      </c>
      <c r="F26" s="1913">
        <f t="shared" ref="F26:G31" si="10">IFERROR(I26*1000000/$C26,"NA")</f>
        <v>0.87675644028103039</v>
      </c>
      <c r="G26" s="1913">
        <f t="shared" si="10"/>
        <v>1.7789812646370018</v>
      </c>
      <c r="H26" s="691">
        <v>1296.5920000000003</v>
      </c>
      <c r="I26" s="691">
        <v>1.7114285714285714E-2</v>
      </c>
      <c r="J26" s="691">
        <v>3.4725714285714276E-2</v>
      </c>
      <c r="K26" s="2911" t="s">
        <v>2146</v>
      </c>
    </row>
    <row r="27" spans="2:11" ht="18" customHeight="1" x14ac:dyDescent="0.2">
      <c r="B27" s="282" t="s">
        <v>133</v>
      </c>
      <c r="C27" s="691">
        <v>5299.9</v>
      </c>
      <c r="D27" s="3078" t="s">
        <v>1814</v>
      </c>
      <c r="E27" s="1913">
        <f t="shared" si="9"/>
        <v>91.792486650691529</v>
      </c>
      <c r="F27" s="1913">
        <f t="shared" si="10"/>
        <v>0.95238095238095233</v>
      </c>
      <c r="G27" s="1913">
        <f t="shared" si="10"/>
        <v>0.66666666666666652</v>
      </c>
      <c r="H27" s="691">
        <v>486.49099999999999</v>
      </c>
      <c r="I27" s="691">
        <v>5.047523809523809E-3</v>
      </c>
      <c r="J27" s="691">
        <v>3.5332666666666656E-3</v>
      </c>
      <c r="K27" s="2911" t="s">
        <v>2146</v>
      </c>
    </row>
    <row r="28" spans="2:11" ht="18" customHeight="1" x14ac:dyDescent="0.2">
      <c r="B28" s="282" t="s">
        <v>134</v>
      </c>
      <c r="C28" s="691">
        <v>36200</v>
      </c>
      <c r="D28" s="3078" t="s">
        <v>1814</v>
      </c>
      <c r="E28" s="1913">
        <f t="shared" si="9"/>
        <v>51.581853619997453</v>
      </c>
      <c r="F28" s="1913">
        <f t="shared" si="10"/>
        <v>0.90909090909090917</v>
      </c>
      <c r="G28" s="1913">
        <f t="shared" si="10"/>
        <v>0.90909090909090917</v>
      </c>
      <c r="H28" s="691">
        <v>1867.2631010439077</v>
      </c>
      <c r="I28" s="691">
        <v>3.2909090909090909E-2</v>
      </c>
      <c r="J28" s="691">
        <v>3.2909090909090909E-2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187675.27126436017</v>
      </c>
      <c r="D38" s="3078" t="s">
        <v>1814</v>
      </c>
      <c r="E38" s="628"/>
      <c r="F38" s="628"/>
      <c r="G38" s="628"/>
      <c r="H38" s="1913">
        <f>IF(SUM(H39:H43)=0,"NO",SUM(H39:H43))</f>
        <v>6042.3745947030902</v>
      </c>
      <c r="I38" s="1913">
        <f>IF(SUM(I39:I44)=0,"NO",SUM(I39:I44))</f>
        <v>99.537112440671436</v>
      </c>
      <c r="J38" s="1913">
        <f>IF(SUM(J39:J44)=0,"NO",SUM(J39:J44))</f>
        <v>0.28649067151760627</v>
      </c>
      <c r="K38" s="3085" t="str">
        <f>IF(SUM(K39:K44)=0,"NO",SUM(K39:K44))</f>
        <v>NO</v>
      </c>
    </row>
    <row r="39" spans="2:11" ht="18" customHeight="1" x14ac:dyDescent="0.2">
      <c r="B39" s="282" t="s">
        <v>132</v>
      </c>
      <c r="C39" s="3109">
        <f>IF(SUM(C47,C54)=0,"NO",SUM(C47,C54))</f>
        <v>19975.271264360174</v>
      </c>
      <c r="D39" s="3078" t="s">
        <v>1814</v>
      </c>
      <c r="E39" s="1913">
        <f t="shared" ref="E39:E44" si="13">IFERROR(H39*1000/$C39,"NA")</f>
        <v>65.272159657680689</v>
      </c>
      <c r="F39" s="1913">
        <f t="shared" ref="F39:G44" si="14">IFERROR(I39*1000000/$C39,"NA")</f>
        <v>32.825527709113402</v>
      </c>
      <c r="G39" s="1913">
        <f t="shared" si="14"/>
        <v>0.56310796222257709</v>
      </c>
      <c r="H39" s="1913">
        <f>IF(SUM(H47,H54)=0,"NO",SUM(H47,H54))</f>
        <v>1303.8290951727986</v>
      </c>
      <c r="I39" s="1913">
        <f>IF(SUM(I47,I54)=0,"NO",SUM(I47,I54))</f>
        <v>0.65569882038531158</v>
      </c>
      <c r="J39" s="1913">
        <f>IF(SUM(J47,J54)=0,"NO",SUM(J47,J54))</f>
        <v>1.1248234296517057E-2</v>
      </c>
      <c r="K39" s="3085" t="str">
        <f>IF(SUM(K47,K54)=0,"NO",SUM(K47,K54))</f>
        <v>NO</v>
      </c>
    </row>
    <row r="40" spans="2:11" ht="18" customHeight="1" x14ac:dyDescent="0.2">
      <c r="B40" s="282" t="s">
        <v>133</v>
      </c>
      <c r="C40" s="3109">
        <f t="shared" ref="C40:C42" si="15">IF(SUM(C48,C55)=0,"NO",SUM(C48,C55))</f>
        <v>500</v>
      </c>
      <c r="D40" s="3078" t="s">
        <v>1814</v>
      </c>
      <c r="E40" s="1913">
        <f t="shared" si="13"/>
        <v>92</v>
      </c>
      <c r="F40" s="1913">
        <f t="shared" si="14"/>
        <v>0.95238095238095244</v>
      </c>
      <c r="G40" s="1913">
        <f t="shared" si="14"/>
        <v>0.66666666666666663</v>
      </c>
      <c r="H40" s="1913">
        <f t="shared" ref="H40:K42" si="16">IF(SUM(H48,H55)=0,"NO",SUM(H48,H55))</f>
        <v>46</v>
      </c>
      <c r="I40" s="1913">
        <f t="shared" si="16"/>
        <v>4.7619047619047619E-4</v>
      </c>
      <c r="J40" s="1913">
        <f t="shared" si="16"/>
        <v>3.3333333333333332E-4</v>
      </c>
      <c r="K40" s="3085" t="str">
        <f t="shared" si="16"/>
        <v>NO</v>
      </c>
    </row>
    <row r="41" spans="2:11" ht="18" customHeight="1" x14ac:dyDescent="0.2">
      <c r="B41" s="282" t="s">
        <v>134</v>
      </c>
      <c r="C41" s="3109">
        <f t="shared" si="15"/>
        <v>91000.000000000015</v>
      </c>
      <c r="D41" s="3078" t="s">
        <v>1814</v>
      </c>
      <c r="E41" s="1913">
        <f t="shared" si="13"/>
        <v>51.566434060772423</v>
      </c>
      <c r="F41" s="1913">
        <f t="shared" si="14"/>
        <v>0.90909090909090939</v>
      </c>
      <c r="G41" s="1913">
        <f t="shared" si="14"/>
        <v>0.90909090909090906</v>
      </c>
      <c r="H41" s="1913">
        <f t="shared" si="16"/>
        <v>4692.5454995302916</v>
      </c>
      <c r="I41" s="1913">
        <f t="shared" si="16"/>
        <v>8.272727272727276E-2</v>
      </c>
      <c r="J41" s="1913">
        <f t="shared" si="16"/>
        <v>8.2727272727272733E-2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76200</v>
      </c>
      <c r="D44" s="3078" t="s">
        <v>1814</v>
      </c>
      <c r="E44" s="1913">
        <f t="shared" si="13"/>
        <v>70.423400000000015</v>
      </c>
      <c r="F44" s="1913">
        <f t="shared" si="14"/>
        <v>1296.5644377569904</v>
      </c>
      <c r="G44" s="1913">
        <f t="shared" si="14"/>
        <v>2.5220712750719576</v>
      </c>
      <c r="H44" s="1913">
        <f>IF(SUM(H52,H58)=0,"NO",SUM(H52,H58))</f>
        <v>5366.2630800000006</v>
      </c>
      <c r="I44" s="1913">
        <f>IF(SUM(I52,I58)=0,"NO",SUM(I52,I58))</f>
        <v>98.798210157082664</v>
      </c>
      <c r="J44" s="1913">
        <f>IF(SUM(J52,J58)=0,"NO",SUM(J52,J58))</f>
        <v>0.19218183116048315</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184109.65147453087</v>
      </c>
      <c r="D46" s="3078" t="s">
        <v>1814</v>
      </c>
      <c r="E46" s="628"/>
      <c r="F46" s="628"/>
      <c r="G46" s="628"/>
      <c r="H46" s="1913">
        <f>IF(SUM(H47:H51)=0,"NO",SUM(H47:H51))</f>
        <v>5801.6204861254664</v>
      </c>
      <c r="I46" s="1913">
        <f>IF(SUM(I47:I52)=0,"NO",SUM(I47:I52))</f>
        <v>98.908460243546685</v>
      </c>
      <c r="J46" s="1913">
        <f>IF(SUM(J47:J52)=0,"NO",SUM(J47:J52))</f>
        <v>0.28509366663510682</v>
      </c>
      <c r="K46" s="3085" t="str">
        <f>IF(SUM(K47:K52)=0,"NO",SUM(K47:K52))</f>
        <v>NO</v>
      </c>
    </row>
    <row r="47" spans="2:11" ht="18" customHeight="1" x14ac:dyDescent="0.2">
      <c r="B47" s="282" t="s">
        <v>132</v>
      </c>
      <c r="C47" s="691">
        <v>16409.651474530834</v>
      </c>
      <c r="D47" s="3078" t="s">
        <v>1814</v>
      </c>
      <c r="E47" s="1913">
        <f t="shared" ref="E47:E52" si="17">IFERROR(H47*1000/$C47,"NA")</f>
        <v>64.783520128087815</v>
      </c>
      <c r="F47" s="1913">
        <f t="shared" ref="F47:G52" si="18">IFERROR(I47*1000000/$C47,"NA")</f>
        <v>1.6482143635130169</v>
      </c>
      <c r="G47" s="1913">
        <f t="shared" si="18"/>
        <v>0.60033142259648586</v>
      </c>
      <c r="H47" s="691">
        <v>1063.0749865951743</v>
      </c>
      <c r="I47" s="691">
        <v>2.7046623260564277E-2</v>
      </c>
      <c r="J47" s="691">
        <v>9.8512294140176183E-3</v>
      </c>
      <c r="K47" s="2911" t="s">
        <v>2146</v>
      </c>
    </row>
    <row r="48" spans="2:11" ht="18" customHeight="1" x14ac:dyDescent="0.2">
      <c r="B48" s="282" t="s">
        <v>133</v>
      </c>
      <c r="C48" s="691">
        <v>500</v>
      </c>
      <c r="D48" s="3078" t="s">
        <v>1814</v>
      </c>
      <c r="E48" s="1913">
        <f t="shared" si="17"/>
        <v>92</v>
      </c>
      <c r="F48" s="1913">
        <f t="shared" si="18"/>
        <v>0.95238095238095244</v>
      </c>
      <c r="G48" s="1913">
        <f t="shared" si="18"/>
        <v>0.66666666666666663</v>
      </c>
      <c r="H48" s="691">
        <v>46</v>
      </c>
      <c r="I48" s="691">
        <v>4.7619047619047619E-4</v>
      </c>
      <c r="J48" s="691">
        <v>3.3333333333333332E-4</v>
      </c>
      <c r="K48" s="2911" t="s">
        <v>2146</v>
      </c>
    </row>
    <row r="49" spans="2:11" ht="18" customHeight="1" x14ac:dyDescent="0.2">
      <c r="B49" s="282" t="s">
        <v>134</v>
      </c>
      <c r="C49" s="691">
        <v>91000.000000000015</v>
      </c>
      <c r="D49" s="3078" t="s">
        <v>1814</v>
      </c>
      <c r="E49" s="1913">
        <f t="shared" si="17"/>
        <v>51.566434060772423</v>
      </c>
      <c r="F49" s="1913">
        <f t="shared" si="18"/>
        <v>0.90909090909090939</v>
      </c>
      <c r="G49" s="1913">
        <f t="shared" si="18"/>
        <v>0.90909090909090906</v>
      </c>
      <c r="H49" s="691">
        <v>4692.5454995302916</v>
      </c>
      <c r="I49" s="691">
        <v>8.272727272727276E-2</v>
      </c>
      <c r="J49" s="691">
        <v>8.2727272727272733E-2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76200</v>
      </c>
      <c r="D52" s="3078" t="s">
        <v>1814</v>
      </c>
      <c r="E52" s="1913">
        <f t="shared" si="17"/>
        <v>70.423400000000015</v>
      </c>
      <c r="F52" s="1913">
        <f t="shared" si="18"/>
        <v>1296.5644377569904</v>
      </c>
      <c r="G52" s="1913">
        <f t="shared" si="18"/>
        <v>2.5220712750719576</v>
      </c>
      <c r="H52" s="691">
        <v>5366.2630800000006</v>
      </c>
      <c r="I52" s="691">
        <v>98.798210157082664</v>
      </c>
      <c r="J52" s="691">
        <v>0.19218183116048315</v>
      </c>
      <c r="K52" s="2911" t="s">
        <v>2146</v>
      </c>
    </row>
    <row r="53" spans="2:11" ht="18" customHeight="1" x14ac:dyDescent="0.2">
      <c r="B53" s="1242" t="s">
        <v>205</v>
      </c>
      <c r="C53" s="3078">
        <f>IF(SUM(C54:C58)=0,"NO",SUM(C54:C58))</f>
        <v>3565.6197898293399</v>
      </c>
      <c r="D53" s="3078" t="s">
        <v>1814</v>
      </c>
      <c r="E53" s="628"/>
      <c r="F53" s="628"/>
      <c r="G53" s="628"/>
      <c r="H53" s="3078">
        <f>IF(SUM(H54:H57)=0,"NO",SUM(H54:H57))</f>
        <v>240.75410857762421</v>
      </c>
      <c r="I53" s="3078">
        <f>IF(SUM(I54:I58)=0,"NO",SUM(I54:I58))</f>
        <v>0.62865219712474729</v>
      </c>
      <c r="J53" s="3078">
        <f>IF(SUM(J54:J58)=0,"NO",SUM(J54:J58))</f>
        <v>1.3970048824994384E-3</v>
      </c>
      <c r="K53" s="2921"/>
    </row>
    <row r="54" spans="2:11" ht="18" customHeight="1" x14ac:dyDescent="0.2">
      <c r="B54" s="282" t="s">
        <v>132</v>
      </c>
      <c r="C54" s="691">
        <v>3565.6197898293399</v>
      </c>
      <c r="D54" s="3078" t="s">
        <v>1814</v>
      </c>
      <c r="E54" s="1913">
        <f t="shared" ref="E54:E58" si="19">IFERROR(H54*1000/$C54,"NA")</f>
        <v>67.520970481585564</v>
      </c>
      <c r="F54" s="1913">
        <f t="shared" ref="F54:G58" si="20">IFERROR(I54*1000000/$C54,"NA")</f>
        <v>176.30937513806998</v>
      </c>
      <c r="G54" s="1913">
        <f t="shared" si="20"/>
        <v>0.39179861141793332</v>
      </c>
      <c r="H54" s="691">
        <v>240.75410857762421</v>
      </c>
      <c r="I54" s="691">
        <v>0.62865219712474729</v>
      </c>
      <c r="J54" s="691">
        <v>1.3970048824994384E-3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49110</v>
      </c>
      <c r="D59" s="3078" t="s">
        <v>1814</v>
      </c>
      <c r="E59" s="628"/>
      <c r="F59" s="628"/>
      <c r="G59" s="628"/>
      <c r="H59" s="1913">
        <f>IF(SUM(H60:H64)=0,"NO",SUM(H60:H64))</f>
        <v>3426.9</v>
      </c>
      <c r="I59" s="1913">
        <f>IF(SUM(I60:I65)=0,"NO",SUM(I60:I65))</f>
        <v>0.18104761904761901</v>
      </c>
      <c r="J59" s="1913">
        <f>IF(SUM(J60:J65)=0,"NO",SUM(J60:J65))</f>
        <v>0.18213333333333334</v>
      </c>
      <c r="K59" s="3085" t="str">
        <f>IF(SUM(K60:K65)=0,"NO",SUM(K60:K65))</f>
        <v>NO</v>
      </c>
    </row>
    <row r="60" spans="2:11" ht="18" customHeight="1" x14ac:dyDescent="0.2">
      <c r="B60" s="282" t="s">
        <v>132</v>
      </c>
      <c r="C60" s="1913">
        <f>IF(SUM(C67,C74:C77,C84:C87)=0,"NO",SUM(C67,C74:C77,C84:C87))</f>
        <v>49110</v>
      </c>
      <c r="D60" s="3078" t="s">
        <v>1814</v>
      </c>
      <c r="E60" s="1913">
        <f t="shared" ref="E60:E65" si="21">IFERROR(H60*1000/$C60,"NA")</f>
        <v>69.780085522296886</v>
      </c>
      <c r="F60" s="1913">
        <f t="shared" ref="F60:G65" si="22">IFERROR(I60*1000000/$C60,"NA")</f>
        <v>3.6865733872453479</v>
      </c>
      <c r="G60" s="1913">
        <f t="shared" si="22"/>
        <v>3.7086811918821696</v>
      </c>
      <c r="H60" s="1913">
        <f>IF(SUM(H67,H74:H77,H84:H87)=0,"NO",SUM(H67,H74:H77,H84:H87))</f>
        <v>3426.9</v>
      </c>
      <c r="I60" s="1913">
        <f>IF(SUM(I67,I74:I77,I84:I87)=0,"NO",SUM(I67,I74:I77,I84:I87))</f>
        <v>0.18104761904761901</v>
      </c>
      <c r="J60" s="1913">
        <f>IF(SUM(J67,J74:J77,J84:J87)=0,"NO",SUM(J67,J74:J77,J84:J87))</f>
        <v>0.18213333333333334</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49110</v>
      </c>
      <c r="D66" s="3078" t="s">
        <v>1814</v>
      </c>
      <c r="E66" s="2108"/>
      <c r="F66" s="2108"/>
      <c r="G66" s="2108"/>
      <c r="H66" s="1913">
        <f>IF(SUM(H67:H71)=0,"NO",SUM(H67:H71))</f>
        <v>3426.9</v>
      </c>
      <c r="I66" s="1913">
        <f>IF(SUM(I67:I72)=0,"NO",SUM(I67:I72))</f>
        <v>0.18104761904761901</v>
      </c>
      <c r="J66" s="1913">
        <f>IF(SUM(J67:J72)=0,"NO",SUM(J67:J72))</f>
        <v>0.18213333333333334</v>
      </c>
      <c r="K66" s="3085" t="str">
        <f>IF(SUM(K67:K72)=0,"NO",SUM(K67:K72))</f>
        <v>NO</v>
      </c>
    </row>
    <row r="67" spans="2:11" ht="18" customHeight="1" x14ac:dyDescent="0.2">
      <c r="B67" s="282" t="s">
        <v>132</v>
      </c>
      <c r="C67" s="691">
        <v>49110</v>
      </c>
      <c r="D67" s="3078" t="s">
        <v>1814</v>
      </c>
      <c r="E67" s="1913">
        <f t="shared" ref="E67:E72" si="23">IFERROR(H67*1000/$C67,"NA")</f>
        <v>69.780085522296886</v>
      </c>
      <c r="F67" s="1913">
        <f t="shared" ref="F67:G72" si="24">IFERROR(I67*1000000/$C67,"NA")</f>
        <v>3.6865733872453479</v>
      </c>
      <c r="G67" s="1913">
        <f t="shared" si="24"/>
        <v>3.7086811918821696</v>
      </c>
      <c r="H67" s="691">
        <v>3426.9</v>
      </c>
      <c r="I67" s="691">
        <v>0.18104761904761901</v>
      </c>
      <c r="J67" s="691">
        <v>0.18213333333333334</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5910.0192808193069</v>
      </c>
      <c r="D93" s="3078" t="s">
        <v>1814</v>
      </c>
      <c r="E93" s="2134"/>
      <c r="F93" s="2134"/>
      <c r="G93" s="2134"/>
      <c r="H93" s="3109">
        <f>IF(SUM(H94:H98)=0,"NO",SUM(H94:H98))</f>
        <v>411.10379258697037</v>
      </c>
      <c r="I93" s="3109">
        <f>IF(SUM(I94:I99)=0,"NO",SUM(I94:I99))</f>
        <v>2.0005631554104654E-2</v>
      </c>
      <c r="J93" s="3113">
        <f>IF(SUM(J94:J99)=0,"NO",SUM(J94:J99))</f>
        <v>1.1159489747144877E-2</v>
      </c>
      <c r="K93" s="449" t="str">
        <f>IF(SUM(K94:K99)=0,"NO",SUM(K94:K99))</f>
        <v>NO</v>
      </c>
    </row>
    <row r="94" spans="2:11" ht="18" customHeight="1" x14ac:dyDescent="0.2">
      <c r="B94" s="282" t="s">
        <v>132</v>
      </c>
      <c r="C94" s="691">
        <f>IF(SUM(C102,C110)=0,"NO",SUM(C102,C110))</f>
        <v>5910.0192808193069</v>
      </c>
      <c r="D94" s="1913" t="s">
        <v>1814</v>
      </c>
      <c r="E94" s="1913">
        <f t="shared" ref="E94:E99" si="32">IFERROR(H94*1000/$C94,"NA")</f>
        <v>69.560482471045162</v>
      </c>
      <c r="F94" s="1913">
        <f t="shared" ref="F94:G99" si="33">IFERROR(I94*1000000/$C94,"NA")</f>
        <v>3.3850365969248193</v>
      </c>
      <c r="G94" s="1913">
        <f t="shared" si="33"/>
        <v>1.8882323757153352</v>
      </c>
      <c r="H94" s="691">
        <f t="shared" ref="H94:K97" si="34">IF(SUM(H102,H110)=0,"NO",SUM(H102,H110))</f>
        <v>411.10379258697037</v>
      </c>
      <c r="I94" s="691">
        <f t="shared" si="34"/>
        <v>2.0005631554104654E-2</v>
      </c>
      <c r="J94" s="691">
        <f t="shared" si="34"/>
        <v>1.1159489747144877E-2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5910.0192808193069</v>
      </c>
      <c r="D108" s="1913" t="s">
        <v>1814</v>
      </c>
      <c r="E108" s="1931"/>
      <c r="F108" s="1931"/>
      <c r="G108" s="1931"/>
      <c r="H108" s="3078">
        <f>H109</f>
        <v>411.10379258697037</v>
      </c>
      <c r="I108" s="3078">
        <f>I109</f>
        <v>2.0005631554104654E-2</v>
      </c>
      <c r="J108" s="3110">
        <f>J109</f>
        <v>1.1159489747144877E-2</v>
      </c>
      <c r="K108" s="2921"/>
    </row>
    <row r="109" spans="2:11" ht="18" customHeight="1" x14ac:dyDescent="0.2">
      <c r="B109" s="3125" t="s">
        <v>2149</v>
      </c>
      <c r="C109" s="3099">
        <f>IF(SUM(C110:C114)=0,"NO",SUM(C110:C114))</f>
        <v>5910.0192808193069</v>
      </c>
      <c r="D109" s="1913" t="s">
        <v>1814</v>
      </c>
      <c r="E109" s="628"/>
      <c r="F109" s="628"/>
      <c r="G109" s="628"/>
      <c r="H109" s="3099">
        <f>IF(SUM(H110:H113)=0,"NO",SUM(H110:H113))</f>
        <v>411.10379258697037</v>
      </c>
      <c r="I109" s="3099">
        <f>IF(SUM(I110:I114)=0,"NO",SUM(I110:I114))</f>
        <v>2.0005631554104654E-2</v>
      </c>
      <c r="J109" s="3099">
        <f>IF(SUM(J110:J114)=0,"NO",SUM(J110:J114))</f>
        <v>1.1159489747144877E-2</v>
      </c>
      <c r="K109" s="2921"/>
    </row>
    <row r="110" spans="2:11" ht="18" customHeight="1" x14ac:dyDescent="0.2">
      <c r="B110" s="282" t="s">
        <v>132</v>
      </c>
      <c r="C110" s="691">
        <v>5910.0192808193069</v>
      </c>
      <c r="D110" s="1913" t="s">
        <v>1814</v>
      </c>
      <c r="E110" s="1913">
        <f t="shared" ref="E110:E114" si="37">IFERROR(H110*1000/$C110,"NA")</f>
        <v>69.560482471045162</v>
      </c>
      <c r="F110" s="1913">
        <f t="shared" ref="F110:G114" si="38">IFERROR(I110*1000000/$C110,"NA")</f>
        <v>3.3850365969248193</v>
      </c>
      <c r="G110" s="1913">
        <f t="shared" si="38"/>
        <v>1.8882323757153352</v>
      </c>
      <c r="H110" s="691">
        <v>411.10379258697037</v>
      </c>
      <c r="I110" s="691">
        <v>2.0005631554104654E-2</v>
      </c>
      <c r="J110" s="691">
        <v>1.1159489747144877E-2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1182335</v>
      </c>
      <c r="G11" s="3361">
        <v>518146.56</v>
      </c>
      <c r="H11" s="3361">
        <v>326391.8</v>
      </c>
      <c r="I11" s="3381"/>
      <c r="J11" s="3361">
        <v>-39100</v>
      </c>
      <c r="K11" s="3369">
        <f t="shared" ref="K11:K28" si="0">IF((SUM(F11:G11)-SUM(H11:J11))=0,"NO",(SUM(F11:G11)-SUM(H11:J11)))</f>
        <v>1413189.76</v>
      </c>
      <c r="L11" s="2577">
        <f>IF(K11="NO","NA",1)</f>
        <v>1</v>
      </c>
      <c r="M11" s="5" t="s">
        <v>1814</v>
      </c>
      <c r="N11" s="3369">
        <f>K11</f>
        <v>1413189.76</v>
      </c>
      <c r="O11" s="3342">
        <v>18.980716253443529</v>
      </c>
      <c r="P11" s="3369">
        <f>IFERROR(N11*O11/1000,"NA")</f>
        <v>26823.35384683196</v>
      </c>
      <c r="Q11" s="3369" t="str">
        <f>'Table1.A(d)'!G11</f>
        <v>NA</v>
      </c>
      <c r="R11" s="3369">
        <f>IF(SUM(P11,-SUM(Q11))=0,"NO",SUM(P11,-SUM(Q11)))</f>
        <v>26823.35384683196</v>
      </c>
      <c r="S11" s="2577">
        <f>IF(R11="NO","NA",1)</f>
        <v>1</v>
      </c>
      <c r="T11" s="3375">
        <f>IF(R11="NO","NO",R11*S11*44/12)</f>
        <v>98352.297438383859</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103756.85</v>
      </c>
      <c r="G13" s="3361" t="s">
        <v>2146</v>
      </c>
      <c r="H13" s="3361" t="s">
        <v>2146</v>
      </c>
      <c r="I13" s="3381"/>
      <c r="J13" s="3361" t="s">
        <v>2146</v>
      </c>
      <c r="K13" s="3369">
        <f t="shared" si="0"/>
        <v>103756.85</v>
      </c>
      <c r="L13" s="2577">
        <f t="shared" si="1"/>
        <v>1</v>
      </c>
      <c r="M13" s="5" t="s">
        <v>1814</v>
      </c>
      <c r="N13" s="3369">
        <f t="shared" si="2"/>
        <v>103756.85</v>
      </c>
      <c r="O13" s="3342">
        <v>16.31634816925779</v>
      </c>
      <c r="P13" s="3369">
        <f t="shared" si="3"/>
        <v>1692.9328895454551</v>
      </c>
      <c r="Q13" s="3369" t="str">
        <f>'Table1.A(d)'!G13</f>
        <v>NA</v>
      </c>
      <c r="R13" s="3369">
        <f>IF(SUM(P13,-SUM(Q13))=0,"NO",SUM(P13,-SUM(Q13)))</f>
        <v>1692.9328895454551</v>
      </c>
      <c r="S13" s="2577">
        <f t="shared" si="4"/>
        <v>1</v>
      </c>
      <c r="T13" s="3375">
        <f t="shared" si="5"/>
        <v>6207.4205950000023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24507.900097199999</v>
      </c>
      <c r="H15" s="3361">
        <v>12844.4</v>
      </c>
      <c r="I15" s="3361" t="s">
        <v>2146</v>
      </c>
      <c r="J15" s="3361">
        <v>-3802.92</v>
      </c>
      <c r="K15" s="3369">
        <f t="shared" si="0"/>
        <v>15466.4200972</v>
      </c>
      <c r="L15" s="2577">
        <f>IF(K15="NO","NA",1)</f>
        <v>1</v>
      </c>
      <c r="M15" s="5" t="s">
        <v>1814</v>
      </c>
      <c r="N15" s="3369">
        <f t="shared" si="2"/>
        <v>15466.4200972</v>
      </c>
      <c r="O15" s="3342">
        <v>18.3981248054146</v>
      </c>
      <c r="P15" s="3369">
        <f t="shared" si="3"/>
        <v>284.55312724125821</v>
      </c>
      <c r="Q15" s="3369" t="str">
        <f>'Table1.A(d)'!G15</f>
        <v>NA</v>
      </c>
      <c r="R15" s="3369">
        <f>IF(SUM(P15,-SUM(Q15))=0,"NO",SUM(P15,-SUM(Q15)))</f>
        <v>284.55312724125821</v>
      </c>
      <c r="S15" s="2577">
        <f>IF(R15="NO","NA",1)</f>
        <v>1</v>
      </c>
      <c r="T15" s="3375">
        <f>IF(R15="NO","NO",R15*S15*44/12)</f>
        <v>1043.36146655128</v>
      </c>
    </row>
    <row r="16" spans="2:20" ht="18" customHeight="1" x14ac:dyDescent="0.2">
      <c r="B16" s="1727"/>
      <c r="C16" s="1567"/>
      <c r="D16" s="36" t="s">
        <v>178</v>
      </c>
      <c r="E16" s="2575" t="s">
        <v>2150</v>
      </c>
      <c r="F16" s="3382"/>
      <c r="G16" s="3361">
        <v>3841.92</v>
      </c>
      <c r="H16" s="3361">
        <v>11809.119999999999</v>
      </c>
      <c r="I16" s="3361">
        <v>65500</v>
      </c>
      <c r="J16" s="3361">
        <v>728.4799999999999</v>
      </c>
      <c r="K16" s="3369">
        <f t="shared" si="0"/>
        <v>-74195.679999999993</v>
      </c>
      <c r="L16" s="2577">
        <f t="shared" ref="L16:L28" si="6">IF(K16="NO","NA",1)</f>
        <v>1</v>
      </c>
      <c r="M16" s="5" t="s">
        <v>1814</v>
      </c>
      <c r="N16" s="3369">
        <f t="shared" si="2"/>
        <v>-74195.679999999993</v>
      </c>
      <c r="O16" s="3342">
        <v>18.981818181818181</v>
      </c>
      <c r="P16" s="3369">
        <f t="shared" si="3"/>
        <v>-1408.3689076363635</v>
      </c>
      <c r="Q16" s="3369" t="str">
        <f>'Table1.A(d)'!G16</f>
        <v>NA</v>
      </c>
      <c r="R16" s="3369">
        <f t="shared" ref="R16:R44" si="7">IF(SUM(P16,-SUM(Q16))=0,"NO",SUM(P16,-SUM(Q16)))</f>
        <v>-1408.3689076363635</v>
      </c>
      <c r="S16" s="2577">
        <f t="shared" ref="S16:S28" si="8">IF(R16="NO","NA",1)</f>
        <v>1</v>
      </c>
      <c r="T16" s="3375">
        <f t="shared" ref="T16:T28" si="9">IF(R16="NO","NO",R16*S16*44/12)</f>
        <v>-5164.0193279999994</v>
      </c>
    </row>
    <row r="17" spans="2:20" ht="18" customHeight="1" x14ac:dyDescent="0.2">
      <c r="B17" s="1727"/>
      <c r="C17" s="1567"/>
      <c r="D17" s="36" t="s">
        <v>247</v>
      </c>
      <c r="E17" s="2575" t="s">
        <v>2150</v>
      </c>
      <c r="F17" s="3381"/>
      <c r="G17" s="3361">
        <v>1317.6000000000001</v>
      </c>
      <c r="H17" s="3361">
        <v>2481.48</v>
      </c>
      <c r="I17" s="3361" t="s">
        <v>2146</v>
      </c>
      <c r="J17" s="3361">
        <v>-172.05</v>
      </c>
      <c r="K17" s="3369">
        <f t="shared" si="0"/>
        <v>-991.8299999999997</v>
      </c>
      <c r="L17" s="2577">
        <f t="shared" si="6"/>
        <v>1</v>
      </c>
      <c r="M17" s="5" t="s">
        <v>1814</v>
      </c>
      <c r="N17" s="3369">
        <f t="shared" si="2"/>
        <v>-991.8299999999997</v>
      </c>
      <c r="O17" s="3342">
        <v>18.790909090909089</v>
      </c>
      <c r="P17" s="3369">
        <f t="shared" si="3"/>
        <v>-18.637387363636357</v>
      </c>
      <c r="Q17" s="3369" t="str">
        <f>'Table1.A(d)'!G17</f>
        <v>NA</v>
      </c>
      <c r="R17" s="3369">
        <f t="shared" si="7"/>
        <v>-18.637387363636357</v>
      </c>
      <c r="S17" s="2577">
        <f t="shared" si="8"/>
        <v>1</v>
      </c>
      <c r="T17" s="3375">
        <f t="shared" si="9"/>
        <v>-68.337086999999983</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17825.480000000003</v>
      </c>
      <c r="H19" s="3361">
        <v>34037.480000000003</v>
      </c>
      <c r="I19" s="3361">
        <v>4420</v>
      </c>
      <c r="J19" s="3361">
        <v>-9202.08</v>
      </c>
      <c r="K19" s="3369">
        <f t="shared" si="0"/>
        <v>-11429.919999999998</v>
      </c>
      <c r="L19" s="2577">
        <f t="shared" si="6"/>
        <v>1</v>
      </c>
      <c r="M19" s="5" t="s">
        <v>1814</v>
      </c>
      <c r="N19" s="3369">
        <f t="shared" si="2"/>
        <v>-11429.919999999998</v>
      </c>
      <c r="O19" s="3342">
        <v>19.06363636363637</v>
      </c>
      <c r="P19" s="3369">
        <f t="shared" si="3"/>
        <v>-217.89583854545458</v>
      </c>
      <c r="Q19" s="3369" t="str">
        <f>'Table1.A(d)'!G19</f>
        <v>NA</v>
      </c>
      <c r="R19" s="3369">
        <f t="shared" si="7"/>
        <v>-217.89583854545458</v>
      </c>
      <c r="S19" s="2577">
        <f t="shared" si="8"/>
        <v>1</v>
      </c>
      <c r="T19" s="3375">
        <f t="shared" si="9"/>
        <v>-798.95140800000024</v>
      </c>
    </row>
    <row r="20" spans="2:20" ht="18" customHeight="1" x14ac:dyDescent="0.2">
      <c r="B20" s="1727"/>
      <c r="C20" s="1567"/>
      <c r="D20" s="36" t="s">
        <v>190</v>
      </c>
      <c r="E20" s="2575" t="s">
        <v>2150</v>
      </c>
      <c r="F20" s="3381"/>
      <c r="G20" s="3361" t="s">
        <v>2146</v>
      </c>
      <c r="H20" s="3361">
        <v>34856.6</v>
      </c>
      <c r="I20" s="3361">
        <v>21310</v>
      </c>
      <c r="J20" s="3361">
        <v>2040.1499999999996</v>
      </c>
      <c r="K20" s="3369">
        <f t="shared" si="0"/>
        <v>-58206.75</v>
      </c>
      <c r="L20" s="2577">
        <f t="shared" si="6"/>
        <v>1</v>
      </c>
      <c r="M20" s="5" t="s">
        <v>1814</v>
      </c>
      <c r="N20" s="3369">
        <f t="shared" si="2"/>
        <v>-58206.75</v>
      </c>
      <c r="O20" s="3342">
        <v>20.072727272727271</v>
      </c>
      <c r="P20" s="3369">
        <f t="shared" si="3"/>
        <v>-1168.3682181818181</v>
      </c>
      <c r="Q20" s="3369" t="str">
        <f>'Table1.A(d)'!G20</f>
        <v>NA</v>
      </c>
      <c r="R20" s="3369">
        <f t="shared" si="7"/>
        <v>-1168.3682181818181</v>
      </c>
      <c r="S20" s="2577">
        <f t="shared" si="8"/>
        <v>1</v>
      </c>
      <c r="T20" s="3375">
        <f t="shared" si="9"/>
        <v>-4284.0167999999994</v>
      </c>
    </row>
    <row r="21" spans="2:20" ht="18" customHeight="1" x14ac:dyDescent="0.2">
      <c r="B21" s="1727"/>
      <c r="C21" s="1567"/>
      <c r="D21" s="36" t="s">
        <v>169</v>
      </c>
      <c r="E21" s="2575" t="s">
        <v>2150</v>
      </c>
      <c r="F21" s="3381"/>
      <c r="G21" s="3361">
        <v>948.69999999999993</v>
      </c>
      <c r="H21" s="3361">
        <v>39647.25</v>
      </c>
      <c r="I21" s="3381"/>
      <c r="J21" s="3361">
        <v>198.4</v>
      </c>
      <c r="K21" s="3369">
        <f t="shared" si="0"/>
        <v>-38896.950000000004</v>
      </c>
      <c r="L21" s="2577">
        <f t="shared" si="6"/>
        <v>1</v>
      </c>
      <c r="M21" s="5" t="s">
        <v>1814</v>
      </c>
      <c r="N21" s="3369">
        <f t="shared" si="2"/>
        <v>-38896.950000000004</v>
      </c>
      <c r="O21" s="3342">
        <v>16.418181818181822</v>
      </c>
      <c r="P21" s="3369">
        <f t="shared" si="3"/>
        <v>-638.61719727272748</v>
      </c>
      <c r="Q21" s="3369" t="str">
        <f>'Table1.A(d)'!G21</f>
        <v>NA</v>
      </c>
      <c r="R21" s="3369">
        <f t="shared" si="7"/>
        <v>-638.61719727272748</v>
      </c>
      <c r="S21" s="2577">
        <f t="shared" si="8"/>
        <v>1</v>
      </c>
      <c r="T21" s="3375">
        <f t="shared" si="9"/>
        <v>-2341.5963900000006</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329.99999999999994</v>
      </c>
      <c r="H24" s="3361" t="s">
        <v>2146</v>
      </c>
      <c r="I24" s="3381"/>
      <c r="J24" s="3361">
        <v>149.44999999999999</v>
      </c>
      <c r="K24" s="3369">
        <f t="shared" si="0"/>
        <v>180.54999999999995</v>
      </c>
      <c r="L24" s="2577">
        <f t="shared" si="6"/>
        <v>1</v>
      </c>
      <c r="M24" s="5" t="s">
        <v>1814</v>
      </c>
      <c r="N24" s="3369">
        <f t="shared" si="2"/>
        <v>180.54999999999995</v>
      </c>
      <c r="O24" s="3342">
        <v>22.009090909090911</v>
      </c>
      <c r="P24" s="3369">
        <f t="shared" si="3"/>
        <v>3.9737413636363632</v>
      </c>
      <c r="Q24" s="3369">
        <f>'Table1.A(d)'!G24</f>
        <v>603.04909090909086</v>
      </c>
      <c r="R24" s="3369">
        <f t="shared" si="7"/>
        <v>-599.07534954545451</v>
      </c>
      <c r="S24" s="2577">
        <f t="shared" si="8"/>
        <v>1</v>
      </c>
      <c r="T24" s="3375">
        <f t="shared" si="9"/>
        <v>-2196.6096149999998</v>
      </c>
    </row>
    <row r="25" spans="2:20" ht="18" customHeight="1" x14ac:dyDescent="0.2">
      <c r="B25" s="1727"/>
      <c r="C25" s="1567"/>
      <c r="D25" s="36" t="s">
        <v>252</v>
      </c>
      <c r="E25" s="2575" t="s">
        <v>2150</v>
      </c>
      <c r="F25" s="3381"/>
      <c r="G25" s="3361">
        <v>869.11999999999978</v>
      </c>
      <c r="H25" s="3361">
        <v>11570.159999999998</v>
      </c>
      <c r="I25" s="3361" t="s">
        <v>2146</v>
      </c>
      <c r="J25" s="3361">
        <v>824.6</v>
      </c>
      <c r="K25" s="3369">
        <f t="shared" si="0"/>
        <v>-11525.64</v>
      </c>
      <c r="L25" s="2577">
        <f t="shared" si="6"/>
        <v>1</v>
      </c>
      <c r="M25" s="5" t="s">
        <v>1814</v>
      </c>
      <c r="N25" s="3369">
        <f t="shared" si="2"/>
        <v>-11525.64</v>
      </c>
      <c r="O25" s="3342">
        <v>18.991363636363641</v>
      </c>
      <c r="P25" s="3369">
        <f t="shared" si="3"/>
        <v>-218.88762038181821</v>
      </c>
      <c r="Q25" s="3369">
        <f>'Table1.A(d)'!G25</f>
        <v>353.23936363636369</v>
      </c>
      <c r="R25" s="3369">
        <f t="shared" si="7"/>
        <v>-572.12698401818193</v>
      </c>
      <c r="S25" s="2577">
        <f t="shared" si="8"/>
        <v>1</v>
      </c>
      <c r="T25" s="3375">
        <f t="shared" si="9"/>
        <v>-2097.7989414000003</v>
      </c>
    </row>
    <row r="26" spans="2:20" ht="18" customHeight="1" x14ac:dyDescent="0.2">
      <c r="B26" s="1727"/>
      <c r="C26" s="1567"/>
      <c r="D26" s="36" t="s">
        <v>253</v>
      </c>
      <c r="E26" s="2575" t="s">
        <v>2150</v>
      </c>
      <c r="F26" s="3381"/>
      <c r="G26" s="3361">
        <v>9050.9217091091286</v>
      </c>
      <c r="H26" s="3361" t="s">
        <v>2146</v>
      </c>
      <c r="I26" s="3381"/>
      <c r="J26" s="3361" t="s">
        <v>2146</v>
      </c>
      <c r="K26" s="3369">
        <f t="shared" si="0"/>
        <v>9050.9217091091286</v>
      </c>
      <c r="L26" s="2577">
        <f t="shared" si="6"/>
        <v>1</v>
      </c>
      <c r="M26" s="5" t="s">
        <v>1814</v>
      </c>
      <c r="N26" s="3369">
        <f t="shared" si="2"/>
        <v>9050.9217091091286</v>
      </c>
      <c r="O26" s="3342">
        <v>25.26136363636364</v>
      </c>
      <c r="P26" s="3369">
        <f t="shared" si="3"/>
        <v>228.6386245380636</v>
      </c>
      <c r="Q26" s="3369">
        <f>'Table1.A(d)'!G26</f>
        <v>228.63862453806354</v>
      </c>
      <c r="R26" s="3369">
        <f t="shared" si="7"/>
        <v>5.6843418860808015E-14</v>
      </c>
      <c r="S26" s="2577">
        <f t="shared" si="8"/>
        <v>1</v>
      </c>
      <c r="T26" s="3375">
        <f t="shared" si="9"/>
        <v>2.0842586915629605E-13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20516.399999999998</v>
      </c>
      <c r="H28" s="3361">
        <v>5034.7999999999993</v>
      </c>
      <c r="I28" s="3381"/>
      <c r="J28" s="3361">
        <v>-1678.66</v>
      </c>
      <c r="K28" s="3369">
        <f t="shared" si="0"/>
        <v>17160.259999999998</v>
      </c>
      <c r="L28" s="2577">
        <f t="shared" si="6"/>
        <v>1</v>
      </c>
      <c r="M28" s="5" t="s">
        <v>1814</v>
      </c>
      <c r="N28" s="3369">
        <f t="shared" si="2"/>
        <v>17160.259999999998</v>
      </c>
      <c r="O28" s="3342">
        <v>19.03667936584559</v>
      </c>
      <c r="P28" s="3369">
        <f t="shared" si="3"/>
        <v>326.6743674545454</v>
      </c>
      <c r="Q28" s="3369">
        <f>'Table1.A(d)'!G28</f>
        <v>550.51696949362599</v>
      </c>
      <c r="R28" s="3369">
        <f t="shared" si="7"/>
        <v>-223.84260203908059</v>
      </c>
      <c r="S28" s="2577">
        <f t="shared" si="8"/>
        <v>1</v>
      </c>
      <c r="T28" s="3375">
        <f t="shared" si="9"/>
        <v>-820.75620747662879</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1363557.9918063094</v>
      </c>
      <c r="O31" s="3364"/>
      <c r="P31" s="3371">
        <f>SUM(P11:P29)</f>
        <v>25689.351427593105</v>
      </c>
      <c r="Q31" s="3371">
        <f>SUM(Q11:Q29)</f>
        <v>1995.7980700342298</v>
      </c>
      <c r="R31" s="3369">
        <f t="shared" si="7"/>
        <v>23693.553357558874</v>
      </c>
      <c r="S31" s="2578"/>
      <c r="T31" s="3377">
        <f>SUM(T11:T29)</f>
        <v>86876.362311049204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4393002.8108820608</v>
      </c>
      <c r="G35" s="3361" t="s">
        <v>2146</v>
      </c>
      <c r="H35" s="3361">
        <v>3217000</v>
      </c>
      <c r="I35" s="3361" t="s">
        <v>2146</v>
      </c>
      <c r="J35" s="3361">
        <v>37700</v>
      </c>
      <c r="K35" s="3369">
        <f t="shared" si="10"/>
        <v>1138302.8108820608</v>
      </c>
      <c r="L35" s="2577">
        <f t="shared" si="11"/>
        <v>1</v>
      </c>
      <c r="M35" s="55" t="s">
        <v>1814</v>
      </c>
      <c r="N35" s="3369">
        <f t="shared" si="12"/>
        <v>1138302.8108820608</v>
      </c>
      <c r="O35" s="3342">
        <v>23.96022247097331</v>
      </c>
      <c r="P35" s="3369">
        <f t="shared" si="13"/>
        <v>27273.988588068438</v>
      </c>
      <c r="Q35" s="3369">
        <f>'Table1.A(d)'!G35</f>
        <v>153.3709410278293</v>
      </c>
      <c r="R35" s="3369">
        <f t="shared" si="7"/>
        <v>27120.61764704061</v>
      </c>
      <c r="S35" s="2577">
        <f t="shared" si="14"/>
        <v>1</v>
      </c>
      <c r="T35" s="3375">
        <f t="shared" si="15"/>
        <v>99442.264705815571</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483279.24188519199</v>
      </c>
      <c r="G37" s="3361" t="s">
        <v>2146</v>
      </c>
      <c r="H37" s="3361" t="s">
        <v>2146</v>
      </c>
      <c r="I37" s="3381"/>
      <c r="J37" s="3361" t="s">
        <v>2146</v>
      </c>
      <c r="K37" s="3369">
        <f t="shared" si="10"/>
        <v>483279.24188519199</v>
      </c>
      <c r="L37" s="2577">
        <f t="shared" si="11"/>
        <v>1</v>
      </c>
      <c r="M37" s="55" t="s">
        <v>1814</v>
      </c>
      <c r="N37" s="3369">
        <f t="shared" si="12"/>
        <v>483279.24188519199</v>
      </c>
      <c r="O37" s="3342">
        <v>27.623031075440679</v>
      </c>
      <c r="P37" s="3369">
        <f t="shared" si="13"/>
        <v>13349.63751671007</v>
      </c>
      <c r="Q37" s="3369" t="str">
        <f>'Table1.A(d)'!G37</f>
        <v>NO</v>
      </c>
      <c r="R37" s="3369">
        <f t="shared" si="7"/>
        <v>13349.63751671007</v>
      </c>
      <c r="S37" s="2577">
        <f t="shared" si="14"/>
        <v>1</v>
      </c>
      <c r="T37" s="3375">
        <f t="shared" si="15"/>
        <v>48948.670894603594</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1000</v>
      </c>
      <c r="I40" s="3381"/>
      <c r="J40" s="3361">
        <v>500</v>
      </c>
      <c r="K40" s="3369">
        <f t="shared" ref="K40:K42" si="16">IF((SUM(F40:G40)-SUM(H40:J40))=0,"NO",(SUM(F40:G40)-SUM(H40:J40)))</f>
        <v>-1500</v>
      </c>
      <c r="L40" s="2577">
        <f t="shared" ref="L40:L42" si="17">IF(K40="NO","NA",1)</f>
        <v>1</v>
      </c>
      <c r="M40" s="55" t="s">
        <v>1814</v>
      </c>
      <c r="N40" s="3369">
        <f t="shared" ref="N40:N42" si="18">K40</f>
        <v>-1500</v>
      </c>
      <c r="O40" s="3342">
        <v>25.90909090909091</v>
      </c>
      <c r="P40" s="3369">
        <f t="shared" ref="P40:P42" si="19">IFERROR(N40*O40/1000,"NA")</f>
        <v>-38.863636363636367</v>
      </c>
      <c r="Q40" s="3369" t="str">
        <f>'Table1.A(d)'!G40</f>
        <v>NA</v>
      </c>
      <c r="R40" s="3369">
        <f t="shared" si="7"/>
        <v>-38.863636363636367</v>
      </c>
      <c r="S40" s="2577">
        <f t="shared" ref="S40:S42" si="20">IF(R40="NO","NA",1)</f>
        <v>1</v>
      </c>
      <c r="T40" s="3375">
        <f t="shared" ref="T40:T42" si="21">IF(R40="NO","NO",R40*S40*44/12)</f>
        <v>-142.50000000000003</v>
      </c>
    </row>
    <row r="41" spans="2:20" ht="18" customHeight="1" x14ac:dyDescent="0.2">
      <c r="B41" s="1727"/>
      <c r="C41" s="1567"/>
      <c r="D41" s="31" t="s">
        <v>266</v>
      </c>
      <c r="E41" s="2575" t="s">
        <v>2150</v>
      </c>
      <c r="F41" s="3381"/>
      <c r="G41" s="3361" t="s">
        <v>2146</v>
      </c>
      <c r="H41" s="3361">
        <v>22600</v>
      </c>
      <c r="I41" s="3381"/>
      <c r="J41" s="3361">
        <v>-21300</v>
      </c>
      <c r="K41" s="3369">
        <f t="shared" si="16"/>
        <v>-1300</v>
      </c>
      <c r="L41" s="2577">
        <f t="shared" si="17"/>
        <v>1</v>
      </c>
      <c r="M41" s="55" t="s">
        <v>1814</v>
      </c>
      <c r="N41" s="3369">
        <f t="shared" si="18"/>
        <v>-1300</v>
      </c>
      <c r="O41" s="3342">
        <v>28.898309501490729</v>
      </c>
      <c r="P41" s="3369">
        <f t="shared" si="19"/>
        <v>-37.567802351937949</v>
      </c>
      <c r="Q41" s="3369">
        <f>'Table1.A(d)'!G41</f>
        <v>2485.0282085060257</v>
      </c>
      <c r="R41" s="3369">
        <f t="shared" si="7"/>
        <v>-2522.5960108579638</v>
      </c>
      <c r="S41" s="2577">
        <f t="shared" si="20"/>
        <v>1</v>
      </c>
      <c r="T41" s="3375">
        <f t="shared" si="21"/>
        <v>-9249.5187064792008</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81.985239414371236</v>
      </c>
      <c r="R42" s="3369">
        <f t="shared" si="7"/>
        <v>-81.985239414371236</v>
      </c>
      <c r="S42" s="2577">
        <f t="shared" si="20"/>
        <v>1</v>
      </c>
      <c r="T42" s="3375">
        <f t="shared" si="21"/>
        <v>-300.61254451936117</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1618782.0527672528</v>
      </c>
      <c r="O45" s="3364"/>
      <c r="P45" s="3371">
        <f>SUM(P33:P43)</f>
        <v>40547.194666062933</v>
      </c>
      <c r="Q45" s="3371">
        <f>SUM(Q33:Q43)</f>
        <v>2720.3843889482264</v>
      </c>
      <c r="R45" s="3371">
        <f>SUM(R33:R43)</f>
        <v>37826.810277114702</v>
      </c>
      <c r="S45" s="41"/>
      <c r="T45" s="3377">
        <f>SUM(T33:T43)</f>
        <v>138698.30434942062</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829889.25000000012</v>
      </c>
      <c r="G47" s="3361" t="s">
        <v>2146</v>
      </c>
      <c r="H47" s="3361">
        <v>185000</v>
      </c>
      <c r="I47" s="3361" t="s">
        <v>2146</v>
      </c>
      <c r="J47" s="3361" t="s">
        <v>2146</v>
      </c>
      <c r="K47" s="3369">
        <f t="shared" ref="K47" si="22">IF((SUM(F47:G47)-SUM(H47:J47))=0,"NO",(SUM(F47:G47)-SUM(H47:J47)))</f>
        <v>644889.25000000012</v>
      </c>
      <c r="L47" s="2577">
        <f t="shared" ref="L47" si="23">IF(K47="NO","NA",1)</f>
        <v>1</v>
      </c>
      <c r="M47" s="55" t="s">
        <v>1814</v>
      </c>
      <c r="N47" s="3369">
        <f t="shared" ref="N47" si="24">K47</f>
        <v>644889.25000000012</v>
      </c>
      <c r="O47" s="3342">
        <v>14.01368470936622</v>
      </c>
      <c r="P47" s="3369">
        <f t="shared" ref="P47" si="25">IFERROR(N47*O47/1000,"NA")</f>
        <v>9037.2746219596502</v>
      </c>
      <c r="Q47" s="3369">
        <f>'Table1.A(d)'!G47</f>
        <v>291.27875333070148</v>
      </c>
      <c r="R47" s="3369">
        <f t="shared" ref="R47" si="26">IF(SUM(P47,-SUM(Q47))=0,"NO",SUM(P47,-SUM(Q47)))</f>
        <v>8745.9958686289483</v>
      </c>
      <c r="S47" s="2577">
        <f t="shared" ref="S47" si="27">IF(R47="NO","NA",1)</f>
        <v>1</v>
      </c>
      <c r="T47" s="3375">
        <f t="shared" ref="T47" si="28">IF(R47="NO","NO",R47*S47*44/12)</f>
        <v>32068.651518306142</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644889.25000000012</v>
      </c>
      <c r="O50" s="3366"/>
      <c r="P50" s="3371">
        <f>SUM(P47:P48)</f>
        <v>9037.2746219596502</v>
      </c>
      <c r="Q50" s="3371">
        <f>SUM(Q47:Q48)</f>
        <v>291.27875333070148</v>
      </c>
      <c r="R50" s="3371">
        <f>SUM(R47:R48)</f>
        <v>8745.9958686289483</v>
      </c>
      <c r="S50" s="2354"/>
      <c r="T50" s="3377">
        <f>SUM(T47:T48)</f>
        <v>32068.651518306142</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3627229.2945735622</v>
      </c>
      <c r="O55" s="3367"/>
      <c r="P55" s="3373">
        <f>SUM(P31,P45,P50,P54)</f>
        <v>75273.820715615686</v>
      </c>
      <c r="Q55" s="3373">
        <f>SUM(Q31,Q45,Q50,Q54)</f>
        <v>5007.4612123131583</v>
      </c>
      <c r="R55" s="3373">
        <f>SUM(R31,R45,R50,R54)</f>
        <v>70266.359503302519</v>
      </c>
      <c r="S55" s="2374"/>
      <c r="T55" s="3379">
        <f>SUM(T31,T45,T50,T54)</f>
        <v>257643.31817877598</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1363.5579918063095</v>
      </c>
      <c r="D10" s="4136">
        <f>C10-'Table1.A(d)'!E31/1000</f>
        <v>1260.0225706064255</v>
      </c>
      <c r="E10" s="4135">
        <f>'Table1.A(b)'!T31</f>
        <v>86876.362311049204</v>
      </c>
      <c r="F10" s="4135">
        <f>'Table1.A(a)s1'!C11/1000</f>
        <v>1260.4004596642592</v>
      </c>
      <c r="G10" s="4135">
        <f>'Table1.A(a)s1'!H11</f>
        <v>85739.00100337452</v>
      </c>
      <c r="H10" s="4135">
        <f>100*((D10-F10)/F10)</f>
        <v>-2.9981666139219557E-2</v>
      </c>
      <c r="I10" s="4137">
        <f>100*((E10-G10)/G10)</f>
        <v>1.3265390246731705</v>
      </c>
      <c r="L10"/>
    </row>
    <row r="11" spans="2:12" ht="18" customHeight="1" x14ac:dyDescent="0.2">
      <c r="B11" s="50" t="s">
        <v>299</v>
      </c>
      <c r="C11" s="4135">
        <f>'Table1.A(b)'!N45/1000</f>
        <v>1618.7820527672527</v>
      </c>
      <c r="D11" s="4135">
        <f>C11-'Table1.A(d)'!E45/1000</f>
        <v>1522.889624506442</v>
      </c>
      <c r="E11" s="4135">
        <f>'Table1.A(b)'!T45</f>
        <v>138698.30434942062</v>
      </c>
      <c r="F11" s="4135">
        <f>'Table1.A(a)s1'!C12/1000</f>
        <v>1491.05159171932</v>
      </c>
      <c r="G11" s="4135">
        <f>'Table1.A(a)s1'!H12</f>
        <v>136203.58880505917</v>
      </c>
      <c r="H11" s="4135">
        <f t="shared" ref="H11:H13" si="0">100*((D11-F11)/F11)</f>
        <v>2.1352737198321812</v>
      </c>
      <c r="I11" s="4137">
        <f t="shared" ref="I11:I13" si="1">100*((E11-G11)/G11)</f>
        <v>1.8316077911368382</v>
      </c>
      <c r="L11"/>
    </row>
    <row r="12" spans="2:12" ht="18" customHeight="1" x14ac:dyDescent="0.2">
      <c r="B12" s="50" t="s">
        <v>300</v>
      </c>
      <c r="C12" s="4135">
        <f>'Table1.A(b)'!N50/1000</f>
        <v>644.88925000000006</v>
      </c>
      <c r="D12" s="4135">
        <f>C12-'Table1.A(d)'!E50/1000</f>
        <v>624.11542692461751</v>
      </c>
      <c r="E12" s="4135">
        <f>'Table1.A(b)'!T50</f>
        <v>32068.651518306142</v>
      </c>
      <c r="F12" s="4135">
        <f>'Table1.A(a)s1'!C13/1000</f>
        <v>615.63288361668458</v>
      </c>
      <c r="G12" s="4135">
        <f>'Table1.A(a)s1'!H13</f>
        <v>31656.227813965859</v>
      </c>
      <c r="H12" s="4135">
        <f t="shared" si="0"/>
        <v>1.3778574104261898</v>
      </c>
      <c r="I12" s="4137">
        <f t="shared" si="1"/>
        <v>1.3028201173051095</v>
      </c>
      <c r="L12"/>
    </row>
    <row r="13" spans="2:12" ht="18" customHeight="1" x14ac:dyDescent="0.2">
      <c r="B13" s="50" t="s">
        <v>275</v>
      </c>
      <c r="C13" s="4135">
        <f>'Table1.A(b)'!N54/1000</f>
        <v>0</v>
      </c>
      <c r="D13" s="4135">
        <f>C13-SUM('Table1.A(d)'!E54)/1000</f>
        <v>0</v>
      </c>
      <c r="E13" s="4135">
        <f>'Table1.A(b)'!T54</f>
        <v>0</v>
      </c>
      <c r="F13" s="4135">
        <f>'Table1.A(a)s1'!C14/1000</f>
        <v>3.7498924164192529</v>
      </c>
      <c r="G13" s="4135">
        <f>'Table1.A(a)s1'!H14</f>
        <v>337.15811412353122</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3627.2292945735626</v>
      </c>
      <c r="D15" s="4138">
        <f>SUM(D10:D14)</f>
        <v>3407.0276220374849</v>
      </c>
      <c r="E15" s="4138">
        <f>SUM(E10:E14)</f>
        <v>257643.31817877598</v>
      </c>
      <c r="F15" s="4138">
        <f>SUM(F10:F14)</f>
        <v>3370.8348274166829</v>
      </c>
      <c r="G15" s="4138">
        <f>SUM(G10:G14)</f>
        <v>253935.97573652308</v>
      </c>
      <c r="H15" s="4139">
        <f t="shared" ref="H15" si="2">100*((D15-F15)/F15)</f>
        <v>1.0737041852786129</v>
      </c>
      <c r="I15" s="4140">
        <f t="shared" ref="I15" si="3">100*((E15-G15)/G15)</f>
        <v>1.4599516399754013</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8B7C1121-7B14-415A-927F-7E9E7D9373A8}"/>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