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86B92B75-1967-4E8B-8D91-C3ABF6D8D240}" xr6:coauthVersionLast="47" xr6:coauthVersionMax="47" xr10:uidLastSave="{00000000-0000-0000-0000-000000000000}"/>
  <bookViews>
    <workbookView xWindow="390" yWindow="39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G86" i="34"/>
  <c r="I78" i="34"/>
  <c r="I86" i="34"/>
  <c r="G78" i="34"/>
  <c r="I87" i="34"/>
  <c r="G56" i="34"/>
  <c r="I79" i="34"/>
  <c r="G57" i="34"/>
  <c r="G82" i="34"/>
  <c r="G58" i="34"/>
  <c r="I82" i="34"/>
  <c r="G60" i="34"/>
  <c r="I83" i="34"/>
  <c r="G31" i="34"/>
  <c r="H32" i="34"/>
  <c r="I33" i="34"/>
  <c r="H71" i="34"/>
  <c r="G30" i="34"/>
  <c r="H31" i="34"/>
  <c r="I32" i="34"/>
  <c r="I71" i="34"/>
  <c r="G29" i="34"/>
  <c r="H30" i="34"/>
  <c r="I31" i="34"/>
  <c r="G37" i="34"/>
  <c r="G59" i="34"/>
  <c r="H65" i="34"/>
  <c r="H67" i="34"/>
  <c r="H69" i="34"/>
  <c r="I72" i="34"/>
  <c r="G79" i="34"/>
  <c r="G83" i="34"/>
  <c r="G87" i="34"/>
  <c r="G28" i="34"/>
  <c r="H29" i="34"/>
  <c r="I30" i="34"/>
  <c r="G36" i="34"/>
  <c r="H37" i="34"/>
  <c r="I65" i="34"/>
  <c r="I67" i="34"/>
  <c r="I69" i="34"/>
  <c r="I73" i="34"/>
  <c r="G27" i="34"/>
  <c r="H28" i="34"/>
  <c r="I29" i="34"/>
  <c r="G35" i="34"/>
  <c r="H36" i="34"/>
  <c r="I37" i="34"/>
  <c r="G53" i="34"/>
  <c r="G61" i="34"/>
  <c r="I74" i="34"/>
  <c r="G80" i="34"/>
  <c r="G84" i="34"/>
  <c r="G88" i="34"/>
  <c r="G26" i="34"/>
  <c r="H27" i="34"/>
  <c r="I28" i="34"/>
  <c r="G34" i="34"/>
  <c r="H35" i="34"/>
  <c r="I36" i="34"/>
  <c r="G54" i="34"/>
  <c r="G62" i="34"/>
  <c r="I75" i="34"/>
  <c r="I80" i="34"/>
  <c r="I84" i="34"/>
  <c r="I88" i="34"/>
  <c r="H26" i="34"/>
  <c r="I27" i="34"/>
  <c r="G33" i="34"/>
  <c r="H34" i="34"/>
  <c r="I35" i="34"/>
  <c r="G55" i="34"/>
  <c r="H66" i="34"/>
  <c r="H68" i="34"/>
  <c r="H70" i="34"/>
  <c r="I76" i="34"/>
  <c r="G81" i="34"/>
  <c r="G85" i="34"/>
  <c r="G89" i="34"/>
  <c r="I26" i="34"/>
  <c r="G32" i="34"/>
  <c r="H33" i="34"/>
  <c r="I34" i="34"/>
  <c r="I66" i="34"/>
  <c r="I68" i="34"/>
  <c r="I81" i="34"/>
  <c r="I85" i="34"/>
  <c r="I89" i="34"/>
  <c r="G128" i="34"/>
  <c r="G135" i="34"/>
  <c r="G143" i="34"/>
  <c r="I151" i="34"/>
  <c r="G118" i="34"/>
  <c r="G120" i="34"/>
  <c r="G122" i="34"/>
  <c r="G124" i="34"/>
  <c r="G126" i="34"/>
  <c r="G138" i="34"/>
  <c r="I152" i="34"/>
  <c r="I45" i="59"/>
  <c r="G133" i="34"/>
  <c r="G141" i="34"/>
  <c r="I153" i="34"/>
  <c r="I15" i="59"/>
  <c r="G129" i="34"/>
  <c r="G136" i="34"/>
  <c r="I154" i="34"/>
  <c r="H16" i="59"/>
  <c r="G139" i="34"/>
  <c r="I147" i="34"/>
  <c r="I155" i="34"/>
  <c r="H15" i="59"/>
  <c r="H45" i="59"/>
  <c r="G119" i="34"/>
  <c r="G121" i="34"/>
  <c r="G123" i="34"/>
  <c r="G125" i="34"/>
  <c r="G127" i="34"/>
  <c r="G134" i="34"/>
  <c r="G142" i="34"/>
  <c r="I148" i="34"/>
  <c r="I156" i="34"/>
  <c r="D16" i="57"/>
  <c r="I22" i="59"/>
  <c r="G137" i="34"/>
  <c r="I149" i="34"/>
  <c r="I157" i="34"/>
  <c r="D18" i="57"/>
  <c r="G132" i="34"/>
  <c r="G140" i="34"/>
  <c r="I150" i="34"/>
  <c r="H22" i="59"/>
  <c r="H147" i="34"/>
  <c r="H148" i="34"/>
  <c r="H149" i="34"/>
  <c r="H150" i="34"/>
  <c r="H151" i="34"/>
  <c r="H152" i="34"/>
  <c r="H153" i="34"/>
  <c r="H154" i="34"/>
  <c r="H155" i="34"/>
  <c r="H156"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7"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79" i="34"/>
  <c r="H80" i="34"/>
  <c r="H81" i="34"/>
  <c r="H82" i="34"/>
  <c r="H83" i="34"/>
  <c r="H84" i="34"/>
  <c r="H85" i="34"/>
  <c r="H86" i="34"/>
  <c r="H87" i="34"/>
  <c r="H88" i="34"/>
  <c r="H89" i="34"/>
  <c r="G65" i="34"/>
  <c r="G66" i="34"/>
  <c r="G67" i="34"/>
  <c r="G68" i="34"/>
  <c r="G69" i="34"/>
  <c r="G70" i="34"/>
  <c r="G71" i="34"/>
  <c r="G72" i="34"/>
  <c r="G73" i="34"/>
  <c r="G74" i="34"/>
  <c r="G75" i="34"/>
  <c r="G76" i="34"/>
  <c r="H72" i="34"/>
  <c r="H73" i="34"/>
  <c r="H74" i="34"/>
  <c r="H75" i="34"/>
  <c r="H76" i="34"/>
  <c r="H52" i="34"/>
  <c r="H53" i="34"/>
  <c r="H54" i="34"/>
  <c r="H55" i="34"/>
  <c r="H56" i="34"/>
  <c r="H57" i="34"/>
  <c r="H58" i="34"/>
  <c r="H59" i="34"/>
  <c r="H60" i="34"/>
  <c r="H61" i="34"/>
  <c r="H62" i="34"/>
  <c r="H63" i="34"/>
  <c r="I52" i="34"/>
  <c r="I53" i="34"/>
  <c r="I54" i="34"/>
  <c r="I55" i="34"/>
  <c r="I56" i="34"/>
  <c r="I57" i="34"/>
  <c r="I58" i="34"/>
  <c r="I59" i="34"/>
  <c r="I60" i="34"/>
  <c r="I61" i="34"/>
  <c r="I62" i="34"/>
  <c r="I63" i="34"/>
  <c r="G63" i="34"/>
  <c r="M51" i="34" l="1"/>
  <c r="L51" i="34"/>
  <c r="K51" i="34"/>
  <c r="J51" i="34"/>
  <c r="L64" i="34"/>
  <c r="K64" i="34"/>
  <c r="M77" i="34"/>
  <c r="L77" i="34"/>
  <c r="K77" i="34"/>
  <c r="J77"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01" i="34"/>
  <c r="D114" i="34"/>
  <c r="G114" i="34" s="1"/>
  <c r="D106" i="34"/>
  <c r="G106" i="34" s="1"/>
  <c r="G93" i="34"/>
  <c r="I16" i="57"/>
  <c r="E16" i="57"/>
  <c r="I18" i="57"/>
  <c r="E18" i="57"/>
  <c r="G100" i="34"/>
  <c r="D113" i="34"/>
  <c r="G113" i="34" s="1"/>
  <c r="D105" i="34"/>
  <c r="G105" i="34" s="1"/>
  <c r="G92" i="34"/>
  <c r="M64" i="34"/>
  <c r="J64" i="34"/>
  <c r="M25" i="34"/>
  <c r="L25" i="34"/>
  <c r="K25" i="34"/>
  <c r="J25"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H22" i="73"/>
  <c r="G22" i="73"/>
  <c r="F23" i="73"/>
  <c r="H23" i="73"/>
  <c r="G23" i="73"/>
  <c r="F24" i="73"/>
  <c r="H24" i="73"/>
  <c r="G24" i="73"/>
  <c r="F25" i="73"/>
  <c r="H25" i="73"/>
  <c r="G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H21" i="73"/>
  <c r="G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F11" i="73" s="1"/>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11" i="73" l="1"/>
  <c r="I34" i="73"/>
  <c r="J34" i="73" s="1"/>
  <c r="G35" i="73"/>
  <c r="H45" i="70"/>
  <c r="T49" i="70"/>
  <c r="H46" i="70"/>
  <c r="H65" i="70"/>
  <c r="T42" i="70"/>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G11" i="73" l="1"/>
  <c r="I35" i="73"/>
  <c r="J35" i="73" s="1"/>
  <c r="G65" i="70"/>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<sst xmlns="http://schemas.openxmlformats.org/spreadsheetml/2006/main" count="19813" uniqueCount="2523">
  <si>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</si>
  <si>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</si>
  <si>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</si>
  <si>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</si>
  <si>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</si>
  <si>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</si>
  <si>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</si>
  <si>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</si>
  <si>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</si>
  <si>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</si>
  <si>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</si>
  <si>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</si>
  <si>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</si>
  <si>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</si>
  <si>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</si>
  <si>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</si>
  <si>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</si>
  <si>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</si>
  <si>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</si>
  <si>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</si>
  <si>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</si>
  <si>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</si>
  <si>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</si>
  <si>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</si>
  <si>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</si>
  <si>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</si>
  <si>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</si>
  <si>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</si>
  <si>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</si>
  <si>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</si>
  <si>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</si>
  <si>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</si>
  <si>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</si>
  <si>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</si>
  <si>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</si>
  <si>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</si>
  <si>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</si>
  <si>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</si>
  <si>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</si>
  <si>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</si>
  <si>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</si>
  <si>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</si>
  <si>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</si>
  <si>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</si>
  <si>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</si>
  <si>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</si>
  <si>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</si>
  <si>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</si>
  <si>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</si>
  <si>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</si>
  <si>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</si>
  <si>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</si>
  <si>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</si>
  <si>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</si>
  <si>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</si>
  <si>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</si>
  <si>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</si>
  <si>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</si>
  <si>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</si>
  <si>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</si>
  <si>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</si>
  <si>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</si>
  <si>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</si>
  <si>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</si>
  <si>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</si>
  <si>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</si>
  <si>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</si>
  <si>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</si>
  <si>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</si>
  <si>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</si>
  <si>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</si>
  <si>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</si>
  <si>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</si>
  <si>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</si>
  <si>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</si>
  <si>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</si>
  <si>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</si>
  <si>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</si>
  <si>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</si>
  <si>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</si>
  <si>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</si>
  <si>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</si>
  <si>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</si>
  <si>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</si>
  <si>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</si>
  <si>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</si>
  <si>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</si>
  <si>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</si>
  <si>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</si>
  <si>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</si>
  <si>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</si>
  <si>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</si>
  <si>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</si>
  <si>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</si>
  <si>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</si>
  <si>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</si>
  <si>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</si>
  <si>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</si>
  <si>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</si>
  <si>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</si>
  <si>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</si>
  <si>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</si>
  <si>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</si>
  <si>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</si>
  <si>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</si>
  <si>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</si>
  <si>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</si>
  <si>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</si>
  <si>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</si>
  <si>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</si>
  <si>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</si>
  <si>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</si>
  <si>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</si>
  <si>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</si>
  <si>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</si>
  <si>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</si>
  <si>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</si>
  <si>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</si>
  <si>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</si>
  <si>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</si>
  <si>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</si>
  <si>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</si>
  <si>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</si>
  <si>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</si>
  <si>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</si>
  <si>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</si>
  <si>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</si>
  <si>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</si>
  <si>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</si>
  <si>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</si>
  <si>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</si>
  <si>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</si>
  <si>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</si>
  <si>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</si>
  <si>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</si>
  <si>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</si>
  <si>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</si>
  <si>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</si>
  <si>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</si>
  <si>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</si>
  <si>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</si>
  <si>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</si>
  <si>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</si>
  <si>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</si>
  <si>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</si>
  <si>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</si>
  <si>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</si>
  <si>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</si>
  <si>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</si>
  <si>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</si>
  <si>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</si>
  <si>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</si>
  <si>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</si>
  <si>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</si>
  <si>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</si>
  <si>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</si>
  <si>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</si>
  <si>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</si>
  <si>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</si>
  <si>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</si>
  <si>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</si>
  <si>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</si>
  <si>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</si>
  <si>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</si>
  <si>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</si>
  <si>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</si>
  <si>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</si>
  <si>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</si>
  <si>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</si>
  <si>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</si>
  <si>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</si>
  <si>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</si>
  <si>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</si>
  <si>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</si>
  <si>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</si>
  <si>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</si>
  <si>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</si>
  <si>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</si>
  <si>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</si>
  <si>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</si>
  <si>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</si>
  <si>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</si>
  <si>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</si>
  <si>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</si>
  <si>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</si>
  <si>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</si>
  <si>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</si>
  <si>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</si>
  <si>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</si>
  <si>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</si>
  <si>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</si>
  <si>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</si>
  <si>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</si>
  <si>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</si>
  <si>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</si>
  <si>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</si>
  <si>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</si>
  <si>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</si>
  <si>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</si>
  <si>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</si>
  <si>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</si>
  <si>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</si>
  <si>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</si>
  <si>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</si>
  <si>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</si>
  <si>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</si>
  <si>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</si>
  <si>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</si>
  <si>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</si>
  <si>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</si>
  <si>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</si>
  <si>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</si>
  <si>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</si>
  <si>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</si>
  <si>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</si>
  <si>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</si>
  <si>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</si>
  <si>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</si>
  <si>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</si>
  <si>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</si>
  <si>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</si>
  <si>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</si>
  <si>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</si>
  <si>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</si>
  <si>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</si>
  <si>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</si>
  <si>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</si>
  <si>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</si>
  <si>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</si>
  <si>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</si>
  <si>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</si>
  <si>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</si>
  <si>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</si>
  <si>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</si>
  <si>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</si>
  <si>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</si>
  <si>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</si>
  <si>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</si>
  <si>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</si>
  <si>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</si>
  <si>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</si>
  <si>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</si>
  <si>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</si>
  <si>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</si>
  <si>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</si>
  <si>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</si>
  <si>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</si>
  <si>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</si>
  <si>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</si>
  <si>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</si>
  <si>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</si>
  <si>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</si>
  <si>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</si>
  <si>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</si>
  <si>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</si>
  <si>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</si>
  <si>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</si>
  <si>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</si>
  <si>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</si>
  <si>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</si>
  <si>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</si>
  <si>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</si>
  <si>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</si>
  <si>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</si>
  <si>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</si>
  <si>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</si>
  <si>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</si>
  <si>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</si>
  <si>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</si>
  <si>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</si>
  <si>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</si>
  <si>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</si>
  <si>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</si>
  <si>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</si>
  <si>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</si>
  <si>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</si>
  <si>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</si>
  <si>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</si>
  <si>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</si>
  <si>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</si>
  <si>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</si>
  <si>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</si>
  <si>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</si>
  <si>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</si>
  <si>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</si>
  <si>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</si>
  <si>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</si>
  <si>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</si>
  <si>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</si>
  <si>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</si>
  <si>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</si>
  <si>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</si>
  <si>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</si>
  <si>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</si>
  <si>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</si>
  <si>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</si>
  <si>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</si>
  <si>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</si>
  <si>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</si>
  <si>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</si>
  <si>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</si>
  <si>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</si>
  <si>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</si>
  <si>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</si>
  <si>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</si>
  <si>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</si>
  <si>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</si>
  <si>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</si>
  <si>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</si>
  <si>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</si>
  <si>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</si>
  <si>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</si>
  <si>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</si>
  <si>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</si>
  <si>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</si>
  <si>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</si>
  <si>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</si>
  <si>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</si>
  <si>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</si>
  <si>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</si>
  <si>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</si>
  <si>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</si>
  <si>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</si>
  <si>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</si>
  <si>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</si>
  <si>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</si>
  <si>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</si>
  <si>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</si>
  <si>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</si>
  <si>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</si>
  <si>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</si>
  <si>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</si>
  <si>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</si>
  <si>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</si>
  <si>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</si>
  <si>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</si>
  <si>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</si>
  <si>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</si>
  <si>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</si>
  <si>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</si>
  <si>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</si>
  <si>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</si>
  <si>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</si>
  <si>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</si>
  <si>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</si>
  <si>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</si>
  <si>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</si>
  <si>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</si>
  <si>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</si>
  <si>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</si>
  <si>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</si>
  <si>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</si>
  <si>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</si>
  <si>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</si>
  <si>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</si>
  <si>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</si>
  <si>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</si>
  <si>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</si>
  <si>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</si>
  <si>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</si>
  <si>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</si>
  <si>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</si>
  <si>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</si>
  <si>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</si>
  <si>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</si>
  <si>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</si>
  <si>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</si>
  <si>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</si>
  <si>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</si>
  <si>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</si>
  <si>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</si>
  <si>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</si>
  <si>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</si>
  <si>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</si>
  <si>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</si>
  <si>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</si>
  <si>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</si>
  <si>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</si>
  <si>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</si>
  <si>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</si>
  <si>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</si>
  <si>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</si>
  <si>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</si>
  <si>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</si>
  <si>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</si>
  <si>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</si>
  <si>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</si>
  <si>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</si>
  <si>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</si>
  <si>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</si>
  <si>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</si>
  <si>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</si>
  <si>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</si>
  <si>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</si>
  <si>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</si>
  <si>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</si>
  <si>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</si>
  <si>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</si>
  <si>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</si>
  <si>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</si>
  <si>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</si>
  <si>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</si>
  <si>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</si>
  <si>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</si>
  <si>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</si>
  <si>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</si>
  <si>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</si>
  <si>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</si>
  <si>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</si>
  <si>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</si>
  <si>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</si>
  <si>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</si>
  <si>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</si>
  <si>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</si>
  <si>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</si>
  <si>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</si>
  <si>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</si>
  <si>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</si>
  <si>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</si>
  <si>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</si>
  <si>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</si>
  <si>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</si>
  <si>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</si>
  <si>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</si>
  <si>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</si>
  <si>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</si>
  <si>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</si>
  <si>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</si>
  <si>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</si>
  <si>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</si>
  <si>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</si>
  <si>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</si>
  <si>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</si>
  <si>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</si>
  <si>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</si>
  <si>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</si>
  <si>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</si>
  <si>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</si>
  <si>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</si>
  <si>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</si>
  <si>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</si>
  <si>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</si>
  <si>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</si>
  <si>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</si>
  <si>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</si>
  <si>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</si>
  <si>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</si>
  <si>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</si>
  <si>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</si>
  <si>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</si>
  <si>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</si>
  <si>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</si>
  <si>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</si>
  <si>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</si>
  <si>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</si>
  <si>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</si>
  <si>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</si>
  <si>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</si>
  <si>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</si>
  <si>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</si>
  <si>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</si>
  <si>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</si>
  <si>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</si>
  <si>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</si>
  <si>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</si>
  <si>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</si>
  <si>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</si>
  <si>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</si>
  <si>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</si>
  <si>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</si>
  <si>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</si>
  <si>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</si>
  <si>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</si>
  <si>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</si>
  <si>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</si>
  <si>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</si>
  <si>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</si>
  <si>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</si>
  <si>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</si>
  <si>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</si>
  <si>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</si>
  <si>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</si>
  <si>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</si>
  <si>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</si>
  <si>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</si>
  <si>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</si>
  <si>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</si>
  <si>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</si>
  <si>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</si>
  <si>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</si>
  <si>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</si>
  <si>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</si>
  <si>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</si>
  <si>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</si>
  <si>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</si>
  <si>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</si>
  <si>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</si>
  <si>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</si>
  <si>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</si>
  <si>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</si>
  <si>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</si>
  <si>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</si>
  <si>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</si>
  <si>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</si>
  <si>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</si>
  <si>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</si>
  <si>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</si>
  <si>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</si>
  <si>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</si>
  <si>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</si>
  <si>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</si>
  <si>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</si>
  <si>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</si>
  <si>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</si>
  <si>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</si>
  <si>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</si>
  <si>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</si>
  <si>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</si>
  <si>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</si>
  <si>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</si>
  <si>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</si>
  <si>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</si>
  <si>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</si>
  <si>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</si>
  <si>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</si>
  <si>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</si>
  <si>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</si>
  <si>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</si>
  <si>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</si>
  <si>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</si>
  <si>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</si>
  <si>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</si>
  <si>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</si>
  <si>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</si>
  <si>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</si>
  <si>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</si>
  <si>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</si>
  <si>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</si>
  <si>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</si>
  <si>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</si>
  <si>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</si>
  <si>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</si>
  <si>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</si>
  <si>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</si>
  <si>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</si>
  <si>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</si>
  <si>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</si>
  <si>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</si>
  <si>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</si>
  <si>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</si>
  <si>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</si>
  <si>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</si>
  <si>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</si>
  <si>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</si>
  <si>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</si>
  <si>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</si>
  <si>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</si>
  <si>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</si>
  <si>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</si>
  <si>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</si>
  <si>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</si>
  <si>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</si>
  <si>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</si>
  <si>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</si>
  <si>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</si>
  <si>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</si>
  <si>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</si>
  <si>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</si>
  <si>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</si>
  <si>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</si>
  <si>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</si>
  <si>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</si>
  <si>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</si>
  <si>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</si>
  <si>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</si>
  <si>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</si>
  <si>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</si>
  <si>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</si>
  <si>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</si>
  <si>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</si>
  <si>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</si>
  <si>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</si>
  <si>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</si>
  <si>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</si>
  <si>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</si>
  <si>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</si>
  <si>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</si>
  <si>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</si>
  <si>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</si>
  <si>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</si>
  <si>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</si>
  <si>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</si>
  <si>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</si>
  <si>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</si>
  <si>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</si>
  <si>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</si>
  <si>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</si>
  <si>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</si>
  <si>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</si>
  <si>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</si>
  <si>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</si>
  <si>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</si>
  <si>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</si>
  <si>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</si>
  <si>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</si>
  <si>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</si>
  <si>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</si>
  <si>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</si>
  <si>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</si>
  <si>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</si>
  <si>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</si>
  <si>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</si>
  <si>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</si>
  <si>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</si>
  <si>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</si>
  <si>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</si>
  <si>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</si>
  <si>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</si>
  <si>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</si>
  <si>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</si>
  <si>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</si>
  <si>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</si>
  <si>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</si>
  <si>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</si>
  <si>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</si>
  <si>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</si>
  <si>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</si>
  <si>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</si>
  <si>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</si>
  <si>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</si>
  <si>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</si>
  <si>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</si>
  <si>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</si>
  <si>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</si>
  <si>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</si>
  <si>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</si>
  <si>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</si>
  <si>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</si>
  <si>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</si>
  <si>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</si>
  <si>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</si>
  <si>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</si>
  <si>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</si>
  <si>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</si>
  <si>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</si>
  <si>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</si>
  <si>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</si>
  <si>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</si>
  <si>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</si>
  <si>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</si>
  <si>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</si>
  <si>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</si>
  <si>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</si>
  <si>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</si>
  <si>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</si>
  <si>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</si>
  <si>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</si>
  <si>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</si>
  <si>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</si>
  <si>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</si>
  <si>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</si>
  <si>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</si>
  <si>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</si>
  <si>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</si>
  <si>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</si>
  <si>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</si>
  <si>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</si>
  <si>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</si>
  <si>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</si>
  <si>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</si>
  <si>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</si>
  <si>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</si>
  <si>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</si>
  <si>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</si>
  <si>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</si>
  <si>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</si>
  <si>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</si>
  <si>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</si>
  <si>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</si>
  <si>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</si>
  <si>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</si>
  <si>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</si>
  <si>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</si>
  <si>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</si>
  <si>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</si>
  <si>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</si>
  <si>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</si>
  <si>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</si>
  <si>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</si>
  <si>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</si>
  <si>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</si>
  <si>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</si>
  <si>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</si>
  <si>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</si>
  <si>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</si>
  <si>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</si>
  <si>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</si>
  <si>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</si>
  <si>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</si>
  <si>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</si>
  <si>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</si>
  <si>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</si>
  <si>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</si>
  <si>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</si>
  <si>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</si>
  <si>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</si>
  <si>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</si>
  <si>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</si>
  <si>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</si>
  <si>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</si>
  <si>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</si>
  <si>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</si>
  <si>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</si>
  <si>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</si>
  <si>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</si>
  <si>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</si>
  <si>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</si>
  <si>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</si>
  <si>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</si>
  <si>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</si>
  <si>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</si>
  <si>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</si>
  <si>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</si>
  <si>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</si>
  <si>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</si>
  <si>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</si>
  <si>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</si>
  <si>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</si>
  <si>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</si>
  <si>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</si>
  <si>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</si>
  <si>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</si>
  <si>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</si>
  <si>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</si>
  <si>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</si>
  <si>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</si>
  <si>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</si>
  <si>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</si>
  <si>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</si>
  <si>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</si>
  <si>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</si>
  <si>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</si>
  <si>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</si>
  <si>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</si>
  <si>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</si>
  <si>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</si>
  <si>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</si>
  <si>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</si>
  <si>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</si>
  <si>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</si>
  <si>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</si>
  <si>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</si>
  <si>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</si>
  <si>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</si>
  <si>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</si>
  <si>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</si>
  <si>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</si>
  <si>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</si>
  <si>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</si>
  <si>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</si>
  <si>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</si>
  <si>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</si>
  <si>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</si>
  <si>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</si>
  <si>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</si>
  <si>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</si>
  <si>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</si>
  <si>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</si>
  <si>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</si>
  <si>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</si>
  <si>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</si>
  <si>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</si>
  <si>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</si>
  <si>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</si>
  <si>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</si>
  <si>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</si>
  <si>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</si>
  <si>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</si>
  <si>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</si>
  <si>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</si>
  <si>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</si>
  <si>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</si>
  <si>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</si>
  <si>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</si>
  <si>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</si>
  <si>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</si>
  <si>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</si>
  <si>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</si>
  <si>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</si>
  <si>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</si>
  <si>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</si>
  <si>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</si>
  <si>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</si>
  <si>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</si>
  <si>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</si>
  <si>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</si>
  <si>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</si>
  <si>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</si>
  <si>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</si>
  <si>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</si>
  <si>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</si>
  <si>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</si>
  <si>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</si>
  <si>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</si>
  <si>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</si>
  <si>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</si>
  <si>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</si>
  <si>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</si>
  <si>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</si>
  <si>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</si>
  <si>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</si>
  <si>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</si>
  <si>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</si>
  <si>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</si>
  <si>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</si>
  <si>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</si>
  <si>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</si>
  <si>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</si>
  <si>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</si>
  <si>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</si>
  <si>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</si>
  <si>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</si>
  <si>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</si>
  <si>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</si>
  <si>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</si>
  <si>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</si>
  <si>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</si>
  <si>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</si>
  <si>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</si>
  <si>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</si>
  <si>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</si>
  <si>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</si>
  <si>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</si>
  <si>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</si>
  <si>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</si>
  <si>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</si>
  <si>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</si>
  <si>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</si>
  <si>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</si>
  <si>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</si>
  <si>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</si>
  <si>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</si>
  <si>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</si>
  <si>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</si>
  <si>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</si>
  <si>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</si>
  <si>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</si>
  <si>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</si>
  <si>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</si>
  <si>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</si>
  <si>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</si>
  <si>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</si>
  <si>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</si>
  <si>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</si>
  <si>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</si>
  <si>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</si>
  <si>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</si>
  <si>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</si>
  <si>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</si>
  <si>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</si>
  <si>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</si>
  <si>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</si>
  <si>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</si>
  <si>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</si>
  <si>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</si>
  <si>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</si>
  <si>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</si>
  <si>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</si>
  <si>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</si>
  <si>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</si>
  <si>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</si>
  <si>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</si>
  <si>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</si>
  <si>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</si>
  <si>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</si>
  <si>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</si>
  <si>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</si>
  <si>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</si>
  <si>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</si>
  <si>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</si>
  <si>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</si>
  <si>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</si>
  <si>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</si>
  <si>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</si>
  <si>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</si>
  <si>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</si>
  <si>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</si>
  <si>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</si>
  <si>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</si>
  <si>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</si>
  <si>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</si>
  <si>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</si>
  <si>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</si>
  <si>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</si>
  <si>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</si>
  <si>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</si>
  <si>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</si>
  <si>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</si>
  <si>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</si>
  <si>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</si>
  <si>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</si>
  <si>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</si>
  <si>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</si>
  <si>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</si>
  <si>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</si>
  <si>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</si>
  <si>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</si>
  <si>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</si>
  <si>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</si>
  <si>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</si>
  <si>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</si>
  <si>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</si>
  <si>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</si>
  <si>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</si>
  <si>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</si>
  <si>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</si>
  <si>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</si>
  <si>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</si>
  <si>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</si>
  <si>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</si>
  <si>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</si>
  <si>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</si>
  <si>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</si>
  <si>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</si>
  <si>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</si>
  <si>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</si>
  <si>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</si>
  <si>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</si>
  <si>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</si>
  <si>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</si>
  <si>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</si>
  <si>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</si>
  <si>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</si>
  <si>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</si>
  <si>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</si>
  <si>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</si>
  <si>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</si>
  <si>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</si>
  <si>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</si>
  <si>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</si>
  <si>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</si>
  <si>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</si>
  <si>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</si>
  <si>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</si>
  <si>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</si>
  <si>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</si>
  <si>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</si>
  <si>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</si>
  <si>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</si>
  <si>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</si>
  <si>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</si>
  <si>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</si>
  <si>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</si>
  <si>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</si>
  <si>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</si>
  <si>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</si>
  <si>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</si>
  <si>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</si>
  <si>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</si>
  <si>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</si>
  <si>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</si>
  <si>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</si>
  <si>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</si>
  <si>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</si>
  <si>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</si>
  <si>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</si>
  <si>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</si>
  <si>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</si>
  <si>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</si>
  <si>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</si>
  <si>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</si>
  <si>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</si>
  <si>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</si>
  <si>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</si>
  <si>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</si>
  <si>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</si>
  <si>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</si>
  <si>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</si>
  <si>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</si>
  <si>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</si>
  <si>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</si>
  <si>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</si>
  <si>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</si>
  <si>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</si>
  <si>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</si>
  <si>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</si>
  <si>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</si>
  <si>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</si>
  <si>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</si>
  <si>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</si>
  <si>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</si>
  <si>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</si>
  <si>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</si>
  <si>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</si>
  <si>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</si>
  <si>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</si>
  <si>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</si>
  <si>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</si>
  <si>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</si>
  <si>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</si>
  <si>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</si>
  <si>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</si>
  <si>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</si>
  <si>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</si>
  <si>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</si>
  <si>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</si>
  <si>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</si>
  <si>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</si>
  <si>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</si>
  <si>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</si>
  <si>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</si>
  <si>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</si>
  <si>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</si>
  <si>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</si>
  <si>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</si>
  <si>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</si>
  <si>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</si>
  <si>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</si>
  <si>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</si>
  <si>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</si>
  <si>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</si>
  <si>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</si>
  <si>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</si>
  <si>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</si>
  <si>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</si>
  <si>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</si>
  <si>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</si>
  <si>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</si>
  <si>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</si>
  <si>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</si>
  <si>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</si>
  <si>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</si>
  <si>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</si>
  <si>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</si>
  <si>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</si>
  <si>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</si>
  <si>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</si>
  <si>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</si>
  <si>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</si>
  <si>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</si>
  <si>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</si>
  <si>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</si>
  <si>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</si>
  <si>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</si>
  <si>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</si>
  <si>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</si>
  <si>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</si>
  <si>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</si>
  <si>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</si>
  <si>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</si>
  <si>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</si>
  <si>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</si>
  <si>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</si>
  <si>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</si>
  <si>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</si>
  <si>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</si>
  <si>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</si>
  <si>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</si>
  <si>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</si>
  <si>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</si>
  <si>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</si>
  <si>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</si>
  <si>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</si>
  <si>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</si>
  <si>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</si>
  <si>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</si>
  <si>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</si>
  <si>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</si>
  <si>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</si>
  <si>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</si>
  <si>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</si>
  <si>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</si>
  <si>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</si>
  <si>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</si>
  <si>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</si>
  <si>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</si>
  <si>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</si>
  <si>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</si>
  <si>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</si>
  <si>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</si>
  <si>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</si>
  <si>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</si>
  <si>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</si>
  <si>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</si>
  <si>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</si>
  <si>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</si>
  <si>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</si>
  <si>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</si>
  <si>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</si>
  <si>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</si>
  <si>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</si>
  <si>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</si>
  <si>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</si>
  <si>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</si>
  <si>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</si>
  <si>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</si>
  <si>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</si>
  <si>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</si>
  <si>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</si>
  <si>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</si>
  <si>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</si>
  <si>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</si>
  <si>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</si>
  <si>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</si>
  <si>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</si>
  <si>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</si>
  <si>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</si>
  <si>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</si>
  <si>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</si>
  <si>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</si>
  <si>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</si>
  <si>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</si>
  <si>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</si>
  <si>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</si>
  <si>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</si>
  <si>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</si>
  <si>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</si>
  <si>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</si>
  <si>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</si>
  <si>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</si>
  <si>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</si>
  <si>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</si>
  <si>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</si>
  <si>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</si>
  <si>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</si>
  <si>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</si>
  <si>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</si>
  <si>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</si>
  <si>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</si>
  <si>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</si>
  <si>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</si>
  <si>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</si>
  <si>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</si>
  <si>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</si>
  <si>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</si>
  <si>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</si>
  <si>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</si>
  <si>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</si>
  <si>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</si>
  <si>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</si>
  <si>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</si>
  <si>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</si>
  <si>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</si>
  <si>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</si>
  <si>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</si>
  <si>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</si>
  <si>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</si>
  <si>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</si>
  <si>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</si>
  <si>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</si>
  <si>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</si>
  <si>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</si>
  <si>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</si>
  <si>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</si>
  <si>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</si>
  <si>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</si>
  <si>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</si>
  <si>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</si>
  <si>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</si>
  <si>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</si>
  <si>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</si>
  <si>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</si>
  <si>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</si>
  <si>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</si>
  <si>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</si>
  <si>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</si>
  <si>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</si>
  <si>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</si>
  <si>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</si>
  <si>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</si>
  <si>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</si>
  <si>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</si>
  <si>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</si>
  <si>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</si>
  <si>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</si>
  <si>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</si>
  <si>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</si>
  <si>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</si>
  <si>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</si>
  <si>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</si>
  <si>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</si>
  <si>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</si>
  <si>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</si>
  <si>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</si>
  <si>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</si>
  <si>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</si>
  <si>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</si>
  <si>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</si>
  <si>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</si>
  <si>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</si>
  <si>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</si>
  <si>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</si>
  <si>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</si>
  <si>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</si>
  <si>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</si>
  <si>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</si>
  <si>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</si>
  <si>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</si>
  <si>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</si>
  <si>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</si>
  <si>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</si>
  <si>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</si>
  <si>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</si>
  <si>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</si>
  <si>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</si>
  <si>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</si>
  <si>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</si>
  <si>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</si>
  <si>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</si>
  <si>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</si>
  <si>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</si>
  <si>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</si>
  <si>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</si>
  <si>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</si>
  <si>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</si>
  <si>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</si>
  <si>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</si>
  <si>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</si>
  <si>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</si>
  <si>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</si>
  <si>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</si>
  <si>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</si>
  <si>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</si>
  <si>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</si>
  <si>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</si>
  <si>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</si>
  <si>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</si>
  <si>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</si>
  <si>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</si>
  <si>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</si>
  <si>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</si>
  <si>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</si>
  <si>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</si>
  <si>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</si>
  <si>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</si>
  <si>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</si>
  <si>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</si>
  <si>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</si>
  <si>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</si>
  <si>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</si>
  <si>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</si>
  <si>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</si>
  <si>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</si>
  <si>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</si>
  <si>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</si>
  <si>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</si>
  <si>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</si>
  <si>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</si>
  <si>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</si>
  <si>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</si>
  <si>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</si>
  <si>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</si>
  <si>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</si>
  <si>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</si>
  <si>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</si>
  <si>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</si>
  <si>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</si>
  <si>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</si>
  <si>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</si>
  <si>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</si>
  <si>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</si>
  <si>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</si>
  <si>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</si>
  <si>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</si>
  <si>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</si>
  <si>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</si>
  <si>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</si>
  <si>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</si>
  <si>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</si>
  <si>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</si>
  <si>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</si>
  <si>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</si>
  <si>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</si>
  <si>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</si>
  <si>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</si>
  <si>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</si>
  <si>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</si>
  <si>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</si>
  <si>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</si>
  <si>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</si>
  <si>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</si>
  <si>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</si>
  <si>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</si>
  <si>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</si>
  <si>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</si>
  <si>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</si>
  <si>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</si>
  <si>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</si>
  <si>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</si>
  <si>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</si>
  <si>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</si>
  <si>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</si>
  <si>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</si>
  <si>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</si>
  <si>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</si>
  <si>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</si>
  <si>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</si>
  <si>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</si>
  <si>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</si>
  <si>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</si>
  <si>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</si>
  <si>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</si>
  <si>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</si>
  <si>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</si>
  <si>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</si>
  <si>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</si>
  <si>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</si>
  <si>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</si>
  <si>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</si>
  <si>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</si>
  <si>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</si>
  <si>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</si>
  <si>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</si>
  <si>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</si>
  <si>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</si>
  <si>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</si>
  <si>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</si>
  <si>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</si>
  <si>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</si>
  <si>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</si>
  <si>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</si>
  <si>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</si>
  <si>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</si>
  <si>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</si>
  <si>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</si>
  <si>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</si>
  <si>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</si>
  <si>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</si>
  <si>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</si>
  <si>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</si>
  <si>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</si>
  <si>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</si>
  <si>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</si>
  <si>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</si>
  <si>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</si>
  <si>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</si>
  <si>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</si>
  <si>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</si>
  <si>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</si>
  <si>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</si>
  <si>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</si>
  <si>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</si>
  <si>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</si>
  <si>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</si>
  <si>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</si>
  <si>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</si>
  <si>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</si>
  <si>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</si>
  <si>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</si>
  <si>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</si>
  <si>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</si>
  <si>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</si>
  <si>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</si>
  <si>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</si>
  <si>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</si>
  <si>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</si>
  <si>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</si>
  <si>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</si>
  <si>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</si>
  <si>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</si>
  <si>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</si>
  <si>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</si>
  <si>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</si>
  <si>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</si>
  <si>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</si>
  <si>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</si>
  <si>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</si>
  <si>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</si>
  <si>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</si>
  <si>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</si>
  <si>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</si>
  <si>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</si>
  <si>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</si>
  <si>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</si>
  <si>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</si>
  <si>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</si>
  <si>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</si>
  <si>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</si>
  <si>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</si>
  <si>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</si>
  <si>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</si>
  <si>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</si>
  <si>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</si>
  <si>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</si>
  <si>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</si>
  <si>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</si>
  <si>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</si>
  <si>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</si>
  <si>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</si>
  <si>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</si>
  <si>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</si>
  <si>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</si>
  <si>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</si>
  <si>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</si>
  <si>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</si>
  <si>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</si>
  <si>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</si>
  <si>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</si>
  <si>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</si>
  <si>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</si>
  <si>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</si>
  <si>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</si>
  <si>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</si>
  <si>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</si>
  <si>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</si>
  <si>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</si>
  <si>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</si>
  <si>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</si>
  <si>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</si>
  <si>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</si>
  <si>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</si>
  <si>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</si>
  <si>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</si>
  <si>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</si>
  <si>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</si>
  <si>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</si>
  <si>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</si>
  <si>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</si>
  <si>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</si>
  <si>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</si>
  <si>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</si>
  <si>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</si>
  <si>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</si>
  <si>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</si>
  <si>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</si>
  <si>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</si>
  <si>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</si>
  <si>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</si>
  <si>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</si>
  <si>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</si>
  <si>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</si>
  <si>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</si>
  <si>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</si>
  <si>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</si>
  <si>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</si>
  <si>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</si>
  <si>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</si>
  <si>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</si>
  <si>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</si>
  <si>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</si>
  <si>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</si>
  <si>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</si>
  <si>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</si>
  <si>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</si>
  <si>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</si>
  <si>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</si>
  <si>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</si>
  <si>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</si>
  <si>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</si>
  <si>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</si>
  <si>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</si>
  <si>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</si>
  <si>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</si>
  <si>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</si>
  <si>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</si>
  <si>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</si>
  <si>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</si>
  <si>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</si>
  <si>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</si>
  <si>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</si>
  <si>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</si>
  <si>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</si>
  <si>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</si>
  <si>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</si>
  <si>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</si>
  <si>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</si>
  <si>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</si>
  <si>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</si>
  <si>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</si>
  <si>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</si>
  <si>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</si>
  <si>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</si>
  <si>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</si>
  <si>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</si>
  <si>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</si>
  <si>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</si>
  <si>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</si>
  <si>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</si>
  <si>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</si>
  <si>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</si>
  <si>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</si>
  <si>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</si>
  <si>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</si>
  <si>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</si>
  <si>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</si>
  <si>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</si>
  <si>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</si>
  <si>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</si>
  <si>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</si>
  <si>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</si>
  <si>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</si>
  <si>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</si>
  <si>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</si>
  <si>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</si>
  <si>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</si>
  <si>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</si>
  <si>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</si>
  <si>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</si>
  <si>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</si>
  <si>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</si>
  <si>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</si>
  <si>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</si>
  <si>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</si>
  <si>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</si>
  <si>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</si>
  <si>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</si>
  <si>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</si>
  <si>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</si>
  <si>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</si>
  <si>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</si>
  <si>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</si>
  <si>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</si>
  <si>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</si>
  <si>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</si>
  <si>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</si>
  <si>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</si>
  <si>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</si>
  <si>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</si>
  <si>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</si>
  <si>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</si>
  <si>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</si>
  <si>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</si>
  <si>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</si>
  <si>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</si>
  <si>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</si>
  <si>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</si>
  <si>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</si>
  <si>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</si>
  <si>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</si>
  <si>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</si>
  <si>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</si>
  <si>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</si>
  <si>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</si>
  <si>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</si>
  <si>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</si>
  <si>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</si>
  <si>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</si>
  <si>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</si>
  <si>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</si>
  <si>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</si>
  <si>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</si>
  <si>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</si>
  <si>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</si>
  <si>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</si>
  <si>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</si>
  <si>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</si>
  <si>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</si>
  <si>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</si>
  <si>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</si>
  <si>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</si>
  <si>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</si>
  <si>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</si>
  <si>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</si>
  <si>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</si>
  <si>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</si>
  <si>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</si>
  <si>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</si>
  <si>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</si>
  <si>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</si>
  <si>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</si>
  <si>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</si>
  <si>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</si>
  <si>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</si>
  <si>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</si>
  <si>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</si>
  <si>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</si>
  <si>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</si>
  <si>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</si>
  <si>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</si>
  <si>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</si>
  <si>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</si>
  <si>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</si>
  <si>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</si>
  <si>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</si>
  <si>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</si>
  <si>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</si>
  <si>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</si>
  <si>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</si>
  <si>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</si>
  <si>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</si>
  <si>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</si>
  <si>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</si>
  <si>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</si>
  <si>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</si>
  <si>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</si>
  <si>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</si>
  <si>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</si>
  <si>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</si>
  <si>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</si>
  <si>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</si>
  <si>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</si>
  <si>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</si>
  <si>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</si>
  <si>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</si>
  <si>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</si>
  <si>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</si>
  <si>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</si>
  <si>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</si>
  <si>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</si>
  <si>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</si>
  <si>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</si>
  <si>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</si>
  <si>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</si>
  <si>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</si>
  <si>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</si>
  <si>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</si>
  <si>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</si>
  <si>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</si>
  <si>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</si>
  <si>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</si>
  <si>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</si>
  <si>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</si>
  <si>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</si>
  <si>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</si>
  <si>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</si>
  <si>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</si>
  <si>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</si>
  <si>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</si>
  <si>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</si>
  <si>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</si>
  <si>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</si>
  <si>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</si>
  <si>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</si>
  <si>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</si>
  <si>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</si>
  <si>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</si>
  <si>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</si>
  <si>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</si>
  <si>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</si>
  <si>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</si>
  <si>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</si>
  <si>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</si>
  <si>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</si>
  <si>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</si>
  <si>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</si>
  <si>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</si>
  <si>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</si>
  <si>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</si>
  <si>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</si>
  <si>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</si>
  <si>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</si>
  <si>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</si>
  <si>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</si>
  <si>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</si>
  <si>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</si>
  <si>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</si>
  <si>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</si>
  <si>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</si>
  <si>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</si>
  <si>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</si>
  <si>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</si>
  <si>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</si>
  <si>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</si>
  <si>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</si>
  <si>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</si>
  <si>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</si>
  <si>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</si>
  <si>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</si>
  <si>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</si>
  <si>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</si>
  <si>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</si>
  <si>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</si>
  <si>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</si>
  <si>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</si>
  <si>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</si>
  <si>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</si>
  <si>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</si>
  <si>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</si>
  <si>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</si>
  <si>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</si>
  <si>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</si>
  <si>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</si>
  <si>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</si>
  <si>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</si>
  <si>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</si>
  <si>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</si>
  <si>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</si>
  <si>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</si>
  <si>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</si>
  <si>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</si>
  <si>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</si>
  <si>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</si>
  <si>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</si>
  <si>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</si>
  <si>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</si>
  <si>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</si>
  <si>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</si>
  <si>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</si>
  <si>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</si>
  <si>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</si>
  <si>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</si>
  <si>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</si>
  <si>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</si>
  <si>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</si>
  <si>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</si>
  <si>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</si>
  <si>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</si>
  <si>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</si>
  <si>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</si>
  <si>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</si>
  <si>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</si>
  <si>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</si>
  <si>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</si>
  <si>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</si>
  <si>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</si>
  <si>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</si>
  <si>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</si>
  <si>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</si>
  <si>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</si>
  <si>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</si>
  <si>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</si>
  <si>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</si>
  <si>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</si>
  <si>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</si>
  <si>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</si>
  <si>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</si>
  <si>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</si>
  <si>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</si>
  <si>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</si>
  <si>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</si>
  <si>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</si>
  <si>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</si>
  <si>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</si>
  <si>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</si>
  <si>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</si>
  <si>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</si>
  <si>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</si>
  <si>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</si>
  <si>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</si>
  <si>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</si>
  <si>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</si>
  <si>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</si>
  <si>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</si>
  <si>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</si>
  <si>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</si>
  <si>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</si>
  <si>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</si>
  <si>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</si>
  <si>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</si>
  <si>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</si>
  <si>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</si>
  <si>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</si>
  <si>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</si>
  <si>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</si>
  <si>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</si>
  <si>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</si>
  <si>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</si>
  <si>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</si>
  <si>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</si>
  <si>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</si>
  <si>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</si>
  <si>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</si>
  <si>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</si>
  <si>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</si>
  <si>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</si>
  <si>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</si>
  <si>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</si>
  <si>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</si>
  <si>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</si>
  <si>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</si>
  <si>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</si>
  <si>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</si>
  <si>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</si>
  <si>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</si>
  <si>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</si>
  <si>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</si>
  <si>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</si>
  <si>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</si>
  <si>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</si>
  <si>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</si>
  <si>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</si>
  <si>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</si>
  <si>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</si>
  <si>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</si>
  <si>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</si>
  <si>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</si>
  <si>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</si>
  <si>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</si>
  <si>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</si>
  <si>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</si>
  <si>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</si>
  <si>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</si>
  <si>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</si>
  <si>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</si>
  <si>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</si>
  <si>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</si>
  <si>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</si>
  <si>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</si>
  <si>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</si>
  <si>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</si>
  <si>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</si>
  <si>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</si>
  <si>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</si>
  <si>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</si>
  <si>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</si>
  <si>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</si>
  <si>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</si>
  <si>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</si>
  <si>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</si>
  <si>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</si>
  <si>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</si>
  <si>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</si>
  <si>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</si>
  <si>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</si>
  <si>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</si>
  <si>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</si>
  <si>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</si>
  <si>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</si>
  <si>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</si>
  <si>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</si>
  <si>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</si>
  <si>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</si>
  <si>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</si>
  <si>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</si>
  <si>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</si>
  <si>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</si>
  <si>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</si>
  <si>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</si>
  <si>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</si>
  <si>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</si>
  <si>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</si>
  <si>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</si>
  <si>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</si>
  <si>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</si>
  <si>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</si>
  <si>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</si>
  <si>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</si>
  <si>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</si>
  <si>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</si>
  <si>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</si>
  <si>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</si>
  <si>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</si>
  <si>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</si>
  <si>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</si>
  <si>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</si>
  <si>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</si>
  <si>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</si>
  <si>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</si>
  <si>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</si>
  <si>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</si>
  <si>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</si>
  <si>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</si>
  <si>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</si>
  <si>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</si>
  <si>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</si>
  <si>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</si>
  <si>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</si>
  <si>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</si>
  <si>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</si>
  <si>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</si>
  <si>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</si>
  <si>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</si>
  <si>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</si>
  <si>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</si>
  <si>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</si>
  <si>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</si>
  <si>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</si>
  <si>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</si>
  <si>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</si>
  <si>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</si>
  <si>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</si>
  <si>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</si>
  <si>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</si>
  <si>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</si>
  <si>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</si>
  <si>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</si>
  <si>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</si>
  <si>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</si>
  <si>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</si>
  <si>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</si>
  <si>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</si>
  <si>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</si>
  <si>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</si>
  <si>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</si>
  <si>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</si>
  <si>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</si>
  <si>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</si>
  <si>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</si>
  <si>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</si>
  <si>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</si>
  <si>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</si>
  <si>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</si>
  <si>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</si>
  <si>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</si>
  <si>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</si>
  <si>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</si>
  <si>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</si>
  <si>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</si>
  <si>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</si>
  <si>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</si>
  <si>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</si>
  <si>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</si>
  <si>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</si>
  <si>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</si>
  <si>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</si>
  <si>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</si>
  <si>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</si>
  <si>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</si>
  <si>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</si>
  <si>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</si>
  <si>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</si>
  <si>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</si>
  <si>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</si>
  <si>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</si>
  <si>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</si>
  <si>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</si>
  <si>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</si>
  <si>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</si>
  <si>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</si>
  <si>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</si>
  <si>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</si>
  <si>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</si>
  <si>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</si>
  <si>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</si>
  <si>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</si>
  <si>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</si>
  <si>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</si>
  <si>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</si>
  <si>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</si>
  <si>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</si>
  <si>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</si>
  <si>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</si>
  <si>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</si>
  <si>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</si>
  <si>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</si>
  <si>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</si>
  <si>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</si>
  <si>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</si>
  <si>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</si>
  <si>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</si>
  <si>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</si>
  <si>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</si>
  <si>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</si>
  <si>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</si>
  <si>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</si>
  <si>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</si>
  <si>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</si>
  <si>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</si>
  <si>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</si>
  <si>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</si>
  <si>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</si>
  <si>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</si>
  <si>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</si>
  <si>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</si>
  <si>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</si>
  <si>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</si>
  <si>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</si>
  <si>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</si>
  <si>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</si>
  <si>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</si>
  <si>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</si>
  <si>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</si>
  <si>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</si>
  <si>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</si>
  <si>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</si>
  <si>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</si>
  <si>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</si>
  <si>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</si>
  <si>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</si>
  <si>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</si>
  <si>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</si>
  <si>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</si>
  <si>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</si>
  <si>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</si>
  <si>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</si>
  <si>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</si>
  <si>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</si>
  <si>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</si>
  <si>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</si>
  <si>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</si>
  <si>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</si>
  <si>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</si>
  <si>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</si>
  <si>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</si>
  <si>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</si>
  <si>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</si>
  <si>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</si>
  <si>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</si>
  <si>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</si>
  <si>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</si>
  <si>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</si>
  <si>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</si>
  <si>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</si>
  <si>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</si>
  <si>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</si>
  <si>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</si>
  <si>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</si>
  <si>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</si>
  <si>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</si>
  <si>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</si>
  <si>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</si>
  <si>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</si>
  <si>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</si>
  <si>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</si>
  <si>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</si>
  <si>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</si>
  <si>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</si>
  <si>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</si>
  <si>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</si>
  <si>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</si>
  <si>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</si>
  <si>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</si>
  <si>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</si>
  <si>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</si>
  <si>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</si>
  <si>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</si>
  <si>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</si>
  <si>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</si>
  <si>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</si>
  <si>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</si>
  <si>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</si>
  <si>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</si>
  <si>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</si>
  <si>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</si>
  <si>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</si>
  <si>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</si>
  <si>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</si>
  <si>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</si>
  <si>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</si>
  <si>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</si>
  <si>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</si>
  <si>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</si>
  <si>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</si>
  <si>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</si>
  <si>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</si>
  <si>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</si>
  <si>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</si>
  <si>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</si>
  <si>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</si>
  <si>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</si>
  <si>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</si>
  <si>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</si>
  <si>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</si>
  <si>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</si>
  <si>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</si>
  <si>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</si>
  <si>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</si>
  <si>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</si>
  <si>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</si>
  <si>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</si>
  <si>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</si>
  <si>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</si>
  <si>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</si>
  <si>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</si>
  <si>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</si>
  <si>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</si>
  <si>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</si>
  <si>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</si>
  <si>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</si>
  <si>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</si>
  <si>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</si>
  <si>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</si>
  <si>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</si>
  <si>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</si>
  <si>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</si>
  <si>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</si>
  <si>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</si>
  <si>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</si>
  <si>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</si>
  <si>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</si>
  <si>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</si>
  <si>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</si>
  <si>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</si>
  <si>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</si>
  <si>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</si>
  <si>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</si>
  <si>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</si>
  <si>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</si>
  <si>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</si>
  <si>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</si>
  <si>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</si>
  <si>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</si>
  <si>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</si>
  <si>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</si>
  <si>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</si>
  <si>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</si>
  <si>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</si>
  <si>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</si>
  <si>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</si>
  <si>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</si>
  <si>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</si>
  <si>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</si>
  <si>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</si>
  <si>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</si>
  <si>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</si>
  <si>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</si>
  <si>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</si>
  <si>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</si>
  <si>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</si>
  <si>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</si>
  <si>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</si>
  <si>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</si>
  <si>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</si>
  <si>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</si>
  <si>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</si>
  <si>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</si>
  <si>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</si>
  <si>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</si>
  <si>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</si>
  <si>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</si>
  <si>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</si>
  <si>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</si>
  <si>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</si>
  <si>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</si>
  <si>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</si>
  <si>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</si>
  <si>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</si>
  <si>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</si>
  <si>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</si>
  <si>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</si>
  <si>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</si>
  <si>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</si>
  <si>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</si>
  <si>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</si>
  <si>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</si>
  <si>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</si>
  <si>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</si>
  <si>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</si>
  <si>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</si>
  <si>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</si>
  <si>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</si>
  <si>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</si>
  <si>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</si>
  <si>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</si>
  <si>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</si>
  <si>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</si>
  <si>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</si>
  <si>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</si>
  <si>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</si>
  <si>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</si>
  <si>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</si>
  <si>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</si>
  <si>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</si>
  <si>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</si>
  <si>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</si>
  <si>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</si>
  <si>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</si>
  <si>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</si>
  <si>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</si>
  <si>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</si>
  <si>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</si>
  <si>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</si>
  <si>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</si>
  <si>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</si>
  <si>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</si>
  <si>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</si>
  <si>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</si>
  <si>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</si>
  <si>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</si>
  <si>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</si>
  <si>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</si>
  <si>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</si>
  <si>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</si>
  <si>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</si>
  <si>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</si>
  <si>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</si>
  <si>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</si>
  <si>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</si>
  <si>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</si>
  <si>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</si>
  <si>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</si>
  <si>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</si>
  <si>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</si>
  <si>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</si>
  <si>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</si>
  <si>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</si>
  <si>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</si>
  <si>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</si>
  <si>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</si>
  <si>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</si>
  <si>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</si>
  <si>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</si>
  <si>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</si>
  <si>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</si>
  <si>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</si>
  <si>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</si>
  <si>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</si>
  <si>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</si>
  <si>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</si>
  <si>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</si>
  <si>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</si>
  <si>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</si>
  <si>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</si>
  <si>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</si>
  <si>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</si>
  <si>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</si>
  <si>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</si>
  <si>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</si>
  <si>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</si>
  <si>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</si>
  <si>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</si>
  <si>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</si>
  <si>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</si>
  <si>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</si>
  <si>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</si>
  <si>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</si>
  <si>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</si>
  <si>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</si>
  <si>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</si>
  <si>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</si>
  <si>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</si>
  <si>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</si>
  <si>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</si>
  <si>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</si>
  <si>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</si>
  <si>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</si>
  <si>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</si>
  <si>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</si>
  <si>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</si>
  <si>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</si>
  <si>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</si>
  <si>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</si>
  <si>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</si>
  <si>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</si>
  <si>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</si>
  <si>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</si>
  <si>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</si>
  <si>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</si>
  <si>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</si>
  <si>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</si>
  <si>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</si>
  <si>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</si>
  <si>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</si>
  <si>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</si>
  <si>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</si>
  <si>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</si>
  <si>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</si>
  <si>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</si>
  <si>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</si>
  <si>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</si>
  <si>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</si>
  <si>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</si>
  <si>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</si>
  <si>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</si>
  <si>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</si>
  <si>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</si>
  <si>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</si>
  <si>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</si>
  <si>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</si>
  <si>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</si>
  <si>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</si>
  <si>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</si>
  <si>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</si>
  <si>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</si>
  <si>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</si>
  <si>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</si>
  <si>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</si>
  <si>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</si>
  <si>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</si>
  <si>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</si>
  <si>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</si>
  <si>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</si>
  <si>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</si>
  <si>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</si>
  <si>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</si>
  <si>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</si>
  <si>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</si>
  <si>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</si>
  <si>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</si>
  <si>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</si>
  <si>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</si>
  <si>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</si>
  <si>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</si>
  <si>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</si>
  <si>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</si>
  <si>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</si>
  <si>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</si>
  <si>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</si>
  <si>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</si>
  <si>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</si>
  <si>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</si>
  <si>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</si>
  <si>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</si>
  <si>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</si>
  <si>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</si>
  <si>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</si>
  <si>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</si>
  <si>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</si>
  <si>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</si>
  <si>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</si>
  <si>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</si>
  <si>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</si>
  <si>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</si>
  <si>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</si>
  <si>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</si>
  <si>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</si>
  <si>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</si>
  <si>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</si>
  <si>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</si>
  <si>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</si>
  <si>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</si>
  <si>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</si>
  <si>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</si>
  <si>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</si>
  <si>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</si>
  <si>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</si>
  <si>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</si>
  <si>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</si>
  <si>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</si>
  <si>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</si>
  <si>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</si>
  <si>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</si>
  <si>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</si>
  <si>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</si>
  <si>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</si>
  <si>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</si>
  <si>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</si>
  <si>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</si>
  <si>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</si>
  <si>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</si>
  <si>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</si>
  <si>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</si>
  <si>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</si>
  <si>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</si>
  <si>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</si>
  <si>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</si>
  <si>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</si>
  <si>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</si>
  <si>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</si>
  <si>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</si>
  <si>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</si>
  <si>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</si>
  <si>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</si>
  <si>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</si>
  <si>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</si>
  <si>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</si>
  <si>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</si>
  <si>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</si>
  <si>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</si>
  <si>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</si>
  <si>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</si>
  <si>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</si>
  <si>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</si>
  <si>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</si>
  <si>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</si>
  <si>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</si>
  <si>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</si>
  <si>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</si>
  <si>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</si>
  <si>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</si>
  <si>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</si>
  <si>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</si>
  <si>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</si>
  <si>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</si>
  <si>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</si>
  <si>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</si>
  <si>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</si>
  <si>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</si>
  <si>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</si>
  <si>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</si>
  <si>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</si>
  <si>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</si>
  <si>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</si>
  <si>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</si>
  <si>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</si>
  <si>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</si>
  <si>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</si>
  <si>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</si>
  <si>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</si>
  <si>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</si>
  <si>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</si>
  <si>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</si>
  <si>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</si>
  <si>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</si>
  <si>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</si>
  <si>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</si>
  <si>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</si>
  <si>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</si>
  <si>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</si>
  <si>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</si>
  <si>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</si>
  <si>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</si>
  <si>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</si>
  <si>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</si>
  <si>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</si>
  <si>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</si>
  <si>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</si>
  <si>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</si>
  <si>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</si>
  <si>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</si>
  <si>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</si>
  <si>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</si>
  <si>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</si>
  <si>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</si>
  <si>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</si>
  <si>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</si>
  <si>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</si>
  <si>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</si>
  <si>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</si>
  <si>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</si>
  <si>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</si>
  <si>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</si>
  <si>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</si>
  <si>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</si>
  <si>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</si>
  <si>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</si>
  <si>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</si>
  <si>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</si>
  <si>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</si>
  <si>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</si>
  <si>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</si>
  <si>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</si>
  <si>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</si>
  <si>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</si>
  <si>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</si>
  <si>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</si>
  <si>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</si>
  <si>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</si>
  <si>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</si>
  <si>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</si>
  <si>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</si>
  <si>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</si>
  <si>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</si>
  <si>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</si>
  <si>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</si>
  <si>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</si>
  <si>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</si>
  <si>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</si>
  <si>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</si>
  <si>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</si>
  <si>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</si>
  <si>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</si>
  <si>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</si>
  <si>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</si>
  <si>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</si>
  <si>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</si>
  <si>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</si>
  <si>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</si>
  <si>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</si>
  <si>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</si>
  <si>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</si>
  <si>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</si>
  <si>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</si>
  <si>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</si>
  <si>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</si>
  <si>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</si>
  <si>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</si>
  <si>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</si>
  <si>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</si>
  <si>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</si>
  <si>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</si>
  <si>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</si>
  <si>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</si>
  <si>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</si>
  <si>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</si>
  <si>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</si>
  <si>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</si>
  <si>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</si>
  <si>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</si>
  <si>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</si>
  <si>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</si>
  <si>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</si>
  <si>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</si>
  <si>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</si>
  <si>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</si>
  <si>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</si>
  <si>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</si>
  <si>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</si>
  <si>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</si>
  <si>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</si>
  <si>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</si>
  <si>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</si>
  <si>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</si>
  <si>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</si>
  <si>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</si>
  <si>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</si>
  <si>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</si>
  <si>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</si>
  <si>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</si>
  <si>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</si>
  <si>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</si>
  <si>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</si>
  <si>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</si>
  <si>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</si>
  <si>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</si>
  <si>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</si>
  <si>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</si>
  <si>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</si>
  <si>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</si>
  <si>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</si>
  <si>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</si>
  <si>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</si>
  <si>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</si>
  <si>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</si>
  <si>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</si>
  <si>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</si>
  <si>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</si>
  <si>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</si>
  <si>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</si>
  <si>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</si>
  <si>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</si>
  <si>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</si>
  <si>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</si>
  <si>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</si>
  <si>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</si>
  <si>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</si>
  <si>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</si>
  <si>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</si>
  <si>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</si>
  <si>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</si>
  <si>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</si>
  <si>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</si>
  <si>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</si>
  <si>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</si>
  <si>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</si>
  <si>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</si>
  <si>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</si>
  <si>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</si>
  <si>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</si>
  <si>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</si>
  <si>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</si>
  <si>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</si>
  <si>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</si>
  <si>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</si>
  <si>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</si>
  <si>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</si>
  <si>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</si>
  <si>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</si>
  <si>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</si>
  <si>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</si>
  <si>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</si>
  <si>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1992</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</si>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</sst>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26300</v>
      </c>
      <c r="F24" s="3419" t="str">
        <f t="shared" si="0"/>
        <v>NA</v>
      </c>
      <c r="G24" s="3395">
        <v>578.83909090909106</v>
      </c>
      <c r="H24" s="3374">
        <f t="shared" si="1"/>
        <v>2122.4100000000003</v>
      </c>
      <c r="I24" s="2579" t="s">
        <v>2147</v>
      </c>
      <c r="J24" s="2580"/>
      <c r="M24" s="125"/>
    </row>
    <row r="25" spans="2:13" ht="18" customHeight="1" x14ac:dyDescent="0.2">
      <c r="B25" s="165"/>
      <c r="C25" s="1563"/>
      <c r="D25" s="1452" t="s">
        <v>1789</v>
      </c>
      <c r="E25" s="3414">
        <v>18500</v>
      </c>
      <c r="F25" s="3419" t="str">
        <f t="shared" si="0"/>
        <v>NA</v>
      </c>
      <c r="G25" s="3395">
        <v>351.3402272727273</v>
      </c>
      <c r="H25" s="3374">
        <f t="shared" si="1"/>
        <v>1288.2475000000002</v>
      </c>
      <c r="I25" s="2579" t="s">
        <v>2147</v>
      </c>
      <c r="J25" s="2580"/>
      <c r="M25" s="125"/>
    </row>
    <row r="26" spans="2:13" ht="18" customHeight="1" x14ac:dyDescent="0.2">
      <c r="B26" s="165"/>
      <c r="C26" s="1563"/>
      <c r="D26" s="1452" t="s">
        <v>1790</v>
      </c>
      <c r="E26" s="3418">
        <v>9453.6957975572423</v>
      </c>
      <c r="F26" s="3419">
        <f t="shared" si="0"/>
        <v>25.261363636363644</v>
      </c>
      <c r="G26" s="3395">
        <v>238.81324724965626</v>
      </c>
      <c r="H26" s="3374">
        <f t="shared" si="1"/>
        <v>875.64857324873958</v>
      </c>
      <c r="I26" s="3395">
        <v>875.64857324873969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31699.967881040524</v>
      </c>
      <c r="F28" s="3419">
        <f>IF(I28="NA","NA",I28/(44/12)*1000/E28)</f>
        <v>1.125774097578488</v>
      </c>
      <c r="G28" s="3395">
        <v>551.9535604027169</v>
      </c>
      <c r="H28" s="3374">
        <f>IF(G28="NA","NA",IF(G28="NO","NO",G28*44/12))</f>
        <v>2023.8297214766287</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102849.79486460335</v>
      </c>
      <c r="F31" s="3359">
        <f t="shared" ref="F31" si="3">IF(I31="NA","NA",I31/(44/12)*1000/E31)</f>
        <v>2.6689430965377006</v>
      </c>
      <c r="G31" s="3423">
        <f>SUM(G11:G29)</f>
        <v>1981.3001472912774</v>
      </c>
      <c r="H31" s="3371">
        <f t="shared" ref="H31" si="4">IF(G31="NA","NA",IF(G31="NO","NO",G31*44/12))</f>
        <v>7264.7672067346839</v>
      </c>
      <c r="I31" s="3423">
        <f>SUM(I11:I29)</f>
        <v>1006.5009166087397</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6902.4448730158747</v>
      </c>
      <c r="F35" s="3419">
        <f>IF(I35="NA","NA",I35/(44/12)*1000/E35)</f>
        <v>24.627787111734307</v>
      </c>
      <c r="G35" s="3399">
        <v>169.99194288311688</v>
      </c>
      <c r="H35" s="3396">
        <f t="shared" si="5"/>
        <v>623.30379057142852</v>
      </c>
      <c r="I35" s="3395">
        <v>623.30379057142864</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91258.831999999995</v>
      </c>
      <c r="F41" s="3419">
        <f t="shared" ref="F41" si="8">IF(I41="NA","NA",I41/(44/12)*1000/E41)</f>
        <v>28.563016421626614</v>
      </c>
      <c r="G41" s="3395">
        <v>2637.2259718805462</v>
      </c>
      <c r="H41" s="3396">
        <f t="shared" si="5"/>
        <v>9669.8285635620032</v>
      </c>
      <c r="I41" s="3395">
        <v>9557.6342291263663</v>
      </c>
      <c r="J41" s="3416" t="s">
        <v>2274</v>
      </c>
      <c r="M41" s="125"/>
    </row>
    <row r="42" spans="2:13" ht="18" customHeight="1" x14ac:dyDescent="0.2">
      <c r="B42" s="1434"/>
      <c r="C42" s="1564"/>
      <c r="D42" s="1452" t="s">
        <v>1792</v>
      </c>
      <c r="E42" s="3414">
        <v>3669.0234285305128</v>
      </c>
      <c r="F42" s="3419">
        <f>IF(I42="NA","NA",I42/(44/12)*1000/E42)</f>
        <v>22.309090909090912</v>
      </c>
      <c r="G42" s="3395">
        <v>81.852577214671612</v>
      </c>
      <c r="H42" s="3396">
        <f t="shared" si="5"/>
        <v>300.12611645379593</v>
      </c>
      <c r="I42" s="3395">
        <v>300.12611645379593</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101830.30030154639</v>
      </c>
      <c r="F45" s="3343">
        <f>IF(I45="NA","NA",I45/(44/12)*1000/E45)</f>
        <v>28.070937910106931</v>
      </c>
      <c r="G45" s="3423">
        <f>SUM(G33:G43)</f>
        <v>2889.0704919783348</v>
      </c>
      <c r="H45" s="3371">
        <f t="shared" ref="H45" si="9">IF(G45="NA","NA",IF(G45="NO","NO",G45*44/12))</f>
        <v>10593.258470587227</v>
      </c>
      <c r="I45" s="3423">
        <f>SUM(I33:I43)</f>
        <v>10481.06413615159</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20551.80836735903</v>
      </c>
      <c r="F47" s="3419">
        <f t="shared" ref="F47" si="10">IF(I47="NA","NA",I47/(44/12)*1000/E47)</f>
        <v>14.02143227434499</v>
      </c>
      <c r="G47" s="3395">
        <v>288.16578913824134</v>
      </c>
      <c r="H47" s="3374">
        <f t="shared" ref="H47" si="11">IF(G47="NA","NA",IF(G47="NO","NO",G47*44/12))</f>
        <v>1056.6078935068849</v>
      </c>
      <c r="I47" s="3395">
        <v>1056.6078935068849</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20551.80836735903</v>
      </c>
      <c r="F50" s="3343">
        <f>IF(I50="NA","NA",I50/(44/12)*1000/E50)</f>
        <v>14.02143227434499</v>
      </c>
      <c r="G50" s="3423">
        <f>SUM(G47:G48)</f>
        <v>288.16578913824134</v>
      </c>
      <c r="H50" s="3397">
        <f t="shared" ref="H50" si="13">IF(G50="NA","NA",IF(G50="NO","NO",G50*44/12))</f>
        <v>1056.6078935068849</v>
      </c>
      <c r="I50" s="3423">
        <f>SUM(I47:I48)</f>
        <v>1056.6078935068849</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225231.90353350877</v>
      </c>
      <c r="F55" s="3354">
        <f t="shared" si="14"/>
        <v>15.189402667130222</v>
      </c>
      <c r="G55" s="3423">
        <f>SUM(G31,G45,G50,G54)</f>
        <v>5158.5364284078532</v>
      </c>
      <c r="H55" s="3398">
        <f t="shared" si="15"/>
        <v>18914.633570828795</v>
      </c>
      <c r="I55" s="3423">
        <f>SUM(I31,I45,I50,I54)</f>
        <v>12544.172946267216</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268.737077</v>
      </c>
      <c r="D10" s="3127"/>
      <c r="E10" s="3127"/>
      <c r="F10" s="3078">
        <f>SUM(F11,F18)</f>
        <v>923.68138047234061</v>
      </c>
      <c r="G10" s="3078">
        <f>SUM(G11,G18)</f>
        <v>1300.9915961012321</v>
      </c>
      <c r="H10" s="3078">
        <f>H11</f>
        <v>-0.26672623056</v>
      </c>
      <c r="I10" s="3128" t="s">
        <v>2146</v>
      </c>
      <c r="L10" s="3750"/>
    </row>
    <row r="11" spans="2:12" ht="18" customHeight="1" x14ac:dyDescent="0.2">
      <c r="B11" s="1252" t="s">
        <v>334</v>
      </c>
      <c r="C11" s="3033">
        <v>59.326331000000003</v>
      </c>
      <c r="D11" s="3078">
        <f>IFERROR(SUM(F11,H11)/$C$11,"NA")</f>
        <v>12.490706124395571</v>
      </c>
      <c r="E11" s="3078">
        <f>IFERROR(SUM(G11,I11)/$C$11,"NA")</f>
        <v>20.800883583683856</v>
      </c>
      <c r="F11" s="3078">
        <f>SUM(F12:F16)</f>
        <v>741.29449219017886</v>
      </c>
      <c r="G11" s="3078">
        <f>SUM(G12:G16)</f>
        <v>1234.0401045780948</v>
      </c>
      <c r="H11" s="3078">
        <f>H12</f>
        <v>-0.26672623056</v>
      </c>
      <c r="I11" s="3128" t="s">
        <v>2146</v>
      </c>
    </row>
    <row r="12" spans="2:12" ht="18" customHeight="1" x14ac:dyDescent="0.2">
      <c r="B12" s="160" t="s">
        <v>335</v>
      </c>
      <c r="C12" s="3046"/>
      <c r="D12" s="3078">
        <f t="shared" ref="D12:D14" si="0">IFERROR(SUM(F12,H12)/$C$11,"NA")</f>
        <v>11.52163675449783</v>
      </c>
      <c r="E12" s="3078">
        <f>IFERROR(SUM(G12,I12)/$C$11,"NA")</f>
        <v>20.788185805211469</v>
      </c>
      <c r="F12" s="3126">
        <v>683.80316198966409</v>
      </c>
      <c r="G12" s="3126">
        <v>1233.2867919694772</v>
      </c>
      <c r="H12" s="3126">
        <v>-0.26672623056</v>
      </c>
      <c r="I12" s="3034" t="s">
        <v>2146</v>
      </c>
    </row>
    <row r="13" spans="2:12" ht="18" customHeight="1" x14ac:dyDescent="0.2">
      <c r="B13" s="160" t="s">
        <v>336</v>
      </c>
      <c r="C13" s="3046"/>
      <c r="D13" s="3078">
        <f t="shared" si="0"/>
        <v>0.40791706187700616</v>
      </c>
      <c r="E13" s="3078" t="s">
        <v>2147</v>
      </c>
      <c r="F13" s="3126">
        <v>24.200222633462751</v>
      </c>
      <c r="G13" s="3126" t="s">
        <v>2154</v>
      </c>
      <c r="H13" s="3126" t="s">
        <v>2146</v>
      </c>
      <c r="I13" s="3034" t="s">
        <v>2146</v>
      </c>
    </row>
    <row r="14" spans="2:12" ht="18" customHeight="1" x14ac:dyDescent="0.2">
      <c r="B14" s="160" t="s">
        <v>337</v>
      </c>
      <c r="C14" s="3046"/>
      <c r="D14" s="3078">
        <f t="shared" si="0"/>
        <v>0.5611119507403175</v>
      </c>
      <c r="E14" s="3078" t="s">
        <v>2147</v>
      </c>
      <c r="F14" s="3126">
        <v>33.288713317675771</v>
      </c>
      <c r="G14" s="3126" t="s">
        <v>2147</v>
      </c>
      <c r="H14" s="3126" t="s">
        <v>2146</v>
      </c>
      <c r="I14" s="3034" t="s">
        <v>2146</v>
      </c>
    </row>
    <row r="15" spans="2:12" ht="18" customHeight="1" x14ac:dyDescent="0.2">
      <c r="B15" s="160" t="s">
        <v>338</v>
      </c>
      <c r="C15" s="3033">
        <v>2.6672623055999997E-4</v>
      </c>
      <c r="D15" s="3078">
        <f>IFERROR(SUM(F15,H15)/$C15,"NA")</f>
        <v>8.9764301441204584</v>
      </c>
      <c r="E15" s="3078">
        <f>IFERROR(SUM(G15,I15)/$C15,"NA")</f>
        <v>2824.2914355891198</v>
      </c>
      <c r="F15" s="3126">
        <v>2.394249376226407E-3</v>
      </c>
      <c r="G15" s="3126">
        <v>0.75331260861757687</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209.41074599999999</v>
      </c>
      <c r="D18" s="3078">
        <f>IFERROR(SUM(F18,H18)/$C$18,"NA")</f>
        <v>0.87095286066246957</v>
      </c>
      <c r="E18" s="3078">
        <f>IFERROR(SUM(G18,I18)/$C$18,"NA")</f>
        <v>0.31971373390330837</v>
      </c>
      <c r="F18" s="3078">
        <f>SUM(F19:F21)</f>
        <v>182.38688828216181</v>
      </c>
      <c r="G18" s="3131">
        <f t="shared" ref="G18" si="2">SUM(G19:G21)</f>
        <v>66.951491523137292</v>
      </c>
      <c r="H18" s="3078" t="s">
        <v>2146</v>
      </c>
      <c r="I18" s="3128" t="s">
        <v>2146</v>
      </c>
    </row>
    <row r="19" spans="2:9" ht="18" customHeight="1" x14ac:dyDescent="0.2">
      <c r="B19" s="160" t="s">
        <v>341</v>
      </c>
      <c r="C19" s="3046"/>
      <c r="D19" s="3078">
        <f>IFERROR(SUM(F19,H19)/$C$18,"NA")</f>
        <v>0.87095286066246957</v>
      </c>
      <c r="E19" s="3078">
        <f>IFERROR(SUM(G19,I19)/$C$18,"NA")</f>
        <v>0.31971373390330837</v>
      </c>
      <c r="F19" s="3126">
        <v>182.38688828216181</v>
      </c>
      <c r="G19" s="3126">
        <v>66.951491523137292</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407.41628773680156</v>
      </c>
      <c r="J10" s="3145">
        <f>IF(SUM(J11:J16)=0,"NO",SUM(J11:J16))</f>
        <v>3.2886722568559166</v>
      </c>
      <c r="K10" s="1913">
        <f>IF(SUM(K11:K16)=0,"NO",SUM(K11:K16))</f>
        <v>1.2259889336266237E-2</v>
      </c>
      <c r="L10" s="3146" t="s">
        <v>2146</v>
      </c>
    </row>
    <row r="11" spans="2:12" ht="18" customHeight="1" x14ac:dyDescent="0.2">
      <c r="B11" s="1252" t="s">
        <v>363</v>
      </c>
      <c r="C11" s="2165" t="s">
        <v>2159</v>
      </c>
      <c r="D11" s="2165" t="s">
        <v>2275</v>
      </c>
      <c r="E11" s="691">
        <v>113.58991775046501</v>
      </c>
      <c r="F11" s="1913">
        <f>I11*1000000/$E11</f>
        <v>3200.0000000000114</v>
      </c>
      <c r="G11" s="1913">
        <f>J11*1000000/$E11</f>
        <v>0.33333333333333448</v>
      </c>
      <c r="H11" s="1913">
        <f>K11*1000000/$E11</f>
        <v>0.22580645161290405</v>
      </c>
      <c r="I11" s="3141">
        <v>0.36348773680148933</v>
      </c>
      <c r="J11" s="691">
        <v>3.7863305916821802E-5</v>
      </c>
      <c r="K11" s="3142">
        <v>2.5649336266234128E-5</v>
      </c>
      <c r="L11" s="3093" t="s">
        <v>2146</v>
      </c>
    </row>
    <row r="12" spans="2:12" ht="18" customHeight="1" x14ac:dyDescent="0.2">
      <c r="B12" s="1252" t="s">
        <v>364</v>
      </c>
      <c r="C12" s="2165" t="s">
        <v>2160</v>
      </c>
      <c r="D12" s="2165" t="s">
        <v>2161</v>
      </c>
      <c r="E12" s="691">
        <v>1158.4000000000001</v>
      </c>
      <c r="F12" s="1913" t="s">
        <v>2147</v>
      </c>
      <c r="G12" s="1913">
        <f>J12*1000000/$E12</f>
        <v>513.20787292817681</v>
      </c>
      <c r="H12" s="3096"/>
      <c r="I12" s="3147" t="s">
        <v>2147</v>
      </c>
      <c r="J12" s="691">
        <v>0.59450000000000003</v>
      </c>
      <c r="K12" s="3046"/>
      <c r="L12" s="3093" t="s">
        <v>2146</v>
      </c>
    </row>
    <row r="13" spans="2:12" ht="18" customHeight="1" x14ac:dyDescent="0.2">
      <c r="B13" s="1252" t="s">
        <v>365</v>
      </c>
      <c r="C13" s="2165" t="s">
        <v>2162</v>
      </c>
      <c r="D13" s="2165" t="s">
        <v>2161</v>
      </c>
      <c r="E13" s="691">
        <v>801</v>
      </c>
      <c r="F13" s="1913" t="s">
        <v>2147</v>
      </c>
      <c r="G13" s="1913">
        <f>J13*1000000/$E13</f>
        <v>436.21098626716611</v>
      </c>
      <c r="H13" s="3096"/>
      <c r="I13" s="3147" t="s">
        <v>2147</v>
      </c>
      <c r="J13" s="691">
        <v>0.34940500000000008</v>
      </c>
      <c r="K13" s="3046"/>
      <c r="L13" s="3093" t="s">
        <v>2146</v>
      </c>
    </row>
    <row r="14" spans="2:12" ht="18" customHeight="1" x14ac:dyDescent="0.2">
      <c r="B14" s="1252" t="s">
        <v>366</v>
      </c>
      <c r="C14" s="2165" t="s">
        <v>2163</v>
      </c>
      <c r="D14" s="2165" t="s">
        <v>2161</v>
      </c>
      <c r="E14" s="691">
        <v>1440</v>
      </c>
      <c r="F14" s="1913">
        <f>I14*1000000/$E14</f>
        <v>282675.55555555562</v>
      </c>
      <c r="G14" s="1913">
        <f>J14*1000000/$E14</f>
        <v>1598.2444444444445</v>
      </c>
      <c r="H14" s="1913">
        <f>K14*1000000/$E14</f>
        <v>8.4960000000000004</v>
      </c>
      <c r="I14" s="3147">
        <v>407.05280000000005</v>
      </c>
      <c r="J14" s="691">
        <v>2.301472</v>
      </c>
      <c r="K14" s="3142">
        <v>1.2234240000000002E-2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4.3257393549999995E-2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1569</v>
      </c>
      <c r="F18" s="1913" t="s">
        <v>2147</v>
      </c>
      <c r="G18" s="1913">
        <f>J18*1000000/$E18</f>
        <v>27.570040503505414</v>
      </c>
      <c r="H18" s="3148"/>
      <c r="I18" s="3150" t="s">
        <v>2147</v>
      </c>
      <c r="J18" s="2190">
        <v>4.3257393549999995E-2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28.32862640650589</v>
      </c>
      <c r="J21" s="3155">
        <f>IF(SUM(J22:J27)=0,"NO",SUM(J22:J27))</f>
        <v>177.70969914228468</v>
      </c>
      <c r="K21" s="3067">
        <f>IF(SUM(K22:K27)=0,"NO",SUM(K22:K27))</f>
        <v>5.1081044800236881E-4</v>
      </c>
      <c r="L21" s="3068" t="str">
        <f>IF(SUM(L22:L27)=0,"NO",SUM(L22:L27))</f>
        <v>NO</v>
      </c>
    </row>
    <row r="22" spans="2:12" ht="18" customHeight="1" x14ac:dyDescent="0.2">
      <c r="B22" s="1469" t="s">
        <v>371</v>
      </c>
      <c r="C22" s="2165" t="s">
        <v>2164</v>
      </c>
      <c r="D22" s="2165" t="s">
        <v>2147</v>
      </c>
      <c r="E22" s="691">
        <v>86.133282111178957</v>
      </c>
      <c r="F22" s="1913">
        <f>I22*1000000/$E22</f>
        <v>201441.37953940383</v>
      </c>
      <c r="G22" s="1913">
        <f>J22*1000000/$E22</f>
        <v>5056.6472332799394</v>
      </c>
      <c r="H22" s="1913">
        <f>K22*1000000/$E22</f>
        <v>5.9304653843682145</v>
      </c>
      <c r="I22" s="3141">
        <v>17.350807172732544</v>
      </c>
      <c r="J22" s="692">
        <v>0.43554562268081354</v>
      </c>
      <c r="K22" s="4141">
        <v>5.1081044800236881E-4</v>
      </c>
      <c r="L22" s="3156" t="s">
        <v>2146</v>
      </c>
    </row>
    <row r="23" spans="2:12" ht="18" customHeight="1" x14ac:dyDescent="0.2">
      <c r="B23" s="1252" t="s">
        <v>372</v>
      </c>
      <c r="C23" s="2165" t="s">
        <v>2165</v>
      </c>
      <c r="D23" s="2165" t="s">
        <v>2161</v>
      </c>
      <c r="E23" s="691">
        <v>1725.3799496146</v>
      </c>
      <c r="F23" s="1913">
        <f>I23*1000000/$E23</f>
        <v>254.42982525390502</v>
      </c>
      <c r="G23" s="1913">
        <f>J23*1000000/$E23</f>
        <v>3790.5599843401847</v>
      </c>
      <c r="H23" s="3096"/>
      <c r="I23" s="3147">
        <v>0.43898811907703411</v>
      </c>
      <c r="J23" s="691">
        <v>6.5401561947919866</v>
      </c>
      <c r="K23" s="3046"/>
      <c r="L23" s="3156" t="s">
        <v>2146</v>
      </c>
    </row>
    <row r="24" spans="2:12" ht="18" customHeight="1" x14ac:dyDescent="0.2">
      <c r="B24" s="1252" t="s">
        <v>373</v>
      </c>
      <c r="C24" s="2165" t="s">
        <v>2165</v>
      </c>
      <c r="D24" s="2165" t="s">
        <v>2161</v>
      </c>
      <c r="E24" s="691">
        <v>1725.3799496146</v>
      </c>
      <c r="F24" s="1913">
        <f t="shared" ref="F24:F26" si="0">I24*1000000/$E24</f>
        <v>801.7503005362978</v>
      </c>
      <c r="G24" s="1913">
        <f t="shared" ref="G24:G26" si="1">J24*1000000/$E24</f>
        <v>5297.3789406324249</v>
      </c>
      <c r="H24" s="1879"/>
      <c r="I24" s="691">
        <v>1.383323893142808</v>
      </c>
      <c r="J24" s="691">
        <v>9.1399914096778172</v>
      </c>
      <c r="K24" s="1914"/>
      <c r="L24" s="3093" t="str">
        <f>IF(Table1.C!E21="NO","NO",-Table1.C!E21)</f>
        <v>NO</v>
      </c>
    </row>
    <row r="25" spans="2:12" ht="18" customHeight="1" x14ac:dyDescent="0.2">
      <c r="B25" s="1252" t="s">
        <v>374</v>
      </c>
      <c r="C25" s="2165" t="s">
        <v>2276</v>
      </c>
      <c r="D25" s="2165" t="s">
        <v>2171</v>
      </c>
      <c r="E25" s="691">
        <v>10404</v>
      </c>
      <c r="F25" s="1913">
        <f t="shared" si="0"/>
        <v>20</v>
      </c>
      <c r="G25" s="1913">
        <f t="shared" si="1"/>
        <v>414.28571428571422</v>
      </c>
      <c r="H25" s="3096"/>
      <c r="I25" s="3147">
        <v>0.20807999999999999</v>
      </c>
      <c r="J25" s="691">
        <v>4.3102285714285706</v>
      </c>
      <c r="K25" s="3046"/>
      <c r="L25" s="3093" t="s">
        <v>2146</v>
      </c>
    </row>
    <row r="26" spans="2:12" ht="18" customHeight="1" x14ac:dyDescent="0.2">
      <c r="B26" s="1252" t="s">
        <v>375</v>
      </c>
      <c r="C26" s="2165" t="s">
        <v>2166</v>
      </c>
      <c r="D26" s="2165" t="s">
        <v>2161</v>
      </c>
      <c r="E26" s="691">
        <v>286.72304713604802</v>
      </c>
      <c r="F26" s="1913">
        <f t="shared" si="0"/>
        <v>30112.299422995318</v>
      </c>
      <c r="G26" s="1913">
        <f t="shared" si="1"/>
        <v>516402.85300869285</v>
      </c>
      <c r="H26" s="3096"/>
      <c r="I26" s="3147">
        <v>8.6338902468342784</v>
      </c>
      <c r="J26" s="691">
        <v>148.06459956440111</v>
      </c>
      <c r="K26" s="3046"/>
      <c r="L26" s="3093" t="s">
        <v>2146</v>
      </c>
    </row>
    <row r="27" spans="2:12" ht="18" customHeight="1" x14ac:dyDescent="0.2">
      <c r="B27" s="2414" t="s">
        <v>376</v>
      </c>
      <c r="C27" s="621"/>
      <c r="D27" s="621"/>
      <c r="E27" s="628"/>
      <c r="F27" s="628"/>
      <c r="G27" s="628"/>
      <c r="H27" s="3148"/>
      <c r="I27" s="1913">
        <f>IF(SUM(I29:I31)=0,"NO",SUM(I29:I31))</f>
        <v>0.31353697471922815</v>
      </c>
      <c r="J27" s="1913">
        <f>IF(SUM(J29:J31)=0,"NO",SUM(J29:J31))</f>
        <v>9.2191777793043848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0.31353697471922815</v>
      </c>
      <c r="J29" s="3150">
        <v>5.7706878993043853</v>
      </c>
      <c r="K29" s="3132"/>
      <c r="L29" s="3102" t="s">
        <v>2146</v>
      </c>
    </row>
    <row r="30" spans="2:12" ht="18" customHeight="1" x14ac:dyDescent="0.2">
      <c r="B30" s="2415" t="s">
        <v>378</v>
      </c>
      <c r="C30" s="2165" t="s">
        <v>2156</v>
      </c>
      <c r="D30" s="2165" t="s">
        <v>2155</v>
      </c>
      <c r="E30" s="691">
        <v>5691</v>
      </c>
      <c r="F30" s="1913" t="s">
        <v>2147</v>
      </c>
      <c r="G30" s="1913">
        <f t="shared" ref="G30" si="2">J30*1000000/$E30</f>
        <v>22.402017220172198</v>
      </c>
      <c r="H30" s="3148"/>
      <c r="I30" s="3150" t="s">
        <v>2147</v>
      </c>
      <c r="J30" s="3150">
        <v>0.12748987999999997</v>
      </c>
      <c r="K30" s="3132"/>
      <c r="L30" s="3102" t="s">
        <v>2146</v>
      </c>
    </row>
    <row r="31" spans="2:12" ht="18" customHeight="1" x14ac:dyDescent="0.2">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
      <c r="B35" s="1255" t="s">
        <v>380</v>
      </c>
      <c r="C35" s="2167"/>
      <c r="D35" s="2167"/>
      <c r="E35" s="3216"/>
      <c r="F35" s="3216"/>
      <c r="G35" s="3216"/>
      <c r="H35" s="3216"/>
      <c r="I35" s="3155">
        <f>IF(SUM(I36,I40)=0,"NO",SUM(I36,I40))</f>
        <v>5566.9639949189122</v>
      </c>
      <c r="J35" s="3067">
        <f>IF(SUM(J36,J40)=0,"NO",SUM(J36,J40))</f>
        <v>119.31365489823807</v>
      </c>
      <c r="K35" s="3067">
        <f>IF(SUM(K36,K40)=0,"NO",SUM(K36,K40))</f>
        <v>0.11461711713397656</v>
      </c>
      <c r="L35" s="3068" t="str">
        <f>IF(SUM(L36,L40)=0,"NO",SUM(L36,L40))</f>
        <v>NO</v>
      </c>
    </row>
    <row r="36" spans="2:12" ht="18" customHeight="1" x14ac:dyDescent="0.2">
      <c r="B36" s="1468" t="s">
        <v>381</v>
      </c>
      <c r="C36" s="2170"/>
      <c r="D36" s="2170"/>
      <c r="E36" s="3025"/>
      <c r="F36" s="3025"/>
      <c r="G36" s="3025"/>
      <c r="H36" s="3025"/>
      <c r="I36" s="3162">
        <f>IF(SUM(I37:I39)=0,"NO",SUM(I37:I39))</f>
        <v>2107.0165152736909</v>
      </c>
      <c r="J36" s="1913">
        <f>IF(SUM(J37:J39)=0,"NO",SUM(J37:J39))</f>
        <v>100.97298079747566</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2883.7799496145999</v>
      </c>
      <c r="F39" s="1913">
        <f t="shared" ref="F39" si="5">SUM(I39,L39)*1000000/$E39</f>
        <v>730643.9992258359</v>
      </c>
      <c r="G39" s="1913">
        <f t="shared" ref="G39" si="6">J39*1000000/$E39</f>
        <v>35014.107373542873</v>
      </c>
      <c r="H39" s="1913">
        <f t="shared" ref="H39" si="7">K39*1000000/$E39</f>
        <v>0</v>
      </c>
      <c r="I39" s="691">
        <v>2107.0165152736909</v>
      </c>
      <c r="J39" s="691">
        <v>100.97298079747566</v>
      </c>
      <c r="K39" s="3132"/>
      <c r="L39" s="3093" t="s">
        <v>2146</v>
      </c>
    </row>
    <row r="40" spans="2:12" ht="18" customHeight="1" x14ac:dyDescent="0.2">
      <c r="B40" s="1468" t="s">
        <v>385</v>
      </c>
      <c r="C40" s="2170"/>
      <c r="D40" s="2170"/>
      <c r="E40" s="3025"/>
      <c r="F40" s="3025"/>
      <c r="G40" s="3025"/>
      <c r="H40" s="3025"/>
      <c r="I40" s="3162">
        <f>IF(SUM(I41:I43)=0,"NO",SUM(I41:I43))</f>
        <v>3459.9474796452214</v>
      </c>
      <c r="J40" s="3162">
        <f>IF(SUM(J41:J43)=0,"NO",SUM(J41:J43))</f>
        <v>18.34067410076241</v>
      </c>
      <c r="K40" s="1913">
        <f>IF(SUM(K41:K43)=0,"NO",SUM(K41:K43))</f>
        <v>0.11461711713397656</v>
      </c>
      <c r="L40" s="3065" t="str">
        <f>IF(SUM(L41:L43)=0,"NO",SUM(L41:L43))</f>
        <v>NO</v>
      </c>
    </row>
    <row r="41" spans="2:12" ht="18" customHeight="1" x14ac:dyDescent="0.2">
      <c r="B41" s="1470" t="s">
        <v>386</v>
      </c>
      <c r="C41" s="277" t="s">
        <v>2169</v>
      </c>
      <c r="D41" s="277" t="s">
        <v>2170</v>
      </c>
      <c r="E41" s="691">
        <v>409.51400032381616</v>
      </c>
      <c r="F41" s="1913">
        <f t="shared" ref="F41:F42" si="8">SUM(I41,L41)*1000000/$E41</f>
        <v>2900000</v>
      </c>
      <c r="G41" s="1913">
        <f t="shared" ref="G41:H42" si="9">J41*1000000/$E41</f>
        <v>35000</v>
      </c>
      <c r="H41" s="1913">
        <f t="shared" si="9"/>
        <v>80.999999999999986</v>
      </c>
      <c r="I41" s="692">
        <v>1187.5906009390669</v>
      </c>
      <c r="J41" s="692">
        <v>14.332990011333566</v>
      </c>
      <c r="K41" s="692">
        <v>3.3170634026229107E-2</v>
      </c>
      <c r="L41" s="3156" t="s">
        <v>2146</v>
      </c>
    </row>
    <row r="42" spans="2:12" ht="18" customHeight="1" x14ac:dyDescent="0.2">
      <c r="B42" s="1470" t="s">
        <v>387</v>
      </c>
      <c r="C42" s="277" t="s">
        <v>2169</v>
      </c>
      <c r="D42" s="277" t="s">
        <v>2170</v>
      </c>
      <c r="E42" s="691">
        <v>48755.036541946101</v>
      </c>
      <c r="F42" s="1913">
        <f t="shared" si="8"/>
        <v>46607.633587786273</v>
      </c>
      <c r="G42" s="1913">
        <f t="shared" si="9"/>
        <v>82.200411971404364</v>
      </c>
      <c r="H42" s="1913">
        <f t="shared" si="9"/>
        <v>1.6705245013543464</v>
      </c>
      <c r="I42" s="691">
        <v>2272.3568787061545</v>
      </c>
      <c r="J42" s="691">
        <v>4.0076840894288432</v>
      </c>
      <c r="K42" s="691">
        <v>8.144648310774745E-2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42.17815646733704</v>
      </c>
      <c r="M9" s="3358">
        <f>100*C10/SUM(C10,'Table1.A(a)s3'!C16)</f>
        <v>57.82184353266296</v>
      </c>
    </row>
    <row r="10" spans="1:13" ht="18" customHeight="1" thickTop="1" thickBot="1" x14ac:dyDescent="0.25">
      <c r="B10" s="223" t="s">
        <v>430</v>
      </c>
      <c r="C10" s="3338">
        <f>IF(SUM(C11:C13)=0,"NO",SUM(C11:C13))</f>
        <v>69500</v>
      </c>
      <c r="D10" s="3339"/>
      <c r="E10" s="3340"/>
      <c r="F10" s="3340"/>
      <c r="G10" s="3338">
        <f>IF(SUM(G11:G13)=0,"NO",SUM(G11:G13))</f>
        <v>4837.1999999999989</v>
      </c>
      <c r="H10" s="3338">
        <f>IF(SUM(H11:H13)=0,"NO",SUM(H11:H13))</f>
        <v>8.521628333333333E-3</v>
      </c>
      <c r="I10" s="1154">
        <f>IF(SUM(I11:I13)=0,"NO",SUM(I11:I13))</f>
        <v>2.5223900764035089E-2</v>
      </c>
      <c r="J10" s="4"/>
      <c r="K10" s="68" t="s">
        <v>431</v>
      </c>
      <c r="L10" s="3359">
        <f>100-M10</f>
        <v>55.52795399628117</v>
      </c>
      <c r="M10" s="3360">
        <f>100*C14/SUM(C14,'Table1.A(a)s3'!C88)</f>
        <v>44.47204600371883</v>
      </c>
    </row>
    <row r="11" spans="1:13" ht="18" customHeight="1" x14ac:dyDescent="0.2">
      <c r="B11" s="1258" t="s">
        <v>178</v>
      </c>
      <c r="C11" s="3341">
        <v>69500</v>
      </c>
      <c r="D11" s="116">
        <f>IF(G11="NO","NA",G11*1000/$C11)</f>
        <v>69.59999999999998</v>
      </c>
      <c r="E11" s="116">
        <f t="shared" ref="E11:F13" si="0">IF(H11="NO","NA",H11*1000000/$C11)</f>
        <v>0.12261335731414867</v>
      </c>
      <c r="F11" s="116">
        <f t="shared" si="0"/>
        <v>0.36293382394295093</v>
      </c>
      <c r="G11" s="3062">
        <v>4837.1999999999989</v>
      </c>
      <c r="H11" s="3062">
        <v>8.521628333333333E-3</v>
      </c>
      <c r="I11" s="3063">
        <v>2.5223900764035089E-2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24800</v>
      </c>
      <c r="D14" s="3348"/>
      <c r="E14" s="3349"/>
      <c r="F14" s="3350"/>
      <c r="G14" s="3347">
        <f>IF(SUM(G15:G18,G20:G22)=0,"NO",SUM(G15:G18,G20:G22))</f>
        <v>1808.3709999999999</v>
      </c>
      <c r="H14" s="3347">
        <f>IF(SUM(H15:H18,H20:H22)=0,"NO",SUM(H15:H18,H20:H22))</f>
        <v>0.17360000000000003</v>
      </c>
      <c r="I14" s="1155">
        <f>IF(SUM(I15:I18,I20:I22)=0,"NO",SUM(I15:I18,I20:I22))</f>
        <v>4.9600000000000005E-2</v>
      </c>
      <c r="J14" s="4"/>
      <c r="K14" s="1047"/>
      <c r="L14" s="1047"/>
      <c r="M14" s="1047"/>
    </row>
    <row r="15" spans="1:13" ht="18" customHeight="1" x14ac:dyDescent="0.2">
      <c r="B15" s="1260" t="s">
        <v>190</v>
      </c>
      <c r="C15" s="143">
        <v>20230</v>
      </c>
      <c r="D15" s="116">
        <f>IF(G15="NO","NA",G15*1000/$C15)</f>
        <v>73.599999999999994</v>
      </c>
      <c r="E15" s="116">
        <f t="shared" ref="E15:F17" si="1">IF(H15="NO","NA",H15*1000000/$C15)</f>
        <v>7</v>
      </c>
      <c r="F15" s="116">
        <f t="shared" si="1"/>
        <v>2</v>
      </c>
      <c r="G15" s="3064">
        <v>1488.9279999999999</v>
      </c>
      <c r="H15" s="3064">
        <v>0.14161000000000001</v>
      </c>
      <c r="I15" s="135">
        <v>4.0460000000000003E-2</v>
      </c>
      <c r="J15" s="4"/>
      <c r="K15" s="1047"/>
      <c r="L15" s="1047"/>
      <c r="M15" s="1047"/>
    </row>
    <row r="16" spans="1:13" ht="18" customHeight="1" x14ac:dyDescent="0.2">
      <c r="B16" s="1260" t="s">
        <v>191</v>
      </c>
      <c r="C16" s="3351">
        <v>4570</v>
      </c>
      <c r="D16" s="116">
        <f>IF(G16="NO","NA",G16*1000/$C16)</f>
        <v>69.900000000000006</v>
      </c>
      <c r="E16" s="116">
        <f t="shared" si="1"/>
        <v>7.0000000000000009</v>
      </c>
      <c r="F16" s="116">
        <f t="shared" si="1"/>
        <v>2</v>
      </c>
      <c r="G16" s="3064">
        <v>319.44300000000004</v>
      </c>
      <c r="H16" s="3064">
        <v>3.1990000000000005E-2</v>
      </c>
      <c r="I16" s="135">
        <v>9.1400000000000006E-3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18285.307489733619</v>
      </c>
      <c r="D10" s="2913">
        <f t="shared" ref="D10:N10" si="0">IF(SUM(D11,D16,D27,D35,D39,D45,D52,D57)=0,"NO",SUM(D11,D16,D27,D35,D39,D45,D52,D57))</f>
        <v>3.2901835568798088</v>
      </c>
      <c r="E10" s="2913">
        <f t="shared" si="0"/>
        <v>3.7295673250438965</v>
      </c>
      <c r="F10" s="2913">
        <f t="shared" si="0"/>
        <v>1116.992</v>
      </c>
      <c r="G10" s="2913">
        <f t="shared" si="0"/>
        <v>4140.1764526673724</v>
      </c>
      <c r="H10" s="2913" t="str">
        <f t="shared" si="0"/>
        <v>NO</v>
      </c>
      <c r="I10" s="2913">
        <f t="shared" si="0"/>
        <v>1.1320709158452919E-2</v>
      </c>
      <c r="J10" s="2913" t="str">
        <f t="shared" si="0"/>
        <v>NO</v>
      </c>
      <c r="K10" s="2913">
        <f t="shared" si="0"/>
        <v>39.312014006946093</v>
      </c>
      <c r="L10" s="2914">
        <f t="shared" si="0"/>
        <v>10.48884127574914</v>
      </c>
      <c r="M10" s="2915">
        <f t="shared" si="0"/>
        <v>204.00632895773231</v>
      </c>
      <c r="N10" s="2916">
        <f t="shared" si="0"/>
        <v>1097.3395018401434</v>
      </c>
      <c r="O10" s="3020">
        <f t="shared" ref="O10:O58" si="1">IF(SUM(C10:J10)=0,"NO",SUM(C10,F10:H10)+28*SUM(D10)+265*SUM(E10)+23500*SUM(I10)+16100*SUM(J10))</f>
        <v>24888.973088353901</v>
      </c>
    </row>
    <row r="11" spans="1:15" ht="18" customHeight="1" x14ac:dyDescent="0.2">
      <c r="B11" s="1263" t="s">
        <v>444</v>
      </c>
      <c r="C11" s="2137">
        <f>IF(SUM(C12:C15)=0,"NO",SUM(C12:C15))</f>
        <v>4966.1950589056469</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4966.1950589056469</v>
      </c>
    </row>
    <row r="12" spans="1:15" ht="18" customHeight="1" x14ac:dyDescent="0.2">
      <c r="B12" s="1264" t="s">
        <v>445</v>
      </c>
      <c r="C12" s="2920">
        <f>'Table2(I).A-H'!H11</f>
        <v>2923.411392</v>
      </c>
      <c r="D12" s="2136"/>
      <c r="E12" s="2136"/>
      <c r="F12" s="628"/>
      <c r="G12" s="628"/>
      <c r="H12" s="2135"/>
      <c r="I12" s="628"/>
      <c r="J12" s="2135"/>
      <c r="K12" s="2135"/>
      <c r="L12" s="2135"/>
      <c r="M12" s="2135"/>
      <c r="N12" s="2919" t="s">
        <v>2146</v>
      </c>
      <c r="O12" s="2934">
        <f t="shared" si="1"/>
        <v>2923.411392</v>
      </c>
    </row>
    <row r="13" spans="1:15" ht="18" customHeight="1" x14ac:dyDescent="0.2">
      <c r="B13" s="1264" t="s">
        <v>446</v>
      </c>
      <c r="C13" s="1878">
        <f>'Table2(I).A-H'!H12</f>
        <v>847.73387584498062</v>
      </c>
      <c r="D13" s="2108"/>
      <c r="E13" s="2108"/>
      <c r="F13" s="628"/>
      <c r="G13" s="628"/>
      <c r="H13" s="2135"/>
      <c r="I13" s="628"/>
      <c r="J13" s="2135"/>
      <c r="K13" s="628"/>
      <c r="L13" s="628"/>
      <c r="M13" s="628"/>
      <c r="N13" s="1838"/>
      <c r="O13" s="1880">
        <f t="shared" si="1"/>
        <v>847.73387584498062</v>
      </c>
    </row>
    <row r="14" spans="1:15" ht="18" customHeight="1" x14ac:dyDescent="0.2">
      <c r="B14" s="1264" t="s">
        <v>447</v>
      </c>
      <c r="C14" s="1878">
        <f>'Table2(I).A-H'!H13</f>
        <v>89.646345930064072</v>
      </c>
      <c r="D14" s="2108"/>
      <c r="E14" s="2108"/>
      <c r="F14" s="628"/>
      <c r="G14" s="628"/>
      <c r="H14" s="2135"/>
      <c r="I14" s="628"/>
      <c r="J14" s="2135"/>
      <c r="K14" s="628"/>
      <c r="L14" s="628"/>
      <c r="M14" s="628"/>
      <c r="N14" s="1838"/>
      <c r="O14" s="1880">
        <f t="shared" si="1"/>
        <v>89.646345930064072</v>
      </c>
    </row>
    <row r="15" spans="1:15" ht="18" customHeight="1" thickBot="1" x14ac:dyDescent="0.25">
      <c r="B15" s="1264" t="s">
        <v>448</v>
      </c>
      <c r="C15" s="1878">
        <f>'Table2(I).A-H'!H14</f>
        <v>1105.403445130602</v>
      </c>
      <c r="D15" s="1879"/>
      <c r="E15" s="1879"/>
      <c r="F15" s="3021"/>
      <c r="G15" s="3021"/>
      <c r="H15" s="3021"/>
      <c r="I15" s="3021"/>
      <c r="J15" s="3021"/>
      <c r="K15" s="2606" t="s">
        <v>2146</v>
      </c>
      <c r="L15" s="2606" t="s">
        <v>2146</v>
      </c>
      <c r="M15" s="2606" t="s">
        <v>2146</v>
      </c>
      <c r="N15" s="2607" t="s">
        <v>2146</v>
      </c>
      <c r="O15" s="1880">
        <f t="shared" si="1"/>
        <v>1105.403445130602</v>
      </c>
    </row>
    <row r="16" spans="1:15" ht="18" customHeight="1" x14ac:dyDescent="0.2">
      <c r="B16" s="1265" t="s">
        <v>449</v>
      </c>
      <c r="C16" s="2137">
        <f>IF(SUM(C17:C26)=0,"NO",SUM(C17:C26))</f>
        <v>1114.7499284654682</v>
      </c>
      <c r="D16" s="2137">
        <f t="shared" ref="D16:N16" si="3">IF(SUM(D17:D26)=0,"NO",SUM(D17:D26))</f>
        <v>0.40760881599999998</v>
      </c>
      <c r="E16" s="2137">
        <f t="shared" si="3"/>
        <v>3.6530679819354845</v>
      </c>
      <c r="F16" s="2138">
        <f t="shared" si="3"/>
        <v>1116.992</v>
      </c>
      <c r="G16" s="2138" t="str">
        <f t="shared" si="3"/>
        <v>NO</v>
      </c>
      <c r="H16" s="2138" t="str">
        <f t="shared" si="3"/>
        <v>NO</v>
      </c>
      <c r="I16" s="2138" t="str">
        <f t="shared" si="3"/>
        <v>NO</v>
      </c>
      <c r="J16" s="2138" t="str">
        <f t="shared" si="3"/>
        <v>NO</v>
      </c>
      <c r="K16" s="2920" t="str">
        <f t="shared" si="3"/>
        <v>NO</v>
      </c>
      <c r="L16" s="2137" t="str">
        <f t="shared" si="3"/>
        <v>NO</v>
      </c>
      <c r="M16" s="2137">
        <f t="shared" si="3"/>
        <v>4.5642279279999993</v>
      </c>
      <c r="N16" s="2918" t="str">
        <f t="shared" si="3"/>
        <v>NO</v>
      </c>
      <c r="O16" s="2941">
        <f t="shared" si="1"/>
        <v>3211.2179905263711</v>
      </c>
    </row>
    <row r="17" spans="2:15" ht="18" customHeight="1" x14ac:dyDescent="0.2">
      <c r="B17" s="1266" t="s">
        <v>450</v>
      </c>
      <c r="C17" s="2920">
        <f>SUM('Table2(I).A-H'!H23,'Table2(I).A-H'!K23:L23)</f>
        <v>514.10366775634225</v>
      </c>
      <c r="D17" s="2139" t="str">
        <f>'Table2(I).A-H'!I23</f>
        <v>NO</v>
      </c>
      <c r="E17" s="2139" t="str">
        <f>'Table2(I).A-H'!J23</f>
        <v>NO</v>
      </c>
      <c r="F17" s="2135"/>
      <c r="G17" s="2135"/>
      <c r="H17" s="2135"/>
      <c r="I17" s="2135"/>
      <c r="J17" s="2135"/>
      <c r="K17" s="692" t="s">
        <v>2146</v>
      </c>
      <c r="L17" s="692" t="s">
        <v>2146</v>
      </c>
      <c r="M17" s="692" t="s">
        <v>2146</v>
      </c>
      <c r="N17" s="692" t="s">
        <v>2146</v>
      </c>
      <c r="O17" s="2934">
        <f t="shared" si="1"/>
        <v>514.10366775634225</v>
      </c>
    </row>
    <row r="18" spans="2:15" ht="18" customHeight="1" x14ac:dyDescent="0.2">
      <c r="B18" s="1264" t="s">
        <v>451</v>
      </c>
      <c r="C18" s="1910"/>
      <c r="D18" s="2136"/>
      <c r="E18" s="2139">
        <f>'Table2(I).A-H'!J24</f>
        <v>3.6530679819354845</v>
      </c>
      <c r="F18" s="628"/>
      <c r="G18" s="628"/>
      <c r="H18" s="2135"/>
      <c r="I18" s="628"/>
      <c r="J18" s="2135"/>
      <c r="K18" s="692" t="s">
        <v>2146</v>
      </c>
      <c r="L18" s="628"/>
      <c r="M18" s="628"/>
      <c r="N18" s="1838"/>
      <c r="O18" s="2934">
        <f t="shared" si="1"/>
        <v>968.06301521290345</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504.93484487098806</v>
      </c>
      <c r="D22" s="1914"/>
      <c r="E22" s="628"/>
      <c r="F22" s="628"/>
      <c r="G22" s="628"/>
      <c r="H22" s="2135"/>
      <c r="I22" s="628"/>
      <c r="J22" s="2135"/>
      <c r="K22" s="1914"/>
      <c r="L22" s="1914"/>
      <c r="M22" s="1914"/>
      <c r="N22" s="2921"/>
      <c r="O22" s="1880">
        <f t="shared" si="1"/>
        <v>504.93484487098806</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0.40760881599999998</v>
      </c>
      <c r="E24" s="628"/>
      <c r="F24" s="628"/>
      <c r="G24" s="628"/>
      <c r="H24" s="2135"/>
      <c r="I24" s="628"/>
      <c r="J24" s="2135"/>
      <c r="K24" s="692" t="s">
        <v>2146</v>
      </c>
      <c r="L24" s="692" t="s">
        <v>2146</v>
      </c>
      <c r="M24" s="691">
        <v>4.5642279279999993</v>
      </c>
      <c r="N24" s="692" t="s">
        <v>2146</v>
      </c>
      <c r="O24" s="1880">
        <f t="shared" si="1"/>
        <v>11.413046848</v>
      </c>
    </row>
    <row r="25" spans="2:15" ht="18" customHeight="1" x14ac:dyDescent="0.2">
      <c r="B25" s="1264" t="s">
        <v>458</v>
      </c>
      <c r="C25" s="1914"/>
      <c r="D25" s="1914"/>
      <c r="E25" s="628"/>
      <c r="F25" s="2140">
        <f>'Table2(II)'!W40</f>
        <v>1116.992</v>
      </c>
      <c r="G25" s="2140" t="str">
        <f>'Table2(II)'!AH40</f>
        <v>NO</v>
      </c>
      <c r="H25" s="2139" t="str">
        <f>'Table2(II)'!AI40</f>
        <v>NO</v>
      </c>
      <c r="I25" s="2140" t="str">
        <f>'Table2(II)'!AJ40</f>
        <v>NO</v>
      </c>
      <c r="J25" s="2139" t="str">
        <f>'Table2(II)'!AK40</f>
        <v>NO</v>
      </c>
      <c r="K25" s="1914"/>
      <c r="L25" s="1914"/>
      <c r="M25" s="1914"/>
      <c r="N25" s="2921"/>
      <c r="O25" s="1880">
        <f t="shared" si="1"/>
        <v>1116.992</v>
      </c>
    </row>
    <row r="26" spans="2:15" ht="18" customHeight="1" thickBot="1" x14ac:dyDescent="0.25">
      <c r="B26" s="1264" t="s">
        <v>2110</v>
      </c>
      <c r="C26" s="1878">
        <f>'Table2(I).A-H'!H47</f>
        <v>95.711415838137825</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95.711415838137825</v>
      </c>
    </row>
    <row r="27" spans="2:15" ht="18" customHeight="1" x14ac:dyDescent="0.2">
      <c r="B27" s="1263" t="s">
        <v>459</v>
      </c>
      <c r="C27" s="2137">
        <f>IF(SUM(C28:C34)=0,"NO",SUM(C28:C34))</f>
        <v>11860.438182471731</v>
      </c>
      <c r="D27" s="2137">
        <f t="shared" ref="D27:N27" si="4">IF(SUM(D28:D34)=0,"NO",SUM(D28:D34))</f>
        <v>2.882574740879809</v>
      </c>
      <c r="E27" s="2137">
        <f t="shared" si="4"/>
        <v>7.6499343108412041E-2</v>
      </c>
      <c r="F27" s="2138" t="str">
        <f t="shared" si="4"/>
        <v>NO</v>
      </c>
      <c r="G27" s="2138">
        <f t="shared" si="4"/>
        <v>4140.1764526673724</v>
      </c>
      <c r="H27" s="2138" t="str">
        <f t="shared" si="4"/>
        <v>NO</v>
      </c>
      <c r="I27" s="2138" t="str">
        <f t="shared" si="4"/>
        <v>NO</v>
      </c>
      <c r="J27" s="2138" t="str">
        <f t="shared" si="4"/>
        <v>NO</v>
      </c>
      <c r="K27" s="2137">
        <f t="shared" si="4"/>
        <v>39.312014006946093</v>
      </c>
      <c r="L27" s="2137">
        <f t="shared" si="4"/>
        <v>10.48884127574914</v>
      </c>
      <c r="M27" s="2917">
        <f t="shared" si="4"/>
        <v>9.5094772919641704E-2</v>
      </c>
      <c r="N27" s="2918">
        <f t="shared" si="4"/>
        <v>1097.3395018401434</v>
      </c>
      <c r="O27" s="2941">
        <f t="shared" si="1"/>
        <v>16101.599053807467</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2056.436265363353</v>
      </c>
      <c r="D30" s="1879"/>
      <c r="E30" s="628"/>
      <c r="F30" s="628"/>
      <c r="G30" s="2140">
        <f>SUM('Table2(II)'!X41:Y41)</f>
        <v>4140.1764526673724</v>
      </c>
      <c r="H30" s="2136"/>
      <c r="I30" s="2142" t="s">
        <v>2146</v>
      </c>
      <c r="J30" s="2135"/>
      <c r="K30" s="691" t="s">
        <v>2147</v>
      </c>
      <c r="L30" s="691" t="s">
        <v>2147</v>
      </c>
      <c r="M30" s="691" t="s">
        <v>2147</v>
      </c>
      <c r="N30" s="2911">
        <v>31.516359999999995</v>
      </c>
      <c r="O30" s="1880">
        <f t="shared" si="1"/>
        <v>6196.6127180307249</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9804.0019171083786</v>
      </c>
      <c r="D34" s="1881">
        <f>'Table2(I).A-H'!I67</f>
        <v>2.882574740879809</v>
      </c>
      <c r="E34" s="1881">
        <f>'Table2(I).A-H'!J67</f>
        <v>7.6499343108412041E-2</v>
      </c>
      <c r="F34" s="2146" t="s">
        <v>2146</v>
      </c>
      <c r="G34" s="2146" t="s">
        <v>2146</v>
      </c>
      <c r="H34" s="2146" t="s">
        <v>2146</v>
      </c>
      <c r="I34" s="2146" t="s">
        <v>2146</v>
      </c>
      <c r="J34" s="2146" t="s">
        <v>2146</v>
      </c>
      <c r="K34" s="2606">
        <v>39.312014006946093</v>
      </c>
      <c r="L34" s="2606">
        <v>10.48884127574914</v>
      </c>
      <c r="M34" s="2606">
        <v>9.5094772919641704E-2</v>
      </c>
      <c r="N34" s="2607">
        <v>1065.8231418401433</v>
      </c>
      <c r="O34" s="1882">
        <f t="shared" si="1"/>
        <v>9904.9863357767426</v>
      </c>
    </row>
    <row r="35" spans="2:15" ht="18" customHeight="1" x14ac:dyDescent="0.2">
      <c r="B35" s="2470" t="s">
        <v>2014</v>
      </c>
      <c r="C35" s="2920">
        <f>IF(SUM(C36:C38)=0,"NO",SUM(C36:C38))</f>
        <v>256.36125249999992</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165.89627625681268</v>
      </c>
      <c r="N35" s="2048" t="str">
        <f t="shared" ref="N35" si="7">IF(SUM(N36:N38)=0,"NO",SUM(N36:N38))</f>
        <v>NO</v>
      </c>
      <c r="O35" s="2934">
        <f t="shared" si="1"/>
        <v>256.36125249999992</v>
      </c>
    </row>
    <row r="36" spans="2:15" ht="18" customHeight="1" x14ac:dyDescent="0.2">
      <c r="B36" s="1270" t="s">
        <v>466</v>
      </c>
      <c r="C36" s="1878">
        <f>'Table2(I).A-H'!H73</f>
        <v>256.36125249999992</v>
      </c>
      <c r="D36" s="2140" t="str">
        <f>'Table2(I).A-H'!I73</f>
        <v>NO</v>
      </c>
      <c r="E36" s="2140" t="str">
        <f>'Table2(I).A-H'!J73</f>
        <v>NO</v>
      </c>
      <c r="F36" s="628"/>
      <c r="G36" s="628"/>
      <c r="H36" s="2135"/>
      <c r="I36" s="628"/>
      <c r="J36" s="2135"/>
      <c r="K36" s="2147" t="s">
        <v>2147</v>
      </c>
      <c r="L36" s="2147" t="s">
        <v>2147</v>
      </c>
      <c r="M36" s="691" t="s">
        <v>2147</v>
      </c>
      <c r="N36" s="2141" t="s">
        <v>2147</v>
      </c>
      <c r="O36" s="1880">
        <f t="shared" si="1"/>
        <v>256.36125249999992</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165.89627625681268</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t="str">
        <f>IF(SUM(F46:F51)=0,"NO",SUM(F46:F51))</f>
        <v>NO</v>
      </c>
      <c r="G45" s="2137" t="str">
        <f t="shared" ref="G45:J45" si="9">IF(SUM(G46:G51)=0,"NO",SUM(G46:G51))</f>
        <v>NO</v>
      </c>
      <c r="H45" s="2920" t="str">
        <f t="shared" si="9"/>
        <v>NO</v>
      </c>
      <c r="I45" s="2920" t="str">
        <f t="shared" si="9"/>
        <v>NO</v>
      </c>
      <c r="J45" s="2139" t="str">
        <f t="shared" si="9"/>
        <v>NO</v>
      </c>
      <c r="K45" s="1929"/>
      <c r="L45" s="1929"/>
      <c r="M45" s="1929"/>
      <c r="N45" s="2153"/>
      <c r="O45" s="2941" t="str">
        <f t="shared" si="1"/>
        <v>NO</v>
      </c>
    </row>
    <row r="46" spans="2:15" ht="18" customHeight="1" x14ac:dyDescent="0.2">
      <c r="B46" s="1270" t="s">
        <v>474</v>
      </c>
      <c r="C46" s="628"/>
      <c r="D46" s="628"/>
      <c r="E46" s="628"/>
      <c r="F46" s="1878"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78" t="s">
        <v>2146</v>
      </c>
      <c r="H46" s="1878" t="s">
        <v>2146</v>
      </c>
      <c r="I46" s="1878" t="s">
        <v>2146</v>
      </c>
      <c r="J46" s="2139" t="str">
        <f t="shared" ref="J46" si="10">IF(SUM(J47:J52)=0,"NO",SUM(J47:J52))</f>
        <v>NO</v>
      </c>
      <c r="K46" s="628"/>
      <c r="L46" s="628"/>
      <c r="M46" s="628"/>
      <c r="N46" s="1838"/>
      <c r="O46" s="1880" t="str">
        <f t="shared" si="1"/>
        <v>NO</v>
      </c>
    </row>
    <row r="47" spans="2:15" ht="18" customHeight="1" x14ac:dyDescent="0.2">
      <c r="B47" s="1270" t="s">
        <v>475</v>
      </c>
      <c r="C47" s="628"/>
      <c r="D47" s="628"/>
      <c r="E47" s="628"/>
      <c r="F47" s="1878"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78" t="s">
        <v>2146</v>
      </c>
      <c r="H47" s="1878" t="s">
        <v>2146</v>
      </c>
      <c r="I47" s="1878" t="s">
        <v>2146</v>
      </c>
      <c r="J47" s="2139" t="str">
        <f t="shared" ref="J47" si="11">IF(SUM(J48:J53)=0,"NO",SUM(J48:J53))</f>
        <v>NO</v>
      </c>
      <c r="K47" s="628"/>
      <c r="L47" s="628"/>
      <c r="M47" s="628"/>
      <c r="N47" s="1838"/>
      <c r="O47" s="1880" t="str">
        <f t="shared" si="1"/>
        <v>NO</v>
      </c>
    </row>
    <row r="48" spans="2:15" ht="18" customHeight="1" x14ac:dyDescent="0.2">
      <c r="B48" s="1270" t="s">
        <v>476</v>
      </c>
      <c r="C48" s="628"/>
      <c r="D48" s="628"/>
      <c r="E48" s="628"/>
      <c r="F48" s="1878"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78" t="s">
        <v>2146</v>
      </c>
      <c r="H48" s="1878" t="s">
        <v>2146</v>
      </c>
      <c r="I48" s="1878" t="s">
        <v>2146</v>
      </c>
      <c r="J48" s="2139" t="str">
        <f t="shared" ref="J48" si="12">IF(SUM(J49:J54)=0,"NO",SUM(J49:J54))</f>
        <v>NO</v>
      </c>
      <c r="K48" s="628"/>
      <c r="L48" s="628"/>
      <c r="M48" s="628"/>
      <c r="N48" s="1838"/>
      <c r="O48" s="1880" t="str">
        <f t="shared" si="1"/>
        <v>NO</v>
      </c>
    </row>
    <row r="49" spans="2:15" ht="18" customHeight="1" x14ac:dyDescent="0.2">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
      <c r="B50" s="1270" t="s">
        <v>478</v>
      </c>
      <c r="C50" s="628"/>
      <c r="D50" s="628"/>
      <c r="E50" s="628"/>
      <c r="F50" s="1878"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78" t="s">
        <v>2146</v>
      </c>
      <c r="H50" s="1878" t="s">
        <v>2146</v>
      </c>
      <c r="I50" s="1878" t="s">
        <v>2146</v>
      </c>
      <c r="J50" s="2139" t="str">
        <f t="shared" ref="J50" si="14">IF(SUM(J51:J56)=0,"NO",SUM(J51:J56))</f>
        <v>NO</v>
      </c>
      <c r="K50" s="628"/>
      <c r="L50" s="628"/>
      <c r="M50" s="628"/>
      <c r="N50" s="1838"/>
      <c r="O50" s="1880" t="str">
        <f t="shared" si="1"/>
        <v>NO</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1.1320709158452919E-2</v>
      </c>
      <c r="J52" s="2139" t="str">
        <f t="shared" si="16"/>
        <v>NO</v>
      </c>
      <c r="K52" s="2139" t="str">
        <f t="shared" si="16"/>
        <v>NO</v>
      </c>
      <c r="L52" s="2139" t="str">
        <f t="shared" si="16"/>
        <v>NO</v>
      </c>
      <c r="M52" s="2139" t="str">
        <f t="shared" si="16"/>
        <v>NO</v>
      </c>
      <c r="N52" s="2048" t="str">
        <f t="shared" si="16"/>
        <v>NO</v>
      </c>
      <c r="O52" s="2934">
        <f t="shared" si="1"/>
        <v>266.03666522364358</v>
      </c>
    </row>
    <row r="53" spans="2:15" ht="18" customHeight="1" x14ac:dyDescent="0.2">
      <c r="B53" s="1270" t="s">
        <v>481</v>
      </c>
      <c r="C53" s="2135"/>
      <c r="D53" s="2135"/>
      <c r="E53" s="2135"/>
      <c r="F53" s="2920" t="s">
        <v>2146</v>
      </c>
      <c r="G53" s="2920" t="s">
        <v>2146</v>
      </c>
      <c r="H53" s="2920" t="s">
        <v>2146</v>
      </c>
      <c r="I53" s="2920">
        <f>SUM('Table2(II).B-Hs2'!J163:M163)/1000</f>
        <v>1.0723857631266244E-2</v>
      </c>
      <c r="J53" s="2920" t="s">
        <v>2146</v>
      </c>
      <c r="K53" s="2135"/>
      <c r="L53" s="2135"/>
      <c r="M53" s="2135"/>
      <c r="N53" s="2149"/>
      <c r="O53" s="2934">
        <f t="shared" si="1"/>
        <v>252.01065433475674</v>
      </c>
    </row>
    <row r="54" spans="2:15" ht="18" customHeight="1" x14ac:dyDescent="0.2">
      <c r="B54" s="1270" t="s">
        <v>482</v>
      </c>
      <c r="C54" s="2135"/>
      <c r="D54" s="2135"/>
      <c r="E54" s="2135"/>
      <c r="F54" s="2135"/>
      <c r="G54" s="2920" t="s">
        <v>2146</v>
      </c>
      <c r="H54" s="3025"/>
      <c r="I54" s="2920">
        <f>SUM('Table2(II).B-Hs2'!J165:M165)/1000</f>
        <v>5.9685152718667563E-4</v>
      </c>
      <c r="J54" s="2135"/>
      <c r="K54" s="2135"/>
      <c r="L54" s="2135"/>
      <c r="M54" s="2135"/>
      <c r="N54" s="2149"/>
      <c r="O54" s="2934">
        <f t="shared" si="1"/>
        <v>14.026010888886876</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87.563067390773512</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33.45073</v>
      </c>
      <c r="N57" s="2073" t="str">
        <f>N58</f>
        <v>NA</v>
      </c>
      <c r="O57" s="2941">
        <f t="shared" si="1"/>
        <v>87.563067390773512</v>
      </c>
    </row>
    <row r="58" spans="2:15" ht="18" customHeight="1" thickBot="1" x14ac:dyDescent="0.25">
      <c r="B58" s="2596" t="s">
        <v>2180</v>
      </c>
      <c r="C58" s="2500">
        <f>'Table2(I).A-H'!H97</f>
        <v>87.563067390773512</v>
      </c>
      <c r="D58" s="2500" t="str">
        <f>'Table2(I).A-H'!I97</f>
        <v>NO</v>
      </c>
      <c r="E58" s="2500" t="str">
        <f>'Table2(I).A-H'!J97</f>
        <v>NO</v>
      </c>
      <c r="F58" s="2500" t="s">
        <v>2146</v>
      </c>
      <c r="G58" s="2500" t="s">
        <v>2146</v>
      </c>
      <c r="H58" s="2500" t="s">
        <v>2146</v>
      </c>
      <c r="I58" s="2500" t="s">
        <v>2146</v>
      </c>
      <c r="J58" s="2500" t="s">
        <v>2146</v>
      </c>
      <c r="K58" s="2912" t="s">
        <v>2147</v>
      </c>
      <c r="L58" s="2912" t="s">
        <v>2147</v>
      </c>
      <c r="M58" s="2912">
        <v>33.45073</v>
      </c>
      <c r="N58" s="2922" t="s">
        <v>2147</v>
      </c>
      <c r="O58" s="2925">
        <f t="shared" si="1"/>
        <v>87.563067390773512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90.08</v>
      </c>
      <c r="D10" s="2044" t="str">
        <f t="shared" ref="D10:X10" si="0">IF(SUM(D11,D16,D20,D26,D33,D37)=0,"NO",SUM(D11,D16,D20,D26,D33,D37))</f>
        <v>NO</v>
      </c>
      <c r="E10" s="2044" t="str">
        <f t="shared" si="0"/>
        <v>NO</v>
      </c>
      <c r="F10" s="2044" t="str">
        <f t="shared" si="0"/>
        <v>NO</v>
      </c>
      <c r="G10" s="2044" t="str">
        <f t="shared" si="0"/>
        <v>NO</v>
      </c>
      <c r="H10" s="2044" t="str">
        <f t="shared" si="0"/>
        <v>NO</v>
      </c>
      <c r="I10" s="2044" t="str">
        <f t="shared" si="0"/>
        <v>NO</v>
      </c>
      <c r="J10" s="2044" t="str">
        <f t="shared" si="0"/>
        <v>NO</v>
      </c>
      <c r="K10" s="2044" t="str">
        <f t="shared" si="0"/>
        <v>NO</v>
      </c>
      <c r="L10" s="2044" t="str">
        <f t="shared" si="0"/>
        <v>NO</v>
      </c>
      <c r="M10" s="2044" t="str">
        <f t="shared" si="0"/>
        <v>NO</v>
      </c>
      <c r="N10" s="2044" t="str">
        <f t="shared" si="0"/>
        <v>NO</v>
      </c>
      <c r="O10" s="2044" t="str">
        <f t="shared" si="0"/>
        <v>NO</v>
      </c>
      <c r="P10" s="2044" t="str">
        <f t="shared" si="0"/>
        <v>NO</v>
      </c>
      <c r="Q10" s="2044" t="str">
        <f t="shared" si="0"/>
        <v>NO</v>
      </c>
      <c r="R10" s="2044" t="str">
        <f t="shared" si="0"/>
        <v>NO</v>
      </c>
      <c r="S10" s="2044" t="str">
        <f t="shared" si="0"/>
        <v>NO</v>
      </c>
      <c r="T10" s="2044" t="str">
        <f t="shared" si="0"/>
        <v>NO</v>
      </c>
      <c r="U10" s="2044" t="str">
        <f t="shared" si="0"/>
        <v>NO</v>
      </c>
      <c r="V10" s="2045" t="str">
        <f t="shared" si="0"/>
        <v>NO</v>
      </c>
      <c r="W10" s="2046"/>
      <c r="X10" s="2044">
        <f t="shared" si="0"/>
        <v>512.93396221406192</v>
      </c>
      <c r="Y10" s="2044">
        <f t="shared" ref="Y10" si="1">IF(SUM(Y11,Y16,Y20,Y26,Y33,Y37)=0,"NO",SUM(Y11,Y16,Y20,Y26,Y33,Y37))</f>
        <v>66.614800287219992</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11.320709158452919</v>
      </c>
      <c r="AK10" s="2048" t="str">
        <f t="shared" si="9"/>
        <v>NO</v>
      </c>
    </row>
    <row r="11" spans="2:37" ht="18" customHeight="1" x14ac:dyDescent="0.2">
      <c r="B11" s="1288" t="s">
        <v>595</v>
      </c>
      <c r="C11" s="2049">
        <f>IF(SUM(C12,C15)=0,"NO",SUM(C12,C15))</f>
        <v>90.08</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f>IF(SUM(C13:C14)=0,"NO",SUM(C13:C14))</f>
        <v>90.08</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f>'Table2(II).B-Hs1'!G13</f>
        <v>90.08</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512.93396221406192</v>
      </c>
      <c r="Y16" s="2050">
        <f t="shared" ref="Y16" si="35">IF(SUM(Y17:Y19)=0,"NO",SUM(Y17:Y19))</f>
        <v>66.614800287219992</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512.93396221406192</v>
      </c>
      <c r="Y17" s="2050">
        <f>'Table2(II).B-Hs1'!G26</f>
        <v>66.614800287219992</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t="str">
        <f>IF(SUM(C27:C32)=0,"NO",SUM(C27:C32))</f>
        <v>NO</v>
      </c>
      <c r="D26" s="2069" t="str">
        <f t="shared" ref="D26:AK26" si="58">IF(SUM(D27:D32)=0,"NO",SUM(D27:D32))</f>
        <v>NO</v>
      </c>
      <c r="E26" s="2069" t="str">
        <f t="shared" si="58"/>
        <v>NO</v>
      </c>
      <c r="F26" s="2069" t="str">
        <f t="shared" si="58"/>
        <v>NO</v>
      </c>
      <c r="G26" s="2069" t="str">
        <f t="shared" si="58"/>
        <v>NO</v>
      </c>
      <c r="H26" s="2069" t="str">
        <f t="shared" si="58"/>
        <v>NO</v>
      </c>
      <c r="I26" s="2069" t="str">
        <f t="shared" si="58"/>
        <v>NO</v>
      </c>
      <c r="J26" s="2069" t="str">
        <f t="shared" si="58"/>
        <v>NO</v>
      </c>
      <c r="K26" s="2069" t="str">
        <f t="shared" si="58"/>
        <v>NO</v>
      </c>
      <c r="L26" s="2069" t="str">
        <f t="shared" si="58"/>
        <v>NO</v>
      </c>
      <c r="M26" s="2069" t="str">
        <f t="shared" si="58"/>
        <v>NO</v>
      </c>
      <c r="N26" s="2069" t="str">
        <f t="shared" si="58"/>
        <v>NO</v>
      </c>
      <c r="O26" s="2069" t="str">
        <f t="shared" si="58"/>
        <v>NO</v>
      </c>
      <c r="P26" s="2069" t="str">
        <f t="shared" si="58"/>
        <v>NO</v>
      </c>
      <c r="Q26" s="2069" t="str">
        <f t="shared" si="58"/>
        <v>NO</v>
      </c>
      <c r="R26" s="2069" t="str">
        <f t="shared" si="58"/>
        <v>NO</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t="str">
        <f>IF(SUM('Table2(II).B-Hs2'!J13:M13,'Table2(II).B-Hs2'!J26:M26,'Table2(II).B-Hs2'!J39:M39,'Table2(II).B-Hs2'!J52:M52,'Table2(II).B-Hs2'!J65:M65,'Table2(II).B-Hs2'!J78:M78)=0,"NO",SUM('Table2(II).B-Hs2'!J13:M13,'Table2(II).B-Hs2'!J26:M26,'Table2(II).B-Hs2'!J39:M39,'Table2(II).B-Hs2'!J52:M52,'Table2(II).B-Hs2'!J65:M65,'Table2(II).B-Hs2'!J78:M78))</f>
        <v>NO</v>
      </c>
      <c r="D27" s="2044" t="str">
        <f>IF(SUM('Table2(II).B-Hs2'!J14:M14,'Table2(II).B-Hs2'!J27:M27,'Table2(II).B-Hs2'!J40:M40,'Table2(II).B-Hs2'!J53:M53,'Table2(II).B-Hs2'!J66:M66,'Table2(II).B-Hs2'!J79:M79)=0,"NO",SUM('Table2(II).B-Hs2'!J14:M14,'Table2(II).B-Hs2'!J27:M27,'Table2(II).B-Hs2'!J40:M40,'Table2(II).B-Hs2'!J53:M53,'Table2(II).B-Hs2'!J66:M66,'Table2(II).B-Hs2'!J79:M79))</f>
        <v>NO</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t="str">
        <f>IF(SUM('Table2(II).B-Hs2'!J16:M16,'Table2(II).B-Hs2'!J29:M29,'Table2(II).B-Hs2'!J42:M42,'Table2(II).B-Hs2'!J55:M55,'Table2(II).B-Hs2'!J68:M68,'Table2(II).B-Hs2'!J81:M81)=0,"NO",SUM('Table2(II).B-Hs2'!J16:M16,'Table2(II).B-Hs2'!J29:M29,'Table2(II).B-Hs2'!J42:M42,'Table2(II).B-Hs2'!J55:M55,'Table2(II).B-Hs2'!J68:M68,'Table2(II).B-Hs2'!J81:M81))</f>
        <v>NO</v>
      </c>
      <c r="H27" s="2044" t="str">
        <f>IF(SUM('Table2(II).B-Hs2'!J17:M17,'Table2(II).B-Hs2'!J30:M30,'Table2(II).B-Hs2'!J43:M43,'Table2(II).B-Hs2'!J56:M56,'Table2(II).B-Hs2'!J69:M69,'Table2(II).B-Hs2'!J82:M82)=0,"NO",SUM('Table2(II).B-Hs2'!J17:M17,'Table2(II).B-Hs2'!J30:M30,'Table2(II).B-Hs2'!J43:M43,'Table2(II).B-Hs2'!J56:M56,'Table2(II).B-Hs2'!J69:M69,'Table2(II).B-Hs2'!J82:M82))</f>
        <v>NO</v>
      </c>
      <c r="I27" s="2044" t="str">
        <f>IF(SUM('Table2(II).B-Hs2'!J18:M18,'Table2(II).B-Hs2'!J31:M31,'Table2(II).B-Hs2'!J44:M44,'Table2(II).B-Hs2'!J57:M57,'Table2(II).B-Hs2'!J70:M70,'Table2(II).B-Hs2'!J83:M83)=0,"NO",SUM('Table2(II).B-Hs2'!J18:M18,'Table2(II).B-Hs2'!J31:M31,'Table2(II).B-Hs2'!J44:M44,'Table2(II).B-Hs2'!J57:M57,'Table2(II).B-Hs2'!J70:M70,'Table2(II).B-Hs2'!J83:M83))</f>
        <v>NO</v>
      </c>
      <c r="J27" s="2044" t="s">
        <v>2146</v>
      </c>
      <c r="K27" s="2044" t="str">
        <f>IF(SUM('Table2(II).B-Hs2'!J19:M19,'Table2(II).B-Hs2'!J32:M32,'Table2(II).B-Hs2'!J45:M45,'Table2(II).B-Hs2'!J58:M58,'Table2(II).B-Hs2'!J71:M71,'Table2(II).B-Hs2'!J84:M84)=0,"NO",SUM('Table2(II).B-Hs2'!J19:M19,'Table2(II).B-Hs2'!J32:M32,'Table2(II).B-Hs2'!J45:M45,'Table2(II).B-Hs2'!J58:M58,'Table2(II).B-Hs2'!J71:M71,'Table2(II).B-Hs2'!J84:M84))</f>
        <v>NO</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t="str">
        <f>IF(SUM('Table2(II).B-Hs2'!J21:M21,'Table2(II).B-Hs2'!J34:M34,'Table2(II).B-Hs2'!J47:M47,'Table2(II).B-Hs2'!J60:M60,'Table2(II).B-Hs2'!J73:M73,'Table2(II).B-Hs2'!J86:M86)=0,"NO",SUM('Table2(II).B-Hs2'!J21:M21,'Table2(II).B-Hs2'!J34:M34,'Table2(II).B-Hs2'!J47:M47,'Table2(II).B-Hs2'!J60:M60,'Table2(II).B-Hs2'!J73:M73,'Table2(II).B-Hs2'!J86:M86))</f>
        <v>NO</v>
      </c>
      <c r="P27" s="2044" t="s">
        <v>2146</v>
      </c>
      <c r="Q27" s="2044" t="s">
        <v>2146</v>
      </c>
      <c r="R27" s="2044" t="str">
        <f>IF(SUM('Table2(II).B-Hs2'!J22:M22,'Table2(II).B-Hs2'!J35:M35,'Table2(II).B-Hs2'!J48:M48,'Table2(II).B-Hs2'!J61:M61,'Table2(II).B-Hs2'!J74:M74,'Table2(II).B-Hs2'!J87:M87)=0,"NO",SUM('Table2(II).B-Hs2'!J22:M22,'Table2(II).B-Hs2'!J35:M35,'Table2(II).B-Hs2'!J48:M48,'Table2(II).B-Hs2'!J61:M61,'Table2(II).B-Hs2'!J74:M74,'Table2(II).B-Hs2'!J87:M87))</f>
        <v>NO</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t="str">
        <f>IF(SUM('Table2(II).B-Hs2'!J92:M92,'Table2(II).B-Hs2'!J105:M105)=0,"NO",SUM('Table2(II).B-Hs2'!J92:M92,'Table2(II).B-Hs2'!J105:M105))</f>
        <v>NO</v>
      </c>
      <c r="D28" s="2044" t="str">
        <f>IF(SUM('Table2(II).B-Hs2'!J93:M93,'Table2(II).B-Hs2'!J106:M106)=0,"NO",SUM('Table2(II).B-Hs2'!J93:M93,'Table2(II).B-Hs2'!J106:M106))</f>
        <v>NO</v>
      </c>
      <c r="E28" s="2044" t="s">
        <v>2146</v>
      </c>
      <c r="F28" s="2044" t="str">
        <f>IF(SUM('Table2(II).B-Hs2'!J94:M94,'Table2(II).B-Hs2'!J107:M107)=0,"NO",SUM('Table2(II).B-Hs2'!J94:M94,'Table2(II).B-Hs2'!J107:M107))</f>
        <v>NO</v>
      </c>
      <c r="G28" s="2044" t="str">
        <f>IF(SUM('Table2(II).B-Hs2'!J95:M95,'Table2(II).B-Hs2'!J108:M108)=0,"NO",SUM('Table2(II).B-Hs2'!J95:M95,'Table2(II).B-Hs2'!J108:M108))</f>
        <v>NO</v>
      </c>
      <c r="H28" s="2044" t="str">
        <f>IF(SUM('Table2(II).B-Hs2'!J96:M96,'Table2(II).B-Hs2'!J109:M109)=0,"NO",SUM('Table2(II).B-Hs2'!J96:M96,'Table2(II).B-Hs2'!J109:M109))</f>
        <v>NO</v>
      </c>
      <c r="I28" s="2044" t="str">
        <f>IF(SUM('Table2(II).B-Hs2'!J97:M97,'Table2(II).B-Hs2'!J110:M110)=0,"NO",SUM('Table2(II).B-Hs2'!J97:M97,'Table2(II).B-Hs2'!J110:M110))</f>
        <v>NO</v>
      </c>
      <c r="J28" s="2044" t="s">
        <v>2146</v>
      </c>
      <c r="K28" s="2044" t="str">
        <f>IF(SUM('Table2(II).B-Hs2'!J98:M98,'Table2(II).B-Hs2'!J111:M111)=0,"NO",SUM('Table2(II).B-Hs2'!J98:M98,'Table2(II).B-Hs2'!J111:M111))</f>
        <v>NO</v>
      </c>
      <c r="L28" s="2044" t="s">
        <v>2146</v>
      </c>
      <c r="M28" s="2044" t="str">
        <f>IF(SUM('Table2(II).B-Hs2'!J99:M99,'Table2(II).B-Hs2'!J112:M112)=0,"NO",SUM('Table2(II).B-Hs2'!J99:M99,'Table2(II).B-Hs2'!J112:M112))</f>
        <v>NO</v>
      </c>
      <c r="N28" s="2044" t="s">
        <v>2146</v>
      </c>
      <c r="O28" s="2044" t="str">
        <f>IF(SUM('Table2(II).B-Hs2'!J100:M100,'Table2(II).B-Hs2'!J113:M113)=0,"NO",SUM('Table2(II).B-Hs2'!J100:M100,'Table2(II).B-Hs2'!J113:M113))</f>
        <v>NO</v>
      </c>
      <c r="P28" s="2044" t="s">
        <v>2146</v>
      </c>
      <c r="Q28" s="2044" t="s">
        <v>2146</v>
      </c>
      <c r="R28" s="2044" t="str">
        <f>IF(SUM('Table2(II).B-Hs2'!J101:M101,'Table2(II).B-Hs2'!J114:M114)=0,"NO",SUM('Table2(II).B-Hs2'!J101:M101,'Table2(II).B-Hs2'!J114:M114))</f>
        <v>NO</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t="str">
        <f>IF(SUM('Table2(II).B-Hs2'!J118:M118)=0,"NO",SUM('Table2(II).B-Hs2'!J118:M118))</f>
        <v>NO</v>
      </c>
      <c r="D29" s="2044" t="str">
        <f>IF(SUM('Table2(II).B-Hs2'!J119:M119)=0,"NO",SUM('Table2(II).B-Hs2'!J119:M119))</f>
        <v>NO</v>
      </c>
      <c r="E29" s="2044" t="s">
        <v>2146</v>
      </c>
      <c r="F29" s="2044" t="str">
        <f>IF(SUM('Table2(II).B-Hs2'!J120:M120)=0,"NO",SUM('Table2(II).B-Hs2'!J120:M120))</f>
        <v>NO</v>
      </c>
      <c r="G29" s="2044" t="str">
        <f>IF(SUM('Table2(II).B-Hs2'!J121:M121)=0,"NO",SUM('Table2(II).B-Hs2'!J121:M121))</f>
        <v>NO</v>
      </c>
      <c r="H29" s="2044" t="str">
        <f>IF(SUM('Table2(II).B-Hs2'!J122:M122)=0,"NO",SUM('Table2(II).B-Hs2'!J122:M122))</f>
        <v>NO</v>
      </c>
      <c r="I29" s="2044" t="str">
        <f>IF(SUM('Table2(II).B-Hs2'!J123:M123)=0,"NO",SUM('Table2(II).B-Hs2'!J123:M123))</f>
        <v>NO</v>
      </c>
      <c r="J29" s="2044" t="s">
        <v>2146</v>
      </c>
      <c r="K29" s="2044" t="str">
        <f>IF(SUM('Table2(II).B-Hs2'!J124:M124)=0,"NO",SUM('Table2(II).B-Hs2'!J124:M124))</f>
        <v>NO</v>
      </c>
      <c r="L29" s="2044" t="s">
        <v>2146</v>
      </c>
      <c r="M29" s="2044" t="str">
        <f>IF(SUM('Table2(II).B-Hs2'!J125:M125)=0,"NO",SUM('Table2(II).B-Hs2'!J125:M125))</f>
        <v>NO</v>
      </c>
      <c r="N29" s="2044" t="s">
        <v>2146</v>
      </c>
      <c r="O29" s="2044" t="str">
        <f>IF(SUM('Table2(II).B-Hs2'!J126:M126)=0,"NO",SUM('Table2(II).B-Hs2'!J126:M126))</f>
        <v>NO</v>
      </c>
      <c r="P29" s="2044" t="s">
        <v>2146</v>
      </c>
      <c r="Q29" s="2044" t="s">
        <v>2146</v>
      </c>
      <c r="R29" s="2044" t="str">
        <f>IF(SUM('Table2(II).B-Hs2'!J127:M127)=0,"NO",SUM('Table2(II).B-Hs2'!J127:M127))</f>
        <v>NO</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t="str">
        <f>IF(SUM('Table2(II).B-Hs2'!J147:M147)=0,"NO",SUM('Table2(II).B-Hs2'!J147:M147))</f>
        <v>NO</v>
      </c>
      <c r="D31" s="2044" t="str">
        <f>IF(SUM('Table2(II).B-Hs2'!J148:M148)=0,"NO",SUM('Table2(II).B-Hs2'!J148:M148))</f>
        <v>NO</v>
      </c>
      <c r="E31" s="2044" t="s">
        <v>2146</v>
      </c>
      <c r="F31" s="2044" t="str">
        <f>IF(SUM('Table2(II).B-Hs2'!J149:M149)=0,"NO",SUM('Table2(II).B-Hs2'!J149:M149))</f>
        <v>NO</v>
      </c>
      <c r="G31" s="2044" t="str">
        <f>IF(SUM('Table2(II).B-Hs2'!J150:M150)=0,"NO",SUM('Table2(II).B-Hs2'!J150:M150))</f>
        <v>NO</v>
      </c>
      <c r="H31" s="2044" t="str">
        <f>IF(SUM('Table2(II).B-Hs2'!J151:M151)=0,"NO",SUM('Table2(II).B-Hs2'!J151:M151))</f>
        <v>NO</v>
      </c>
      <c r="I31" s="2044" t="str">
        <f>IF(SUM('Table2(II).B-Hs2'!J152:M152)=0,"NO",SUM('Table2(II).B-Hs2'!J152:M152))</f>
        <v>NO</v>
      </c>
      <c r="J31" s="2044" t="s">
        <v>2146</v>
      </c>
      <c r="K31" s="2044" t="str">
        <f>IF(SUM('Table2(II).B-Hs2'!J153:M153)=0,"NO",SUM('Table2(II).B-Hs2'!J153:M153))</f>
        <v>NO</v>
      </c>
      <c r="L31" s="2044" t="s">
        <v>2146</v>
      </c>
      <c r="M31" s="2044" t="str">
        <f>IF(SUM('Table2(II).B-Hs2'!J154:M154)=0,"NO",SUM('Table2(II).B-Hs2'!J154:M154))</f>
        <v>NO</v>
      </c>
      <c r="N31" s="2044" t="s">
        <v>2146</v>
      </c>
      <c r="O31" s="2044" t="str">
        <f>IF(SUM('Table2(II).B-Hs2'!J155:M155)=0,"NO",SUM('Table2(II).B-Hs2'!J155:M155))</f>
        <v>NO</v>
      </c>
      <c r="P31" s="2044" t="s">
        <v>2146</v>
      </c>
      <c r="Q31" s="2044" t="s">
        <v>2146</v>
      </c>
      <c r="R31" s="2044" t="str">
        <f>IF(SUM('Table2(II).B-Hs2'!J156:M156)=0,"NO",SUM('Table2(II).B-Hs2'!J156:M156))</f>
        <v>NO</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11.320709158452919</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10.723857631266243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0.59685152718667567</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1116.992</v>
      </c>
      <c r="D39" s="4196" t="str">
        <f t="shared" ref="D39:AK39" si="72">IF(SUM(D40:D45)=0,"NO",SUM(D40:D45))</f>
        <v>NO</v>
      </c>
      <c r="E39" s="4196" t="str">
        <f t="shared" si="72"/>
        <v>NO</v>
      </c>
      <c r="F39" s="4196" t="str">
        <f t="shared" si="72"/>
        <v>NO</v>
      </c>
      <c r="G39" s="4196" t="str">
        <f t="shared" si="72"/>
        <v>NO</v>
      </c>
      <c r="H39" s="4196" t="str">
        <f t="shared" si="72"/>
        <v>NO</v>
      </c>
      <c r="I39" s="4196" t="str">
        <f t="shared" si="72"/>
        <v>NO</v>
      </c>
      <c r="J39" s="4196" t="str">
        <f t="shared" si="72"/>
        <v>NO</v>
      </c>
      <c r="K39" s="4196" t="str">
        <f t="shared" si="72"/>
        <v>NO</v>
      </c>
      <c r="L39" s="4196" t="str">
        <f t="shared" si="72"/>
        <v>NO</v>
      </c>
      <c r="M39" s="4196" t="str">
        <f t="shared" si="72"/>
        <v>NO</v>
      </c>
      <c r="N39" s="4196" t="str">
        <f t="shared" si="72"/>
        <v>NO</v>
      </c>
      <c r="O39" s="4196" t="str">
        <f t="shared" si="72"/>
        <v>NO</v>
      </c>
      <c r="P39" s="4196" t="str">
        <f t="shared" si="72"/>
        <v>NO</v>
      </c>
      <c r="Q39" s="4196" t="str">
        <f t="shared" si="72"/>
        <v>NO</v>
      </c>
      <c r="R39" s="4196" t="str">
        <f t="shared" si="72"/>
        <v>NO</v>
      </c>
      <c r="S39" s="4196" t="str">
        <f t="shared" si="72"/>
        <v>NO</v>
      </c>
      <c r="T39" s="4196" t="str">
        <f t="shared" si="72"/>
        <v>NO</v>
      </c>
      <c r="U39" s="4196" t="str">
        <f t="shared" si="72"/>
        <v>NO</v>
      </c>
      <c r="V39" s="4196" t="str">
        <f t="shared" si="72"/>
        <v>NO</v>
      </c>
      <c r="W39" s="4196">
        <f t="shared" si="72"/>
        <v>1116.992</v>
      </c>
      <c r="X39" s="4196">
        <f t="shared" si="72"/>
        <v>3400.7521694792304</v>
      </c>
      <c r="Y39" s="4196">
        <f t="shared" si="72"/>
        <v>739.42428318814189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4140.1764526673724</v>
      </c>
      <c r="AI39" s="4197" t="str">
        <f t="shared" si="72"/>
        <v>NO</v>
      </c>
      <c r="AJ39" s="4197">
        <f t="shared" si="72"/>
        <v>266.03666522364358</v>
      </c>
      <c r="AK39" s="2918" t="str">
        <f t="shared" si="72"/>
        <v>NO</v>
      </c>
    </row>
    <row r="40" spans="2:37" ht="18" customHeight="1" x14ac:dyDescent="0.2">
      <c r="B40" s="1292" t="s">
        <v>595</v>
      </c>
      <c r="C40" s="4198">
        <f>IF(SUM(C11)=0,"NO",C11*12400/1000)</f>
        <v>1116.992</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1116.992</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3400.7521694792304</v>
      </c>
      <c r="Y41" s="4199">
        <f>IF(SUM(Y16)=0,"NO",Y16*11100/1000)</f>
        <v>739.42428318814189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4140.1764526673724</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t="str">
        <f>IF(SUM(C26)=0,"NO",C26*12400/1000)</f>
        <v>NO</v>
      </c>
      <c r="D43" s="4199" t="str">
        <f>IF(SUM(D26)=0,"NO",D26*677/1000)</f>
        <v>NO</v>
      </c>
      <c r="E43" s="4199" t="str">
        <f>IF(SUM(E26)=0,"NO",E26*116/1000)</f>
        <v>NO</v>
      </c>
      <c r="F43" s="4199" t="str">
        <f>IF(SUM(F26)=0,"NO",F26*1650/1000)</f>
        <v>NO</v>
      </c>
      <c r="G43" s="4199" t="str">
        <f>IF(SUM(G26)=0,"NO",G26*3170/1000)</f>
        <v>NO</v>
      </c>
      <c r="H43" s="4199" t="str">
        <f>IF(SUM(H26)=0,"NO",H26*1120/1000)</f>
        <v>NO</v>
      </c>
      <c r="I43" s="4199" t="str">
        <f>IF(SUM(I26)=0,"NO",I26*1300/1000)</f>
        <v>NO</v>
      </c>
      <c r="J43" s="4199" t="str">
        <f>IF(SUM(J26)=0,"NO",J26*328/1000)</f>
        <v>NO</v>
      </c>
      <c r="K43" s="4199" t="str">
        <f>IF(SUM(K26)=0,"NO",K26*4800/1000)</f>
        <v>NO</v>
      </c>
      <c r="L43" s="4199" t="str">
        <f>IF(SUM(L26)=0,"NO",L26*16/1000)</f>
        <v>NO</v>
      </c>
      <c r="M43" s="4199" t="str">
        <f>IF(SUM(M26)=0,"NO",M26*138/1000)</f>
        <v>NO</v>
      </c>
      <c r="N43" s="4199" t="str">
        <f>IF(SUM(N26)=0,"NO",N26*4/1000)</f>
        <v>NO</v>
      </c>
      <c r="O43" s="4199" t="str">
        <f>IF(SUM(O26)=0,"NO",O26*3350/1000)</f>
        <v>NO</v>
      </c>
      <c r="P43" s="4199" t="str">
        <f>IF(SUM(P26)=0,"NO",P26*1210/1000)</f>
        <v>NO</v>
      </c>
      <c r="Q43" s="4199" t="str">
        <f>IF(SUM(Q26)=0,"NO",Q26*1330/1000)</f>
        <v>NO</v>
      </c>
      <c r="R43" s="4199" t="str">
        <f>IF(SUM(R26)=0,"NO",R26*8060/1000)</f>
        <v>NO</v>
      </c>
      <c r="S43" s="4199" t="str">
        <f>IF(SUM(S26)=0,"NO",S26*716/1000)</f>
        <v>NO</v>
      </c>
      <c r="T43" s="4199" t="str">
        <f>IF(SUM(T26)=0,"NO",T26*858/1000)</f>
        <v>NO</v>
      </c>
      <c r="U43" s="4199" t="str">
        <f>IF(SUM(U26)=0,"NO",U26*804/1000)</f>
        <v>NO</v>
      </c>
      <c r="V43" s="4199" t="str">
        <f>IF(SUM(V26)=0,"NO",V26*1/1000)</f>
        <v>NO</v>
      </c>
      <c r="W43" s="4199" t="str">
        <f t="shared" si="73"/>
        <v>NO</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266.03666522364358</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4966.1950589056469</v>
      </c>
      <c r="I10" s="628"/>
      <c r="J10" s="628"/>
      <c r="K10" s="3192" t="str">
        <f>IF(SUM(K11:K14)=0,"NO",SUM(K11:K14))</f>
        <v>NO</v>
      </c>
      <c r="L10" s="3192" t="str">
        <f>IF(SUM(L11:L14)=0,"NO",SUM(L11:L14))</f>
        <v>NO</v>
      </c>
      <c r="M10" s="628"/>
      <c r="N10" s="1838"/>
    </row>
    <row r="11" spans="2:14" ht="18" customHeight="1" x14ac:dyDescent="0.2">
      <c r="B11" s="287" t="s">
        <v>491</v>
      </c>
      <c r="C11" s="2099" t="s">
        <v>2181</v>
      </c>
      <c r="D11" s="691">
        <v>5263.8469999999998</v>
      </c>
      <c r="E11" s="1913">
        <f>IF(SUM($D11)=0,"NA",H11/$D11)</f>
        <v>0.55537544917243986</v>
      </c>
      <c r="F11" s="628"/>
      <c r="G11" s="628"/>
      <c r="H11" s="3180">
        <v>2923.411392</v>
      </c>
      <c r="I11" s="628"/>
      <c r="J11" s="628"/>
      <c r="K11" s="3180" t="s">
        <v>2146</v>
      </c>
      <c r="L11" s="691" t="s">
        <v>2146</v>
      </c>
      <c r="M11" s="628"/>
      <c r="N11" s="1838"/>
    </row>
    <row r="12" spans="2:14" ht="18" customHeight="1" x14ac:dyDescent="0.2">
      <c r="B12" s="287" t="s">
        <v>492</v>
      </c>
      <c r="C12" s="2100" t="s">
        <v>2182</v>
      </c>
      <c r="D12" s="691">
        <v>1133.0034636842493</v>
      </c>
      <c r="E12" s="1913">
        <f>IF(SUM($D12)=0,"NA",H12/$D12)</f>
        <v>0.74821825618110471</v>
      </c>
      <c r="F12" s="628"/>
      <c r="G12" s="628"/>
      <c r="H12" s="3180">
        <v>847.73387584498062</v>
      </c>
      <c r="I12" s="628"/>
      <c r="J12" s="628"/>
      <c r="K12" s="3180" t="s">
        <v>2146</v>
      </c>
      <c r="L12" s="691" t="s">
        <v>2146</v>
      </c>
      <c r="M12" s="628"/>
      <c r="N12" s="1838"/>
    </row>
    <row r="13" spans="2:14" ht="18" customHeight="1" x14ac:dyDescent="0.2">
      <c r="B13" s="287" t="s">
        <v>493</v>
      </c>
      <c r="C13" s="2100" t="s">
        <v>2267</v>
      </c>
      <c r="D13" s="691">
        <v>226.52896462078311</v>
      </c>
      <c r="E13" s="1913">
        <f>IF(SUM($D13)=0,"NA",H13/$D13)</f>
        <v>0.39573899999999995</v>
      </c>
      <c r="F13" s="628"/>
      <c r="G13" s="628"/>
      <c r="H13" s="3180">
        <v>89.646345930064072</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1105.403445130602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34.628864108800009</v>
      </c>
      <c r="I15" s="628"/>
      <c r="J15" s="628"/>
      <c r="K15" s="3180" t="s">
        <v>2146</v>
      </c>
      <c r="L15" s="691" t="s">
        <v>2146</v>
      </c>
      <c r="M15" s="628"/>
      <c r="N15" s="1838"/>
    </row>
    <row r="16" spans="2:14" ht="18" customHeight="1" x14ac:dyDescent="0.2">
      <c r="B16" s="160" t="s">
        <v>496</v>
      </c>
      <c r="C16" s="484" t="s">
        <v>2316</v>
      </c>
      <c r="D16" s="2905">
        <v>400</v>
      </c>
      <c r="E16" s="1913">
        <f>IF(SUM($D16)=0,"NA",H16/$D16)</f>
        <v>0.41492000000000007</v>
      </c>
      <c r="F16" s="628"/>
      <c r="G16" s="628"/>
      <c r="H16" s="3180">
        <v>165.96800000000002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904.80658102180189</v>
      </c>
      <c r="I18" s="628"/>
      <c r="J18" s="628"/>
      <c r="K18" s="3181" t="str">
        <f>K19</f>
        <v>NO</v>
      </c>
      <c r="L18" s="3193" t="str">
        <f>L19</f>
        <v>NO</v>
      </c>
      <c r="M18" s="628"/>
      <c r="N18" s="1838"/>
    </row>
    <row r="19" spans="2:14" ht="18" customHeight="1" x14ac:dyDescent="0.2">
      <c r="B19" s="3182" t="s">
        <v>2265</v>
      </c>
      <c r="C19" s="484" t="s">
        <v>2267</v>
      </c>
      <c r="D19" s="2905">
        <v>1963.8783600992169</v>
      </c>
      <c r="E19" s="1913">
        <f>IF(SUM($D19)=0,"NA",H19/$D19)</f>
        <v>0.41153486538848927</v>
      </c>
      <c r="F19" s="628"/>
      <c r="G19" s="628"/>
      <c r="H19" s="3180">
        <v>808.20441656279831</v>
      </c>
      <c r="I19" s="628"/>
      <c r="J19" s="628"/>
      <c r="K19" s="3180" t="s">
        <v>2146</v>
      </c>
      <c r="L19" s="3180" t="s">
        <v>2146</v>
      </c>
      <c r="M19" s="628"/>
      <c r="N19" s="1838"/>
    </row>
    <row r="20" spans="2:14" ht="18" customHeight="1" x14ac:dyDescent="0.2">
      <c r="B20" s="3183" t="s">
        <v>2264</v>
      </c>
      <c r="C20" s="484" t="s">
        <v>2267</v>
      </c>
      <c r="D20" s="2905">
        <v>104.88866208785944</v>
      </c>
      <c r="E20" s="1913">
        <f>IF(SUM($D20)=0,"NA",H20/$D20)</f>
        <v>0.48862837317029917</v>
      </c>
      <c r="F20" s="628"/>
      <c r="G20" s="628"/>
      <c r="H20" s="3180">
        <v>51.251576319999998</v>
      </c>
      <c r="I20" s="628"/>
      <c r="J20" s="628"/>
      <c r="K20" s="3180" t="s">
        <v>2146</v>
      </c>
      <c r="L20" s="3180" t="s">
        <v>2146</v>
      </c>
      <c r="M20" s="2135"/>
      <c r="N20" s="2149"/>
    </row>
    <row r="21" spans="2:14" ht="18" customHeight="1" thickBot="1" x14ac:dyDescent="0.25">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1218.528680850422</v>
      </c>
      <c r="I22" s="3067">
        <f>IF(SUM(I23:I26,I30,I33:I35,I47)=0,"IE",SUM(I23:I26,I30,I33:I35,I47))</f>
        <v>0.40760881599999998</v>
      </c>
      <c r="J22" s="3067">
        <f>IF(SUM(J23:J26,J30,J33:J35,J47)=0,"IE",SUM(J23:J26,J30,J33:J35,J47))</f>
        <v>3.6530679819354845</v>
      </c>
      <c r="K22" s="3067">
        <f>IF(SUM(K23:K26,K30,K33:K35,K47)=0,"NO",SUM(K23:K26,K30,K33:K35,K47))</f>
        <v>-103.778752384954</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438.161401786</v>
      </c>
      <c r="E23" s="1913">
        <f>IF(SUM($D23)=0,"NA",H23/$D23)</f>
        <v>1.410170812907598</v>
      </c>
      <c r="F23" s="1913" t="str">
        <f>IFERROR(IF(SUM($D23)=0,"NA",I23/$D23),"NA")</f>
        <v>NA</v>
      </c>
      <c r="G23" s="1913" t="str">
        <f>IFERROR(IF(SUM($D23)=0,"NA",J23/$D23),"NA")</f>
        <v>NA</v>
      </c>
      <c r="H23" s="691">
        <v>617.88242014129628</v>
      </c>
      <c r="I23" s="691" t="s">
        <v>2146</v>
      </c>
      <c r="J23" s="691" t="s">
        <v>2146</v>
      </c>
      <c r="K23" s="3180">
        <v>-103.778752384954</v>
      </c>
      <c r="L23" s="691" t="s">
        <v>2146</v>
      </c>
      <c r="M23" s="691" t="s">
        <v>2146</v>
      </c>
      <c r="N23" s="2911" t="s">
        <v>2146</v>
      </c>
    </row>
    <row r="24" spans="2:14" ht="18" customHeight="1" x14ac:dyDescent="0.2">
      <c r="B24" s="287" t="s">
        <v>500</v>
      </c>
      <c r="C24" s="484" t="s">
        <v>220</v>
      </c>
      <c r="D24" s="691">
        <v>331.51549999999997</v>
      </c>
      <c r="E24" s="2108"/>
      <c r="F24" s="2108"/>
      <c r="G24" s="1913">
        <f>IF(SUM($D24)=0,"NA",J24/$D24)</f>
        <v>1.1019297685735613E-2</v>
      </c>
      <c r="H24" s="2108"/>
      <c r="I24" s="2108"/>
      <c r="J24" s="691">
        <v>3.6530679819354845</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504.93484487098806</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0.40760881599999998</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0.40760881599999998</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0.40760881599999998</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0.40760881599999998</v>
      </c>
      <c r="J46" s="628"/>
      <c r="K46" s="691" t="s">
        <v>2146</v>
      </c>
      <c r="L46" s="691" t="s">
        <v>2146</v>
      </c>
      <c r="M46" s="691" t="s">
        <v>2146</v>
      </c>
      <c r="N46" s="1838"/>
    </row>
    <row r="47" spans="2:16" ht="18" customHeight="1" x14ac:dyDescent="0.2">
      <c r="B47" s="287" t="s">
        <v>520</v>
      </c>
      <c r="C47" s="2104"/>
      <c r="D47" s="628"/>
      <c r="E47" s="628"/>
      <c r="F47" s="628"/>
      <c r="G47" s="628"/>
      <c r="H47" s="3198">
        <f>H50</f>
        <v>95.711415838137825</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95.711415838137825</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95.711415838137825</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11860.438182471731</v>
      </c>
      <c r="I52" s="3192">
        <f>IF(SUM(I53,I62:I67)=0,"IE",SUM(I53,I62:I67))</f>
        <v>2.882574740879809</v>
      </c>
      <c r="J52" s="1909">
        <f>J67</f>
        <v>7.6499343108412041E-2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1234</v>
      </c>
      <c r="E63" s="4130">
        <f>IF(SUM($D63)=0,"NA",H63/$D63)</f>
        <v>1.6664799557239489</v>
      </c>
      <c r="F63" s="1892"/>
      <c r="G63" s="2107"/>
      <c r="H63" s="691">
        <v>2056.436265363353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9804.0019171083786</v>
      </c>
      <c r="I67" s="3199">
        <f t="shared" ref="I67:N67" si="8">IF(SUM(I69:I70)=0,I70,SUM(I69:I70))</f>
        <v>2.882574740879809</v>
      </c>
      <c r="J67" s="3199">
        <f t="shared" si="8"/>
        <v>7.6499343108412041E-2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9804.0019171083786</v>
      </c>
      <c r="I70" s="3095">
        <f t="shared" si="9"/>
        <v>2.882574740879809</v>
      </c>
      <c r="J70" s="3095">
        <f t="shared" si="9"/>
        <v>7.6499343108412041E-2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9804.0019171083786</v>
      </c>
      <c r="I71" s="3123">
        <v>2.882574740879809</v>
      </c>
      <c r="J71" s="3123">
        <v>7.6499343108412041E-2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256.36125249999992</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476.80412371134025</v>
      </c>
      <c r="E73" s="4130">
        <f t="shared" ref="E73:G74" si="11">IF(SUM($D73)=0,"NA",H73/$D73)</f>
        <v>0.53766576199999982</v>
      </c>
      <c r="F73" s="276" t="s">
        <v>2147</v>
      </c>
      <c r="G73" s="276" t="s">
        <v>2147</v>
      </c>
      <c r="H73" s="3122">
        <v>256.36125249999992</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258.576818181818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87.563067390773512</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87.563067390773512</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f t="shared" ref="G10:H12" si="0">G11</f>
        <v>90.08</v>
      </c>
      <c r="H10" s="2612" t="str">
        <f t="shared" si="0"/>
        <v>NO</v>
      </c>
    </row>
    <row r="11" spans="2:8" ht="18" customHeight="1" x14ac:dyDescent="0.2">
      <c r="B11" s="169" t="s">
        <v>596</v>
      </c>
      <c r="C11" s="2507"/>
      <c r="D11" s="1825"/>
      <c r="E11" s="1826"/>
      <c r="F11" s="4322"/>
      <c r="G11" s="1913">
        <f t="shared" si="0"/>
        <v>90.08</v>
      </c>
      <c r="H11" s="2611" t="str">
        <f t="shared" si="0"/>
        <v>NO</v>
      </c>
    </row>
    <row r="12" spans="2:8" ht="18" customHeight="1" x14ac:dyDescent="0.2">
      <c r="B12" s="1169" t="s">
        <v>597</v>
      </c>
      <c r="C12" s="2507"/>
      <c r="D12" s="1825"/>
      <c r="E12" s="1826"/>
      <c r="F12" s="4322"/>
      <c r="G12" s="1913">
        <f t="shared" si="0"/>
        <v>90.08</v>
      </c>
      <c r="H12" s="2611" t="str">
        <f t="shared" si="0"/>
        <v>NO</v>
      </c>
    </row>
    <row r="13" spans="2:8" ht="18" customHeight="1" x14ac:dyDescent="0.2">
      <c r="B13" s="1170" t="s">
        <v>622</v>
      </c>
      <c r="C13" s="2620" t="s">
        <v>559</v>
      </c>
      <c r="D13" s="73" t="s">
        <v>624</v>
      </c>
      <c r="E13" s="2608">
        <v>2252</v>
      </c>
      <c r="F13" s="4323">
        <f>IF(SUM(E13)=0,"NA",SUM(G13)*1000/E13)</f>
        <v>40</v>
      </c>
      <c r="G13" s="691">
        <v>90.08</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579.54876250128189</v>
      </c>
      <c r="H22" s="2611" t="str">
        <f>H23</f>
        <v>NO</v>
      </c>
    </row>
    <row r="23" spans="2:8" ht="18" customHeight="1" x14ac:dyDescent="0.2">
      <c r="B23" s="169" t="s">
        <v>636</v>
      </c>
      <c r="C23" s="2507"/>
      <c r="D23" s="76"/>
      <c r="E23" s="76"/>
      <c r="F23" s="4322"/>
      <c r="G23" s="3188">
        <f>IF(SUM(G24,G27)=0,"NO",SUM(G24,G27))</f>
        <v>579.54876250128189</v>
      </c>
      <c r="H23" s="2611" t="str">
        <f>H24</f>
        <v>NO</v>
      </c>
    </row>
    <row r="24" spans="2:8" ht="18" customHeight="1" x14ac:dyDescent="0.2">
      <c r="B24" s="171" t="s">
        <v>637</v>
      </c>
      <c r="C24" s="2507"/>
      <c r="D24" s="76"/>
      <c r="E24" s="76"/>
      <c r="F24" s="4322"/>
      <c r="G24" s="3188">
        <f>IF(SUM(G25:G26)=0,"NO",SUM(G25:G26))</f>
        <v>579.54876250128189</v>
      </c>
      <c r="H24" s="2611" t="str">
        <f>H25</f>
        <v>NO</v>
      </c>
    </row>
    <row r="25" spans="2:8" ht="18" customHeight="1" x14ac:dyDescent="0.25">
      <c r="B25" s="2609" t="s">
        <v>1741</v>
      </c>
      <c r="C25" s="2620" t="s">
        <v>1741</v>
      </c>
      <c r="D25" s="73" t="s">
        <v>638</v>
      </c>
      <c r="E25" s="691">
        <v>1234000</v>
      </c>
      <c r="F25" s="4320">
        <f t="shared" ref="F25:F28" si="2">IF(SUM(E25)=0,"NA",G25*1000/E25)</f>
        <v>0.41566771654299994</v>
      </c>
      <c r="G25" s="691">
        <v>512.93396221406192</v>
      </c>
      <c r="H25" s="2610" t="s">
        <v>2146</v>
      </c>
    </row>
    <row r="26" spans="2:8" ht="18" customHeight="1" x14ac:dyDescent="0.25">
      <c r="B26" s="2609" t="s">
        <v>1742</v>
      </c>
      <c r="C26" s="2620" t="s">
        <v>1742</v>
      </c>
      <c r="D26" s="73" t="s">
        <v>638</v>
      </c>
      <c r="E26" s="691">
        <v>1234000</v>
      </c>
      <c r="F26" s="4320">
        <f t="shared" si="2"/>
        <v>5.3982820329999986E-2</v>
      </c>
      <c r="G26" s="691">
        <v>66.614800287219992</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t="str">
        <f>IF(SUM(J11,J90,J117,J130,J146,J159)=0,"NO",SUM(J11,J90,J117,J130,J146,J159))</f>
        <v>NO</v>
      </c>
      <c r="K10" s="3224" t="str">
        <f>IF(SUM(K11,K90,K117,K130,K146,K159)=0,"NO",SUM(K11,K90,K117,K130,K146,K159))</f>
        <v>NO</v>
      </c>
      <c r="L10" s="3225" t="str">
        <f>IF(SUM(L11,L90,L117,L130,L146,L159)=0,"NO",SUM(L11,L90,L117,L130,L146,L159))</f>
        <v>NO</v>
      </c>
      <c r="M10" s="3498" t="str">
        <f>IF(SUM(M11,M90,M117,M130,M146,M159)=0,"NO",SUM(M11,M90,M117,M130,M146,M159))</f>
        <v>NO</v>
      </c>
    </row>
    <row r="11" spans="1:13" ht="18" customHeight="1" x14ac:dyDescent="0.2">
      <c r="B11" s="147" t="s">
        <v>667</v>
      </c>
      <c r="C11" s="2508"/>
      <c r="D11" s="2108"/>
      <c r="E11" s="2108"/>
      <c r="F11" s="2108"/>
      <c r="G11" s="2108"/>
      <c r="H11" s="2108"/>
      <c r="I11" s="2108"/>
      <c r="J11" s="3103" t="str">
        <f>IF(SUM(J12,J25,J38,J51,J64,J77)=0,"NO",SUM(J12,J25,J38,J51,J64,J77))</f>
        <v>NO</v>
      </c>
      <c r="K11" s="3103" t="str">
        <f t="shared" ref="K11:M11" si="0">IF(SUM(K12,K25,K38,K51,K64,K77)=0,"NO",SUM(K12,K25,K38,K51,K64,K77))</f>
        <v>NO</v>
      </c>
      <c r="L11" s="3103" t="str">
        <f t="shared" si="0"/>
        <v>NO</v>
      </c>
      <c r="M11" s="3226" t="str">
        <f t="shared" si="0"/>
        <v>NO</v>
      </c>
    </row>
    <row r="12" spans="1:13" ht="18" customHeight="1" x14ac:dyDescent="0.2">
      <c r="B12" s="104" t="s">
        <v>668</v>
      </c>
      <c r="C12" s="2508"/>
      <c r="D12" s="2108"/>
      <c r="E12" s="2108"/>
      <c r="F12" s="2108"/>
      <c r="G12" s="2108"/>
      <c r="H12" s="2108"/>
      <c r="I12" s="2108"/>
      <c r="J12" s="3103" t="str">
        <f>IF(SUM(J13:J24)=0,"NO",SUM(J13:J24))</f>
        <v>NO</v>
      </c>
      <c r="K12" s="3103" t="str">
        <f>IF(SUM(K13:K24)=0,"NO",SUM(K13:K24))</f>
        <v>NO</v>
      </c>
      <c r="L12" s="3103" t="str">
        <f>IF(SUM(L13:L24)=0,"NO",SUM(L13:L24))</f>
        <v>NO</v>
      </c>
      <c r="M12" s="3226" t="str">
        <f>IF(SUM(M13:M24)=0,"NO",SUM(M13:M24))</f>
        <v>NO</v>
      </c>
    </row>
    <row r="13" spans="1:13" ht="18" customHeight="1" x14ac:dyDescent="0.2">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
      <c r="B14" s="2616" t="s">
        <v>560</v>
      </c>
      <c r="C14" s="2618" t="s">
        <v>560</v>
      </c>
      <c r="D14" s="3227" t="s">
        <v>2146</v>
      </c>
      <c r="E14" s="3227" t="s">
        <v>2146</v>
      </c>
      <c r="F14" s="3227" t="s">
        <v>2146</v>
      </c>
      <c r="G14" s="3103" t="str">
        <f t="shared" ref="G14:G24" si="1">IF(SUM(D14)=0,"NA",J14/D14)</f>
        <v>NA</v>
      </c>
      <c r="H14" s="3103" t="str">
        <f t="shared" ref="H14:H24" si="2">IF(SUM(E14)=0,"NA",K14/E14)</f>
        <v>NA</v>
      </c>
      <c r="I14" s="3103" t="str">
        <f t="shared" ref="I14:I78" si="3">IF(SUM(F14)=0,"NA",(SUM(L14:M14))/F14)</f>
        <v>NA</v>
      </c>
      <c r="J14" s="3227" t="s">
        <v>2146</v>
      </c>
      <c r="K14" s="3227" t="s">
        <v>2146</v>
      </c>
      <c r="L14" s="3227" t="s">
        <v>2146</v>
      </c>
      <c r="M14" s="3497" t="s">
        <v>2146</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t="s">
        <v>2146</v>
      </c>
      <c r="E16" s="3227" t="s">
        <v>2146</v>
      </c>
      <c r="F16" s="3227" t="s">
        <v>2146</v>
      </c>
      <c r="G16" s="3103" t="str">
        <f t="shared" si="1"/>
        <v>NA</v>
      </c>
      <c r="H16" s="3103" t="str">
        <f t="shared" si="2"/>
        <v>NA</v>
      </c>
      <c r="I16" s="3103" t="str">
        <f t="shared" si="3"/>
        <v>NA</v>
      </c>
      <c r="J16" s="3227" t="s">
        <v>2146</v>
      </c>
      <c r="K16" s="3227" t="s">
        <v>2146</v>
      </c>
      <c r="L16" s="3227" t="s">
        <v>2146</v>
      </c>
      <c r="M16" s="3497" t="s">
        <v>2146</v>
      </c>
    </row>
    <row r="17" spans="2:13" ht="18" customHeight="1" x14ac:dyDescent="0.2">
      <c r="B17" s="2616" t="s">
        <v>564</v>
      </c>
      <c r="C17" s="2618" t="s">
        <v>564</v>
      </c>
      <c r="D17" s="3227" t="s">
        <v>2146</v>
      </c>
      <c r="E17" s="3227" t="s">
        <v>2146</v>
      </c>
      <c r="F17" s="3227" t="s">
        <v>2146</v>
      </c>
      <c r="G17" s="3103" t="str">
        <f t="shared" si="1"/>
        <v>NA</v>
      </c>
      <c r="H17" s="3103" t="str">
        <f t="shared" si="2"/>
        <v>NA</v>
      </c>
      <c r="I17" s="3103" t="str">
        <f t="shared" si="3"/>
        <v>NA</v>
      </c>
      <c r="J17" s="3227" t="s">
        <v>2146</v>
      </c>
      <c r="K17" s="3227" t="s">
        <v>2146</v>
      </c>
      <c r="L17" s="3227" t="s">
        <v>2146</v>
      </c>
      <c r="M17" s="3497" t="s">
        <v>2146</v>
      </c>
    </row>
    <row r="18" spans="2:13" ht="18" customHeight="1" x14ac:dyDescent="0.2">
      <c r="B18" s="2616" t="s">
        <v>565</v>
      </c>
      <c r="C18" s="2618" t="s">
        <v>565</v>
      </c>
      <c r="D18" s="3227" t="s">
        <v>2146</v>
      </c>
      <c r="E18" s="3227" t="s">
        <v>2146</v>
      </c>
      <c r="F18" s="3227" t="s">
        <v>2146</v>
      </c>
      <c r="G18" s="3103" t="str">
        <f t="shared" si="1"/>
        <v>NA</v>
      </c>
      <c r="H18" s="3103" t="str">
        <f t="shared" si="2"/>
        <v>NA</v>
      </c>
      <c r="I18" s="3103" t="str">
        <f t="shared" si="3"/>
        <v>NA</v>
      </c>
      <c r="J18" s="3227" t="s">
        <v>2146</v>
      </c>
      <c r="K18" s="3227" t="s">
        <v>2146</v>
      </c>
      <c r="L18" s="3227" t="s">
        <v>2146</v>
      </c>
      <c r="M18" s="3497" t="s">
        <v>2146</v>
      </c>
    </row>
    <row r="19" spans="2:13" ht="18" customHeight="1" x14ac:dyDescent="0.2">
      <c r="B19" s="2616" t="s">
        <v>567</v>
      </c>
      <c r="C19" s="2618" t="s">
        <v>567</v>
      </c>
      <c r="D19" s="3227" t="s">
        <v>2146</v>
      </c>
      <c r="E19" s="3227" t="s">
        <v>2146</v>
      </c>
      <c r="F19" s="3227" t="s">
        <v>2146</v>
      </c>
      <c r="G19" s="3103" t="str">
        <f t="shared" si="1"/>
        <v>NA</v>
      </c>
      <c r="H19" s="3103" t="str">
        <f t="shared" si="2"/>
        <v>NA</v>
      </c>
      <c r="I19" s="3103" t="str">
        <f t="shared" si="3"/>
        <v>NA</v>
      </c>
      <c r="J19" s="3227" t="s">
        <v>2146</v>
      </c>
      <c r="K19" s="3227" t="s">
        <v>2146</v>
      </c>
      <c r="L19" s="3227" t="s">
        <v>2146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t="s">
        <v>2146</v>
      </c>
      <c r="E21" s="3227" t="s">
        <v>2146</v>
      </c>
      <c r="F21" s="3227" t="s">
        <v>2146</v>
      </c>
      <c r="G21" s="3103" t="str">
        <f t="shared" si="1"/>
        <v>NA</v>
      </c>
      <c r="H21" s="3103" t="str">
        <f t="shared" si="2"/>
        <v>NA</v>
      </c>
      <c r="I21" s="3103" t="str">
        <f t="shared" si="3"/>
        <v>NA</v>
      </c>
      <c r="J21" s="3227" t="s">
        <v>2146</v>
      </c>
      <c r="K21" s="3227" t="s">
        <v>2146</v>
      </c>
      <c r="L21" s="3227" t="s">
        <v>2146</v>
      </c>
      <c r="M21" s="3497" t="s">
        <v>2146</v>
      </c>
    </row>
    <row r="22" spans="2:13" ht="18" customHeight="1" x14ac:dyDescent="0.2">
      <c r="B22" s="2616" t="s">
        <v>574</v>
      </c>
      <c r="C22" s="2618" t="s">
        <v>574</v>
      </c>
      <c r="D22" s="3227" t="s">
        <v>2146</v>
      </c>
      <c r="E22" s="3227" t="s">
        <v>2146</v>
      </c>
      <c r="F22" s="3227" t="s">
        <v>2146</v>
      </c>
      <c r="G22" s="3103" t="str">
        <f t="shared" si="1"/>
        <v>NA</v>
      </c>
      <c r="H22" s="3103" t="str">
        <f t="shared" si="2"/>
        <v>NA</v>
      </c>
      <c r="I22" s="3103" t="str">
        <f t="shared" si="3"/>
        <v>NA</v>
      </c>
      <c r="J22" s="3227" t="s">
        <v>2146</v>
      </c>
      <c r="K22" s="3227" t="s">
        <v>2146</v>
      </c>
      <c r="L22" s="3227" t="s">
        <v>2146</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t="str">
        <f>IF(SUM(J26:J37)=0,"NO",SUM(J26:J37))</f>
        <v>NO</v>
      </c>
      <c r="K25" s="3103" t="str">
        <f>IF(SUM(K26:K37)=0,"NO",SUM(K26:K37))</f>
        <v>NO</v>
      </c>
      <c r="L25" s="3103" t="str">
        <f>IF(SUM(L26:L37)=0,"NO",SUM(L26:L37))</f>
        <v>NO</v>
      </c>
      <c r="M25" s="3226" t="str">
        <f>IF(SUM(M26:M37)=0,"NO",SUM(M26:M37))</f>
        <v>NO</v>
      </c>
    </row>
    <row r="26" spans="2:13" ht="18" customHeight="1" x14ac:dyDescent="0.2">
      <c r="B26" s="2616" t="s">
        <v>559</v>
      </c>
      <c r="C26" s="2618" t="s">
        <v>559</v>
      </c>
      <c r="D26" s="3227" t="s">
        <v>2146</v>
      </c>
      <c r="E26" s="3227" t="s">
        <v>2146</v>
      </c>
      <c r="F26" s="3227" t="s">
        <v>2146</v>
      </c>
      <c r="G26" s="3103" t="str">
        <f>IF(SUM(D26)=0,"NA",J26/D26)</f>
        <v>NA</v>
      </c>
      <c r="H26" s="3103" t="str">
        <f>IF(SUM(E26)=0,"NA",K26/E26)</f>
        <v>NA</v>
      </c>
      <c r="I26" s="3103" t="str">
        <f t="shared" si="3"/>
        <v>NA</v>
      </c>
      <c r="J26" s="3227" t="s">
        <v>2146</v>
      </c>
      <c r="K26" s="3227" t="s">
        <v>2146</v>
      </c>
      <c r="L26" s="3227" t="s">
        <v>2146</v>
      </c>
      <c r="M26" s="3497" t="s">
        <v>2146</v>
      </c>
    </row>
    <row r="27" spans="2:13" ht="18" customHeight="1" x14ac:dyDescent="0.2">
      <c r="B27" s="2616" t="s">
        <v>560</v>
      </c>
      <c r="C27" s="2618" t="s">
        <v>560</v>
      </c>
      <c r="D27" s="3227" t="s">
        <v>2146</v>
      </c>
      <c r="E27" s="3227" t="s">
        <v>2146</v>
      </c>
      <c r="F27" s="3227" t="s">
        <v>2146</v>
      </c>
      <c r="G27" s="3103" t="str">
        <f t="shared" ref="G27:G37" si="6">IF(SUM(D27)=0,"NA",J27/D27)</f>
        <v>NA</v>
      </c>
      <c r="H27" s="3103" t="str">
        <f t="shared" ref="H27:H37" si="7">IF(SUM(E27)=0,"NA",K27/E27)</f>
        <v>NA</v>
      </c>
      <c r="I27" s="3103" t="str">
        <f t="shared" si="3"/>
        <v>NA</v>
      </c>
      <c r="J27" s="3227" t="s">
        <v>2146</v>
      </c>
      <c r="K27" s="3227" t="s">
        <v>2146</v>
      </c>
      <c r="L27" s="3227" t="s">
        <v>2146</v>
      </c>
      <c r="M27" s="3497" t="s">
        <v>2146</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t="s">
        <v>2146</v>
      </c>
      <c r="F29" s="3227" t="s">
        <v>2146</v>
      </c>
      <c r="G29" s="3103" t="str">
        <f t="shared" si="6"/>
        <v>NA</v>
      </c>
      <c r="H29" s="3103" t="str">
        <f t="shared" si="7"/>
        <v>NA</v>
      </c>
      <c r="I29" s="3103" t="str">
        <f t="shared" si="3"/>
        <v>NA</v>
      </c>
      <c r="J29" s="3227" t="s">
        <v>2146</v>
      </c>
      <c r="K29" s="3227" t="s">
        <v>2146</v>
      </c>
      <c r="L29" s="3227" t="s">
        <v>2146</v>
      </c>
      <c r="M29" s="3497" t="s">
        <v>2146</v>
      </c>
    </row>
    <row r="30" spans="2:13" ht="18" customHeight="1" x14ac:dyDescent="0.2">
      <c r="B30" s="2616" t="s">
        <v>564</v>
      </c>
      <c r="C30" s="2618" t="s">
        <v>564</v>
      </c>
      <c r="D30" s="3227" t="s">
        <v>2146</v>
      </c>
      <c r="E30" s="3227" t="s">
        <v>2146</v>
      </c>
      <c r="F30" s="3227" t="s">
        <v>2146</v>
      </c>
      <c r="G30" s="3103" t="str">
        <f t="shared" si="6"/>
        <v>NA</v>
      </c>
      <c r="H30" s="3103" t="str">
        <f t="shared" si="7"/>
        <v>NA</v>
      </c>
      <c r="I30" s="3103" t="str">
        <f t="shared" si="3"/>
        <v>NA</v>
      </c>
      <c r="J30" s="3227" t="s">
        <v>2146</v>
      </c>
      <c r="K30" s="3227" t="s">
        <v>2146</v>
      </c>
      <c r="L30" s="3227" t="s">
        <v>2146</v>
      </c>
      <c r="M30" s="3497" t="s">
        <v>2146</v>
      </c>
    </row>
    <row r="31" spans="2:13" ht="18" customHeight="1" x14ac:dyDescent="0.2">
      <c r="B31" s="2616" t="s">
        <v>565</v>
      </c>
      <c r="C31" s="2618" t="s">
        <v>565</v>
      </c>
      <c r="D31" s="3227" t="s">
        <v>2146</v>
      </c>
      <c r="E31" s="3227" t="s">
        <v>2146</v>
      </c>
      <c r="F31" s="3227" t="s">
        <v>2146</v>
      </c>
      <c r="G31" s="3103" t="str">
        <f t="shared" si="6"/>
        <v>NA</v>
      </c>
      <c r="H31" s="3103" t="str">
        <f t="shared" si="7"/>
        <v>NA</v>
      </c>
      <c r="I31" s="3103" t="str">
        <f t="shared" si="3"/>
        <v>NA</v>
      </c>
      <c r="J31" s="3227" t="s">
        <v>2146</v>
      </c>
      <c r="K31" s="3227" t="s">
        <v>2146</v>
      </c>
      <c r="L31" s="3227" t="s">
        <v>2146</v>
      </c>
      <c r="M31" s="3497" t="s">
        <v>2146</v>
      </c>
    </row>
    <row r="32" spans="2:13" ht="18" customHeight="1" x14ac:dyDescent="0.2">
      <c r="B32" s="2616" t="s">
        <v>567</v>
      </c>
      <c r="C32" s="2618" t="s">
        <v>567</v>
      </c>
      <c r="D32" s="3227" t="s">
        <v>2146</v>
      </c>
      <c r="E32" s="3227" t="s">
        <v>2146</v>
      </c>
      <c r="F32" s="3227" t="s">
        <v>2146</v>
      </c>
      <c r="G32" s="3103" t="str">
        <f t="shared" si="6"/>
        <v>NA</v>
      </c>
      <c r="H32" s="3103" t="str">
        <f t="shared" si="7"/>
        <v>NA</v>
      </c>
      <c r="I32" s="3103" t="str">
        <f t="shared" si="3"/>
        <v>NA</v>
      </c>
      <c r="J32" s="3227" t="s">
        <v>2146</v>
      </c>
      <c r="K32" s="3227" t="s">
        <v>2146</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t="s">
        <v>2146</v>
      </c>
      <c r="E34" s="3227" t="s">
        <v>2146</v>
      </c>
      <c r="F34" s="3227" t="s">
        <v>2146</v>
      </c>
      <c r="G34" s="3103" t="str">
        <f t="shared" si="6"/>
        <v>NA</v>
      </c>
      <c r="H34" s="3103" t="str">
        <f t="shared" si="7"/>
        <v>NA</v>
      </c>
      <c r="I34" s="3103" t="str">
        <f t="shared" si="3"/>
        <v>NA</v>
      </c>
      <c r="J34" s="3227" t="s">
        <v>2146</v>
      </c>
      <c r="K34" s="3227" t="s">
        <v>2146</v>
      </c>
      <c r="L34" s="3227" t="s">
        <v>2146</v>
      </c>
      <c r="M34" s="3497" t="s">
        <v>2146</v>
      </c>
    </row>
    <row r="35" spans="2:13" ht="18" customHeight="1" x14ac:dyDescent="0.2">
      <c r="B35" s="2616" t="s">
        <v>574</v>
      </c>
      <c r="C35" s="2618" t="s">
        <v>574</v>
      </c>
      <c r="D35" s="3227" t="s">
        <v>2146</v>
      </c>
      <c r="E35" s="3227" t="s">
        <v>2146</v>
      </c>
      <c r="F35" s="3227" t="s">
        <v>2146</v>
      </c>
      <c r="G35" s="3103" t="str">
        <f t="shared" si="6"/>
        <v>NA</v>
      </c>
      <c r="H35" s="3103" t="str">
        <f t="shared" si="7"/>
        <v>NA</v>
      </c>
      <c r="I35" s="3103" t="str">
        <f t="shared" si="3"/>
        <v>NA</v>
      </c>
      <c r="J35" s="3227" t="s">
        <v>2146</v>
      </c>
      <c r="K35" s="3227" t="s">
        <v>2146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
      <c r="B40" s="2616" t="s">
        <v>560</v>
      </c>
      <c r="C40" s="2618" t="s">
        <v>560</v>
      </c>
      <c r="D40" s="3227" t="str">
        <f t="shared" ref="D40:F50" si="11">IF(D14="NO","NO","IE")</f>
        <v>NO</v>
      </c>
      <c r="E40" s="3227" t="str">
        <f t="shared" si="11"/>
        <v>NO</v>
      </c>
      <c r="F40" s="3227" t="str">
        <f t="shared" si="11"/>
        <v>NO</v>
      </c>
      <c r="G40" s="3103" t="str">
        <f t="shared" ref="G40:G50" si="12">IF(SUM(D40)=0,"NA",J40/D40)</f>
        <v>NA</v>
      </c>
      <c r="H40" s="3103" t="str">
        <f t="shared" ref="H40:H50" si="13">IF(SUM(E40)=0,"NA",K40/E40)</f>
        <v>NA</v>
      </c>
      <c r="I40" s="3103" t="str">
        <f t="shared" si="3"/>
        <v>NA</v>
      </c>
      <c r="J40" s="3227" t="str">
        <f t="shared" ref="J40:L40" si="14">IF(J14="NO","NO","IE")</f>
        <v>NO</v>
      </c>
      <c r="K40" s="3227" t="str">
        <f t="shared" si="14"/>
        <v>NO</v>
      </c>
      <c r="L40" s="3227" t="str">
        <f t="shared" si="14"/>
        <v>NO</v>
      </c>
      <c r="M40" s="3497" t="str">
        <f t="shared" ref="M40" si="15">IF(M14="NO","NO","IE")</f>
        <v>NO</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NO</v>
      </c>
      <c r="E42" s="3227" t="str">
        <f t="shared" si="11"/>
        <v>NO</v>
      </c>
      <c r="F42" s="3227" t="str">
        <f t="shared" si="11"/>
        <v>NO</v>
      </c>
      <c r="G42" s="3103" t="str">
        <f t="shared" si="12"/>
        <v>NA</v>
      </c>
      <c r="H42" s="3103" t="str">
        <f t="shared" si="13"/>
        <v>NA</v>
      </c>
      <c r="I42" s="3103" t="str">
        <f t="shared" si="3"/>
        <v>NA</v>
      </c>
      <c r="J42" s="3227" t="str">
        <f t="shared" ref="J42:L42" si="18">IF(J16="NO","NO","IE")</f>
        <v>NO</v>
      </c>
      <c r="K42" s="3227" t="str">
        <f t="shared" si="18"/>
        <v>NO</v>
      </c>
      <c r="L42" s="3227" t="str">
        <f t="shared" si="18"/>
        <v>NO</v>
      </c>
      <c r="M42" s="3497" t="str">
        <f t="shared" ref="M42" si="19">IF(M16="NO","NO","IE")</f>
        <v>NO</v>
      </c>
    </row>
    <row r="43" spans="2:13" ht="18" customHeight="1" x14ac:dyDescent="0.2">
      <c r="B43" s="2616" t="s">
        <v>564</v>
      </c>
      <c r="C43" s="2618" t="s">
        <v>564</v>
      </c>
      <c r="D43" s="3227" t="str">
        <f t="shared" si="11"/>
        <v>NO</v>
      </c>
      <c r="E43" s="3227" t="str">
        <f t="shared" si="11"/>
        <v>NO</v>
      </c>
      <c r="F43" s="3227" t="str">
        <f t="shared" si="11"/>
        <v>NO</v>
      </c>
      <c r="G43" s="3103" t="str">
        <f t="shared" si="12"/>
        <v>NA</v>
      </c>
      <c r="H43" s="3103" t="str">
        <f t="shared" si="13"/>
        <v>NA</v>
      </c>
      <c r="I43" s="3103" t="str">
        <f t="shared" si="3"/>
        <v>NA</v>
      </c>
      <c r="J43" s="3227" t="str">
        <f t="shared" ref="J43:L43" si="20">IF(J17="NO","NO","IE")</f>
        <v>NO</v>
      </c>
      <c r="K43" s="3227" t="str">
        <f t="shared" si="20"/>
        <v>NO</v>
      </c>
      <c r="L43" s="3227" t="str">
        <f t="shared" si="20"/>
        <v>NO</v>
      </c>
      <c r="M43" s="3497" t="str">
        <f t="shared" ref="M43" si="21">IF(M17="NO","NO","IE")</f>
        <v>NO</v>
      </c>
    </row>
    <row r="44" spans="2:13" ht="18" customHeight="1" x14ac:dyDescent="0.2">
      <c r="B44" s="2616" t="s">
        <v>565</v>
      </c>
      <c r="C44" s="2618" t="s">
        <v>565</v>
      </c>
      <c r="D44" s="3227" t="str">
        <f t="shared" si="11"/>
        <v>NO</v>
      </c>
      <c r="E44" s="3227" t="str">
        <f t="shared" si="11"/>
        <v>NO</v>
      </c>
      <c r="F44" s="3227" t="str">
        <f t="shared" si="11"/>
        <v>NO</v>
      </c>
      <c r="G44" s="3103" t="str">
        <f t="shared" si="12"/>
        <v>NA</v>
      </c>
      <c r="H44" s="3103" t="str">
        <f t="shared" si="13"/>
        <v>NA</v>
      </c>
      <c r="I44" s="3103" t="str">
        <f t="shared" si="3"/>
        <v>NA</v>
      </c>
      <c r="J44" s="3227" t="str">
        <f t="shared" ref="J44:L44" si="22">IF(J18="NO","NO","IE")</f>
        <v>NO</v>
      </c>
      <c r="K44" s="3227" t="str">
        <f t="shared" si="22"/>
        <v>NO</v>
      </c>
      <c r="L44" s="3227" t="str">
        <f t="shared" si="22"/>
        <v>NO</v>
      </c>
      <c r="M44" s="3497" t="str">
        <f t="shared" ref="M44" si="23">IF(M18="NO","NO","IE")</f>
        <v>NO</v>
      </c>
    </row>
    <row r="45" spans="2:13" ht="18" customHeight="1" x14ac:dyDescent="0.2">
      <c r="B45" s="2616" t="s">
        <v>567</v>
      </c>
      <c r="C45" s="2618" t="s">
        <v>567</v>
      </c>
      <c r="D45" s="3227" t="str">
        <f t="shared" si="11"/>
        <v>NO</v>
      </c>
      <c r="E45" s="3227" t="str">
        <f t="shared" si="11"/>
        <v>NO</v>
      </c>
      <c r="F45" s="3227" t="str">
        <f t="shared" si="11"/>
        <v>NO</v>
      </c>
      <c r="G45" s="3103" t="str">
        <f t="shared" si="12"/>
        <v>NA</v>
      </c>
      <c r="H45" s="3103" t="str">
        <f t="shared" si="13"/>
        <v>NA</v>
      </c>
      <c r="I45" s="3103" t="str">
        <f t="shared" si="3"/>
        <v>NA</v>
      </c>
      <c r="J45" s="3227" t="str">
        <f t="shared" ref="J45:L45" si="24">IF(J19="NO","NO","IE")</f>
        <v>NO</v>
      </c>
      <c r="K45" s="3227" t="str">
        <f t="shared" si="24"/>
        <v>NO</v>
      </c>
      <c r="L45" s="3227" t="str">
        <f t="shared" si="24"/>
        <v>NO</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NO</v>
      </c>
      <c r="E47" s="3227" t="str">
        <f t="shared" si="11"/>
        <v>NO</v>
      </c>
      <c r="F47" s="3227" t="str">
        <f t="shared" si="11"/>
        <v>NO</v>
      </c>
      <c r="G47" s="3103" t="str">
        <f t="shared" si="12"/>
        <v>NA</v>
      </c>
      <c r="H47" s="3103" t="str">
        <f t="shared" si="13"/>
        <v>NA</v>
      </c>
      <c r="I47" s="3103" t="str">
        <f t="shared" si="3"/>
        <v>NA</v>
      </c>
      <c r="J47" s="3227" t="str">
        <f t="shared" ref="J47:L47" si="28">IF(J21="NO","NO","IE")</f>
        <v>NO</v>
      </c>
      <c r="K47" s="3227" t="str">
        <f t="shared" si="28"/>
        <v>NO</v>
      </c>
      <c r="L47" s="3227" t="str">
        <f t="shared" si="28"/>
        <v>NO</v>
      </c>
      <c r="M47" s="3497" t="str">
        <f t="shared" ref="M47" si="29">IF(M21="NO","NO","IE")</f>
        <v>NO</v>
      </c>
    </row>
    <row r="48" spans="2:13" ht="18" customHeight="1" x14ac:dyDescent="0.2">
      <c r="B48" s="2616" t="s">
        <v>574</v>
      </c>
      <c r="C48" s="2618" t="s">
        <v>574</v>
      </c>
      <c r="D48" s="3227" t="str">
        <f t="shared" si="11"/>
        <v>NO</v>
      </c>
      <c r="E48" s="3227" t="str">
        <f t="shared" si="11"/>
        <v>NO</v>
      </c>
      <c r="F48" s="3227" t="str">
        <f t="shared" si="11"/>
        <v>NO</v>
      </c>
      <c r="G48" s="3103" t="str">
        <f t="shared" si="12"/>
        <v>NA</v>
      </c>
      <c r="H48" s="3103" t="str">
        <f t="shared" si="13"/>
        <v>NA</v>
      </c>
      <c r="I48" s="3103" t="str">
        <f t="shared" si="3"/>
        <v>NA</v>
      </c>
      <c r="J48" s="3227" t="str">
        <f t="shared" ref="J48:L48" si="30">IF(J22="NO","NO","IE")</f>
        <v>NO</v>
      </c>
      <c r="K48" s="3227" t="str">
        <f t="shared" si="30"/>
        <v>NO</v>
      </c>
      <c r="L48" s="3227" t="str">
        <f t="shared" si="30"/>
        <v>NO</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t="str">
        <f>IF(SUM(J52:J63)=0,"NO",SUM(J52:J63))</f>
        <v>NO</v>
      </c>
      <c r="K51" s="3103" t="str">
        <f>IF(SUM(K52:K63)=0,"NO",SUM(K52:K63))</f>
        <v>NO</v>
      </c>
      <c r="L51" s="3103" t="str">
        <f>IF(SUM(L52:L63)=0,"NO",SUM(L52:L63))</f>
        <v>NO</v>
      </c>
      <c r="M51" s="3226" t="str">
        <f>IF(SUM(M52:M63)=0,"NO",SUM(M52:M63))</f>
        <v>NO</v>
      </c>
    </row>
    <row r="52" spans="2:13" ht="18" customHeight="1" x14ac:dyDescent="0.2">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
      <c r="B53" s="2616" t="s">
        <v>560</v>
      </c>
      <c r="C53" s="2618" t="s">
        <v>560</v>
      </c>
      <c r="D53" s="3227" t="s">
        <v>2146</v>
      </c>
      <c r="E53" s="3227" t="s">
        <v>2146</v>
      </c>
      <c r="F53" s="3227" t="s">
        <v>2146</v>
      </c>
      <c r="G53" s="3103" t="str">
        <f t="shared" ref="G53:G63" si="36">IF(SUM(D53)=0,"NA",J53/D53)</f>
        <v>NA</v>
      </c>
      <c r="H53" s="3103" t="str">
        <f t="shared" ref="H53:H63" si="37">IF(SUM(E53)=0,"NA",K53/E53)</f>
        <v>NA</v>
      </c>
      <c r="I53" s="3103" t="str">
        <f t="shared" si="3"/>
        <v>NA</v>
      </c>
      <c r="J53" s="3227" t="s">
        <v>2146</v>
      </c>
      <c r="K53" s="3227" t="s">
        <v>2146</v>
      </c>
      <c r="L53" s="3227" t="s">
        <v>2146</v>
      </c>
      <c r="M53" s="3497" t="s">
        <v>2146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t="s">
        <v>2146</v>
      </c>
      <c r="E55" s="3227" t="s">
        <v>2146</v>
      </c>
      <c r="F55" s="3227" t="s">
        <v>2146</v>
      </c>
      <c r="G55" s="3103" t="str">
        <f t="shared" si="36"/>
        <v>NA</v>
      </c>
      <c r="H55" s="3103" t="str">
        <f t="shared" si="37"/>
        <v>NA</v>
      </c>
      <c r="I55" s="3103" t="str">
        <f t="shared" si="3"/>
        <v>NA</v>
      </c>
      <c r="J55" s="3227" t="s">
        <v>2146</v>
      </c>
      <c r="K55" s="3227" t="s">
        <v>2146</v>
      </c>
      <c r="L55" s="3227" t="s">
        <v>2146</v>
      </c>
      <c r="M55" s="3497" t="s">
        <v>2146</v>
      </c>
    </row>
    <row r="56" spans="2:13" ht="18" customHeight="1" x14ac:dyDescent="0.2">
      <c r="B56" s="2616" t="s">
        <v>564</v>
      </c>
      <c r="C56" s="2618" t="s">
        <v>564</v>
      </c>
      <c r="D56" s="3227" t="s">
        <v>2146</v>
      </c>
      <c r="E56" s="3227" t="s">
        <v>2146</v>
      </c>
      <c r="F56" s="3227" t="s">
        <v>2146</v>
      </c>
      <c r="G56" s="3103" t="str">
        <f t="shared" si="36"/>
        <v>NA</v>
      </c>
      <c r="H56" s="3103" t="str">
        <f t="shared" si="37"/>
        <v>NA</v>
      </c>
      <c r="I56" s="3103" t="str">
        <f t="shared" si="3"/>
        <v>NA</v>
      </c>
      <c r="J56" s="3227" t="s">
        <v>2146</v>
      </c>
      <c r="K56" s="3227" t="s">
        <v>2146</v>
      </c>
      <c r="L56" s="3227" t="s">
        <v>2146</v>
      </c>
      <c r="M56" s="3497" t="s">
        <v>2146</v>
      </c>
    </row>
    <row r="57" spans="2:13" ht="18" customHeight="1" x14ac:dyDescent="0.2">
      <c r="B57" s="2616" t="s">
        <v>565</v>
      </c>
      <c r="C57" s="2618" t="s">
        <v>565</v>
      </c>
      <c r="D57" s="3227" t="s">
        <v>2146</v>
      </c>
      <c r="E57" s="3227" t="s">
        <v>2146</v>
      </c>
      <c r="F57" s="3227" t="s">
        <v>2146</v>
      </c>
      <c r="G57" s="3103" t="str">
        <f t="shared" si="36"/>
        <v>NA</v>
      </c>
      <c r="H57" s="3103" t="str">
        <f t="shared" si="37"/>
        <v>NA</v>
      </c>
      <c r="I57" s="3103" t="str">
        <f t="shared" si="3"/>
        <v>NA</v>
      </c>
      <c r="J57" s="3227" t="s">
        <v>2146</v>
      </c>
      <c r="K57" s="3227" t="s">
        <v>2146</v>
      </c>
      <c r="L57" s="3227" t="s">
        <v>2146</v>
      </c>
      <c r="M57" s="3497" t="s">
        <v>2146</v>
      </c>
    </row>
    <row r="58" spans="2:13" ht="18" customHeight="1" x14ac:dyDescent="0.2">
      <c r="B58" s="2616" t="s">
        <v>567</v>
      </c>
      <c r="C58" s="2618" t="s">
        <v>567</v>
      </c>
      <c r="D58" s="3227" t="s">
        <v>2146</v>
      </c>
      <c r="E58" s="3227" t="s">
        <v>2146</v>
      </c>
      <c r="F58" s="3227" t="s">
        <v>2146</v>
      </c>
      <c r="G58" s="3103" t="str">
        <f t="shared" si="36"/>
        <v>NA</v>
      </c>
      <c r="H58" s="3103" t="str">
        <f t="shared" si="37"/>
        <v>NA</v>
      </c>
      <c r="I58" s="3103" t="str">
        <f t="shared" si="3"/>
        <v>NA</v>
      </c>
      <c r="J58" s="3227" t="s">
        <v>2146</v>
      </c>
      <c r="K58" s="3227" t="s">
        <v>2146</v>
      </c>
      <c r="L58" s="3227" t="s">
        <v>2146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t="s">
        <v>2146</v>
      </c>
      <c r="E60" s="3227" t="s">
        <v>2146</v>
      </c>
      <c r="F60" s="3227" t="s">
        <v>2146</v>
      </c>
      <c r="G60" s="3103" t="str">
        <f t="shared" si="36"/>
        <v>NA</v>
      </c>
      <c r="H60" s="3103" t="str">
        <f t="shared" si="37"/>
        <v>NA</v>
      </c>
      <c r="I60" s="3103" t="str">
        <f t="shared" si="3"/>
        <v>NA</v>
      </c>
      <c r="J60" s="3227" t="s">
        <v>2146</v>
      </c>
      <c r="K60" s="3227" t="s">
        <v>2146</v>
      </c>
      <c r="L60" s="3227" t="s">
        <v>2146</v>
      </c>
      <c r="M60" s="3497" t="s">
        <v>2146</v>
      </c>
    </row>
    <row r="61" spans="2:13" ht="18" customHeight="1" x14ac:dyDescent="0.2">
      <c r="B61" s="2616" t="s">
        <v>574</v>
      </c>
      <c r="C61" s="2618" t="s">
        <v>574</v>
      </c>
      <c r="D61" s="3227" t="s">
        <v>2146</v>
      </c>
      <c r="E61" s="3227" t="s">
        <v>2146</v>
      </c>
      <c r="F61" s="3227" t="s">
        <v>2146</v>
      </c>
      <c r="G61" s="3103" t="str">
        <f t="shared" si="36"/>
        <v>NA</v>
      </c>
      <c r="H61" s="3103" t="str">
        <f t="shared" si="37"/>
        <v>NA</v>
      </c>
      <c r="I61" s="3103" t="str">
        <f t="shared" si="3"/>
        <v>NA</v>
      </c>
      <c r="J61" s="3227" t="s">
        <v>2146</v>
      </c>
      <c r="K61" s="3227" t="s">
        <v>2146</v>
      </c>
      <c r="L61" s="3227" t="s">
        <v>2146</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t="str">
        <f>IF(SUM(J65:J76)=0,"NO",SUM(J65:J76))</f>
        <v>NO</v>
      </c>
      <c r="K64" s="3103" t="str">
        <f>IF(SUM(K65:K76)=0,"NO",SUM(K65:K76))</f>
        <v>NO</v>
      </c>
      <c r="L64" s="3103" t="str">
        <f>IF(SUM(L65:L76)=0,"NO",SUM(L65:L76))</f>
        <v>NO</v>
      </c>
      <c r="M64" s="3226" t="str">
        <f>IF(SUM(M65:M76)=0,"NO",SUM(M65:M76))</f>
        <v>NO</v>
      </c>
    </row>
    <row r="65" spans="2:13" ht="18" customHeight="1" x14ac:dyDescent="0.2">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
      <c r="B66" s="2616" t="s">
        <v>560</v>
      </c>
      <c r="C66" s="2618" t="s">
        <v>560</v>
      </c>
      <c r="D66" s="3227" t="s">
        <v>2146</v>
      </c>
      <c r="E66" s="3227" t="s">
        <v>2146</v>
      </c>
      <c r="F66" s="3227" t="s">
        <v>2146</v>
      </c>
      <c r="G66" s="3103" t="str">
        <f t="shared" ref="G66:G76" si="38">IF(SUM(D66)=0,"NA",J66/D66)</f>
        <v>NA</v>
      </c>
      <c r="H66" s="3103" t="str">
        <f t="shared" ref="H66:H76" si="39">IF(SUM(E66)=0,"NA",K66/E66)</f>
        <v>NA</v>
      </c>
      <c r="I66" s="3103" t="str">
        <f t="shared" si="3"/>
        <v>NA</v>
      </c>
      <c r="J66" s="3227" t="s">
        <v>2146</v>
      </c>
      <c r="K66" s="3227" t="s">
        <v>2146</v>
      </c>
      <c r="L66" s="3227" t="s">
        <v>2146</v>
      </c>
      <c r="M66" s="3497" t="s">
        <v>2146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t="s">
        <v>2146</v>
      </c>
      <c r="E68" s="3227" t="s">
        <v>2146</v>
      </c>
      <c r="F68" s="3227" t="s">
        <v>2146</v>
      </c>
      <c r="G68" s="3103" t="str">
        <f t="shared" si="38"/>
        <v>NA</v>
      </c>
      <c r="H68" s="3103" t="str">
        <f t="shared" si="39"/>
        <v>NA</v>
      </c>
      <c r="I68" s="3103" t="str">
        <f t="shared" si="3"/>
        <v>NA</v>
      </c>
      <c r="J68" s="3227" t="s">
        <v>2146</v>
      </c>
      <c r="K68" s="3227" t="s">
        <v>2146</v>
      </c>
      <c r="L68" s="3227" t="s">
        <v>2146</v>
      </c>
      <c r="M68" s="3497" t="s">
        <v>2146</v>
      </c>
    </row>
    <row r="69" spans="2:13" ht="18" customHeight="1" x14ac:dyDescent="0.2">
      <c r="B69" s="2616" t="s">
        <v>564</v>
      </c>
      <c r="C69" s="2618" t="s">
        <v>564</v>
      </c>
      <c r="D69" s="3227" t="s">
        <v>2146</v>
      </c>
      <c r="E69" s="3227" t="s">
        <v>2146</v>
      </c>
      <c r="F69" s="3227" t="s">
        <v>2146</v>
      </c>
      <c r="G69" s="3103" t="str">
        <f t="shared" si="38"/>
        <v>NA</v>
      </c>
      <c r="H69" s="3103" t="str">
        <f t="shared" si="39"/>
        <v>NA</v>
      </c>
      <c r="I69" s="3103" t="str">
        <f t="shared" si="3"/>
        <v>NA</v>
      </c>
      <c r="J69" s="3227" t="s">
        <v>2146</v>
      </c>
      <c r="K69" s="3227" t="s">
        <v>2146</v>
      </c>
      <c r="L69" s="3227" t="s">
        <v>2146</v>
      </c>
      <c r="M69" s="3497" t="s">
        <v>2146</v>
      </c>
    </row>
    <row r="70" spans="2:13" ht="18" customHeight="1" x14ac:dyDescent="0.2">
      <c r="B70" s="2616" t="s">
        <v>565</v>
      </c>
      <c r="C70" s="2618" t="s">
        <v>565</v>
      </c>
      <c r="D70" s="3227" t="s">
        <v>2146</v>
      </c>
      <c r="E70" s="3227" t="s">
        <v>2146</v>
      </c>
      <c r="F70" s="3227" t="s">
        <v>2146</v>
      </c>
      <c r="G70" s="3103" t="str">
        <f t="shared" si="38"/>
        <v>NA</v>
      </c>
      <c r="H70" s="3103" t="str">
        <f t="shared" si="39"/>
        <v>NA</v>
      </c>
      <c r="I70" s="3103" t="str">
        <f t="shared" si="3"/>
        <v>NA</v>
      </c>
      <c r="J70" s="3227" t="s">
        <v>2146</v>
      </c>
      <c r="K70" s="3227" t="s">
        <v>2146</v>
      </c>
      <c r="L70" s="3227" t="s">
        <v>2146</v>
      </c>
      <c r="M70" s="3497" t="s">
        <v>2146</v>
      </c>
    </row>
    <row r="71" spans="2:13" ht="18" customHeight="1" x14ac:dyDescent="0.2">
      <c r="B71" s="2616" t="s">
        <v>567</v>
      </c>
      <c r="C71" s="2618" t="s">
        <v>567</v>
      </c>
      <c r="D71" s="3227" t="s">
        <v>2146</v>
      </c>
      <c r="E71" s="3227" t="s">
        <v>2146</v>
      </c>
      <c r="F71" s="3227" t="s">
        <v>2146</v>
      </c>
      <c r="G71" s="3103" t="str">
        <f t="shared" si="38"/>
        <v>NA</v>
      </c>
      <c r="H71" s="3103" t="str">
        <f t="shared" si="39"/>
        <v>NA</v>
      </c>
      <c r="I71" s="3103" t="str">
        <f t="shared" si="3"/>
        <v>NA</v>
      </c>
      <c r="J71" s="3227" t="s">
        <v>2146</v>
      </c>
      <c r="K71" s="3227" t="s">
        <v>2146</v>
      </c>
      <c r="L71" s="3227" t="s">
        <v>2146</v>
      </c>
      <c r="M71" s="3497" t="s">
        <v>2146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t="s">
        <v>2146</v>
      </c>
      <c r="E73" s="3227" t="s">
        <v>2146</v>
      </c>
      <c r="F73" s="3227" t="s">
        <v>2146</v>
      </c>
      <c r="G73" s="3103" t="str">
        <f t="shared" si="38"/>
        <v>NA</v>
      </c>
      <c r="H73" s="3103" t="str">
        <f t="shared" si="39"/>
        <v>NA</v>
      </c>
      <c r="I73" s="3103" t="str">
        <f t="shared" si="3"/>
        <v>NA</v>
      </c>
      <c r="J73" s="3227" t="s">
        <v>2146</v>
      </c>
      <c r="K73" s="3227" t="s">
        <v>2146</v>
      </c>
      <c r="L73" s="3227" t="s">
        <v>2146</v>
      </c>
      <c r="M73" s="3497" t="s">
        <v>2146</v>
      </c>
    </row>
    <row r="74" spans="2:13" ht="18" customHeight="1" x14ac:dyDescent="0.2">
      <c r="B74" s="2616" t="s">
        <v>574</v>
      </c>
      <c r="C74" s="2618" t="s">
        <v>574</v>
      </c>
      <c r="D74" s="3227" t="s">
        <v>2146</v>
      </c>
      <c r="E74" s="3227" t="s">
        <v>2146</v>
      </c>
      <c r="F74" s="3227" t="s">
        <v>2146</v>
      </c>
      <c r="G74" s="3103" t="str">
        <f t="shared" si="38"/>
        <v>NA</v>
      </c>
      <c r="H74" s="3103" t="str">
        <f t="shared" si="39"/>
        <v>NA</v>
      </c>
      <c r="I74" s="3103" t="str">
        <f t="shared" si="3"/>
        <v>NA</v>
      </c>
      <c r="J74" s="3227" t="s">
        <v>2146</v>
      </c>
      <c r="K74" s="3227" t="s">
        <v>2146</v>
      </c>
      <c r="L74" s="3227" t="s">
        <v>2146</v>
      </c>
      <c r="M74" s="3497" t="s">
        <v>2146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t="str">
        <f>IF(SUM(J78:J89)=0,"NO",SUM(J78:J89))</f>
        <v>NO</v>
      </c>
      <c r="K77" s="3103" t="str">
        <f>IF(SUM(K78:K89)=0,"NO",SUM(K78:K89))</f>
        <v>NO</v>
      </c>
      <c r="L77" s="3103" t="str">
        <f>IF(SUM(L78:L89)=0,"NO",SUM(L78:L89))</f>
        <v>NO</v>
      </c>
      <c r="M77" s="3226" t="str">
        <f>IF(SUM(M78:M89)=0,"NO",SUM(M78:M89))</f>
        <v>NO</v>
      </c>
    </row>
    <row r="78" spans="2:13" ht="18" customHeight="1" x14ac:dyDescent="0.2">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
      <c r="B79" s="2616" t="s">
        <v>560</v>
      </c>
      <c r="C79" s="2618" t="s">
        <v>560</v>
      </c>
      <c r="D79" s="3227" t="s">
        <v>2146</v>
      </c>
      <c r="E79" s="3227" t="s">
        <v>2146</v>
      </c>
      <c r="F79" s="3227" t="s">
        <v>2146</v>
      </c>
      <c r="G79" s="3103" t="str">
        <f t="shared" ref="G79:G89" si="40">IF(SUM(D79)=0,"NA",J79/D79)</f>
        <v>NA</v>
      </c>
      <c r="H79" s="3103" t="str">
        <f t="shared" ref="H79:H89" si="41">IF(SUM(E79)=0,"NA",K79/E79)</f>
        <v>NA</v>
      </c>
      <c r="I79" s="3103" t="str">
        <f t="shared" ref="I79:I89" si="42">IF(SUM(F79)=0,"NA",(SUM(L79:M79))/F79)</f>
        <v>NA</v>
      </c>
      <c r="J79" s="3227" t="s">
        <v>2146</v>
      </c>
      <c r="K79" s="3227" t="s">
        <v>2146</v>
      </c>
      <c r="L79" s="3227" t="s">
        <v>2146</v>
      </c>
      <c r="M79" s="3497" t="s">
        <v>2146</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t="s">
        <v>2146</v>
      </c>
      <c r="E81" s="3227" t="s">
        <v>2146</v>
      </c>
      <c r="F81" s="3227" t="s">
        <v>2146</v>
      </c>
      <c r="G81" s="3103" t="str">
        <f t="shared" si="40"/>
        <v>NA</v>
      </c>
      <c r="H81" s="3103" t="str">
        <f t="shared" si="41"/>
        <v>NA</v>
      </c>
      <c r="I81" s="3103" t="str">
        <f t="shared" si="42"/>
        <v>NA</v>
      </c>
      <c r="J81" s="3227" t="s">
        <v>2146</v>
      </c>
      <c r="K81" s="3227" t="s">
        <v>2146</v>
      </c>
      <c r="L81" s="3227" t="s">
        <v>2146</v>
      </c>
      <c r="M81" s="3497" t="s">
        <v>2146</v>
      </c>
    </row>
    <row r="82" spans="2:13" ht="18" customHeight="1" x14ac:dyDescent="0.2">
      <c r="B82" s="2616" t="s">
        <v>564</v>
      </c>
      <c r="C82" s="2618" t="s">
        <v>564</v>
      </c>
      <c r="D82" s="3227" t="s">
        <v>2146</v>
      </c>
      <c r="E82" s="3227" t="s">
        <v>2146</v>
      </c>
      <c r="F82" s="3227" t="s">
        <v>2146</v>
      </c>
      <c r="G82" s="3103" t="str">
        <f t="shared" si="40"/>
        <v>NA</v>
      </c>
      <c r="H82" s="3103" t="str">
        <f t="shared" si="41"/>
        <v>NA</v>
      </c>
      <c r="I82" s="3103" t="str">
        <f t="shared" si="42"/>
        <v>NA</v>
      </c>
      <c r="J82" s="3227" t="s">
        <v>2146</v>
      </c>
      <c r="K82" s="3227" t="s">
        <v>2146</v>
      </c>
      <c r="L82" s="3227" t="s">
        <v>2146</v>
      </c>
      <c r="M82" s="3497" t="s">
        <v>2146</v>
      </c>
    </row>
    <row r="83" spans="2:13" ht="18" customHeight="1" x14ac:dyDescent="0.2">
      <c r="B83" s="2616" t="s">
        <v>565</v>
      </c>
      <c r="C83" s="2618" t="s">
        <v>565</v>
      </c>
      <c r="D83" s="3227" t="s">
        <v>2146</v>
      </c>
      <c r="E83" s="3227" t="s">
        <v>2146</v>
      </c>
      <c r="F83" s="3227" t="s">
        <v>2146</v>
      </c>
      <c r="G83" s="3103" t="str">
        <f t="shared" si="40"/>
        <v>NA</v>
      </c>
      <c r="H83" s="3103" t="str">
        <f t="shared" si="41"/>
        <v>NA</v>
      </c>
      <c r="I83" s="3103" t="str">
        <f t="shared" si="42"/>
        <v>NA</v>
      </c>
      <c r="J83" s="3227" t="s">
        <v>2146</v>
      </c>
      <c r="K83" s="3227" t="s">
        <v>2146</v>
      </c>
      <c r="L83" s="3227" t="s">
        <v>2146</v>
      </c>
      <c r="M83" s="3497" t="s">
        <v>2146</v>
      </c>
    </row>
    <row r="84" spans="2:13" ht="18" customHeight="1" x14ac:dyDescent="0.2">
      <c r="B84" s="2616" t="s">
        <v>567</v>
      </c>
      <c r="C84" s="2618" t="s">
        <v>567</v>
      </c>
      <c r="D84" s="3227" t="s">
        <v>2146</v>
      </c>
      <c r="E84" s="3227" t="s">
        <v>2146</v>
      </c>
      <c r="F84" s="3227" t="s">
        <v>2146</v>
      </c>
      <c r="G84" s="3103" t="str">
        <f t="shared" si="40"/>
        <v>NA</v>
      </c>
      <c r="H84" s="3103" t="str">
        <f t="shared" si="41"/>
        <v>NA</v>
      </c>
      <c r="I84" s="3103" t="str">
        <f t="shared" si="42"/>
        <v>NA</v>
      </c>
      <c r="J84" s="3227" t="s">
        <v>2146</v>
      </c>
      <c r="K84" s="3227" t="s">
        <v>2146</v>
      </c>
      <c r="L84" s="3227" t="s">
        <v>2146</v>
      </c>
      <c r="M84" s="3497" t="s">
        <v>2146</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t="s">
        <v>2146</v>
      </c>
      <c r="E86" s="3227" t="s">
        <v>2146</v>
      </c>
      <c r="F86" s="3227" t="s">
        <v>2146</v>
      </c>
      <c r="G86" s="3103" t="str">
        <f t="shared" si="40"/>
        <v>NA</v>
      </c>
      <c r="H86" s="3103" t="str">
        <f t="shared" si="41"/>
        <v>NA</v>
      </c>
      <c r="I86" s="3103" t="str">
        <f t="shared" si="42"/>
        <v>NA</v>
      </c>
      <c r="J86" s="3227" t="s">
        <v>2146</v>
      </c>
      <c r="K86" s="3227" t="s">
        <v>2146</v>
      </c>
      <c r="L86" s="3227" t="s">
        <v>2146</v>
      </c>
      <c r="M86" s="3497" t="s">
        <v>2146</v>
      </c>
    </row>
    <row r="87" spans="2:13" ht="18" customHeight="1" x14ac:dyDescent="0.2">
      <c r="B87" s="2616" t="s">
        <v>574</v>
      </c>
      <c r="C87" s="2618" t="s">
        <v>574</v>
      </c>
      <c r="D87" s="3227" t="s">
        <v>2146</v>
      </c>
      <c r="E87" s="3227" t="s">
        <v>2146</v>
      </c>
      <c r="F87" s="3227" t="s">
        <v>2146</v>
      </c>
      <c r="G87" s="3103" t="str">
        <f t="shared" si="40"/>
        <v>NA</v>
      </c>
      <c r="H87" s="3103" t="str">
        <f t="shared" si="41"/>
        <v>NA</v>
      </c>
      <c r="I87" s="3103" t="str">
        <f t="shared" si="42"/>
        <v>NA</v>
      </c>
      <c r="J87" s="3227" t="s">
        <v>2146</v>
      </c>
      <c r="K87" s="3227" t="s">
        <v>2146</v>
      </c>
      <c r="L87" s="3227" t="s">
        <v>2146</v>
      </c>
      <c r="M87" s="3497" t="s">
        <v>2146</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t="str">
        <f>IF(SUM(J91,J104)=0,"NO",SUM(J91,J104))</f>
        <v>NO</v>
      </c>
      <c r="K90" s="3103" t="str">
        <f t="shared" ref="K90:M90" si="43">IF(SUM(K91,K104)=0,"NO",SUM(K91,K104))</f>
        <v>NO</v>
      </c>
      <c r="L90" s="3103" t="str">
        <f t="shared" si="43"/>
        <v>NO</v>
      </c>
      <c r="M90" s="3226" t="str">
        <f t="shared" si="43"/>
        <v>NO</v>
      </c>
    </row>
    <row r="91" spans="2:13" ht="18" customHeight="1" x14ac:dyDescent="0.2">
      <c r="B91" s="104" t="s">
        <v>674</v>
      </c>
      <c r="C91" s="2508"/>
      <c r="D91" s="2108"/>
      <c r="E91" s="2108"/>
      <c r="F91" s="2108"/>
      <c r="G91" s="2108"/>
      <c r="H91" s="2108"/>
      <c r="I91" s="2108"/>
      <c r="J91" s="3103" t="str">
        <f>IF(SUM(J92:J103)=0,"NO",SUM(J92:J103))</f>
        <v>NO</v>
      </c>
      <c r="K91" s="3103" t="str">
        <f>IF(SUM(K92:K103)=0,"NO",SUM(K92:K103))</f>
        <v>NO</v>
      </c>
      <c r="L91" s="3103" t="str">
        <f>IF(SUM(L92:L103)=0,"NO",SUM(L92:L103))</f>
        <v>NO</v>
      </c>
      <c r="M91" s="3226" t="str">
        <f>IF(SUM(M92:M103)=0,"NO",SUM(M92:M103))</f>
        <v>NO</v>
      </c>
    </row>
    <row r="92" spans="2:13" ht="18" customHeight="1" x14ac:dyDescent="0.2">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
      <c r="B93" s="2616" t="s">
        <v>560</v>
      </c>
      <c r="C93" s="2618" t="s">
        <v>560</v>
      </c>
      <c r="D93" s="3227" t="s">
        <v>2146</v>
      </c>
      <c r="E93" s="3227" t="s">
        <v>2146</v>
      </c>
      <c r="F93" s="3227" t="s">
        <v>2146</v>
      </c>
      <c r="G93" s="3103" t="str">
        <f t="shared" ref="G93:G103" si="45">IF(SUM(D93)=0,"NA",J93/D93)</f>
        <v>NA</v>
      </c>
      <c r="H93" s="3103" t="str">
        <f t="shared" ref="H93:H103" si="46">IF(SUM(E93)=0,"NA",K93/E93)</f>
        <v>NA</v>
      </c>
      <c r="I93" s="3103" t="str">
        <f t="shared" si="44"/>
        <v>NA</v>
      </c>
      <c r="J93" s="3227" t="s">
        <v>2146</v>
      </c>
      <c r="K93" s="3227" t="s">
        <v>2146</v>
      </c>
      <c r="L93" s="3227" t="s">
        <v>2146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t="s">
        <v>2146</v>
      </c>
      <c r="E95" s="3227" t="s">
        <v>2146</v>
      </c>
      <c r="F95" s="3227" t="s">
        <v>2146</v>
      </c>
      <c r="G95" s="3103" t="str">
        <f t="shared" si="45"/>
        <v>NA</v>
      </c>
      <c r="H95" s="3103" t="str">
        <f t="shared" si="46"/>
        <v>NA</v>
      </c>
      <c r="I95" s="3103" t="str">
        <f t="shared" si="44"/>
        <v>NA</v>
      </c>
      <c r="J95" s="3227" t="s">
        <v>2146</v>
      </c>
      <c r="K95" s="3227" t="s">
        <v>2146</v>
      </c>
      <c r="L95" s="3227" t="s">
        <v>2146</v>
      </c>
      <c r="M95" s="3497" t="s">
        <v>2146</v>
      </c>
    </row>
    <row r="96" spans="2:13" ht="18" customHeight="1" x14ac:dyDescent="0.2">
      <c r="B96" s="2616" t="s">
        <v>564</v>
      </c>
      <c r="C96" s="2618" t="s">
        <v>564</v>
      </c>
      <c r="D96" s="3227" t="s">
        <v>2146</v>
      </c>
      <c r="E96" s="3227" t="s">
        <v>2146</v>
      </c>
      <c r="F96" s="3227" t="s">
        <v>2146</v>
      </c>
      <c r="G96" s="3103" t="str">
        <f t="shared" si="45"/>
        <v>NA</v>
      </c>
      <c r="H96" s="3103" t="str">
        <f t="shared" si="46"/>
        <v>NA</v>
      </c>
      <c r="I96" s="3103" t="str">
        <f t="shared" si="44"/>
        <v>NA</v>
      </c>
      <c r="J96" s="3227" t="s">
        <v>2146</v>
      </c>
      <c r="K96" s="3227" t="s">
        <v>2146</v>
      </c>
      <c r="L96" s="3227" t="s">
        <v>2146</v>
      </c>
      <c r="M96" s="3497" t="s">
        <v>2146</v>
      </c>
    </row>
    <row r="97" spans="2:13" ht="18" customHeight="1" x14ac:dyDescent="0.2">
      <c r="B97" s="2616" t="s">
        <v>565</v>
      </c>
      <c r="C97" s="2618" t="s">
        <v>565</v>
      </c>
      <c r="D97" s="3227" t="s">
        <v>2146</v>
      </c>
      <c r="E97" s="3227" t="s">
        <v>2146</v>
      </c>
      <c r="F97" s="3227" t="s">
        <v>2146</v>
      </c>
      <c r="G97" s="3103" t="str">
        <f t="shared" si="45"/>
        <v>NA</v>
      </c>
      <c r="H97" s="3103" t="str">
        <f t="shared" si="46"/>
        <v>NA</v>
      </c>
      <c r="I97" s="3103" t="str">
        <f t="shared" si="44"/>
        <v>NA</v>
      </c>
      <c r="J97" s="3227" t="s">
        <v>2146</v>
      </c>
      <c r="K97" s="3227" t="s">
        <v>2146</v>
      </c>
      <c r="L97" s="3227" t="s">
        <v>2146</v>
      </c>
      <c r="M97" s="3497" t="s">
        <v>2146</v>
      </c>
    </row>
    <row r="98" spans="2:13" ht="18" customHeight="1" x14ac:dyDescent="0.2">
      <c r="B98" s="2616" t="s">
        <v>567</v>
      </c>
      <c r="C98" s="2618" t="s">
        <v>567</v>
      </c>
      <c r="D98" s="3227" t="s">
        <v>2146</v>
      </c>
      <c r="E98" s="3227" t="s">
        <v>2146</v>
      </c>
      <c r="F98" s="3227" t="s">
        <v>2146</v>
      </c>
      <c r="G98" s="3103" t="str">
        <f t="shared" si="45"/>
        <v>NA</v>
      </c>
      <c r="H98" s="3103" t="str">
        <f t="shared" si="46"/>
        <v>NA</v>
      </c>
      <c r="I98" s="3103" t="str">
        <f t="shared" si="44"/>
        <v>NA</v>
      </c>
      <c r="J98" s="3227" t="s">
        <v>2146</v>
      </c>
      <c r="K98" s="3227" t="s">
        <v>2146</v>
      </c>
      <c r="L98" s="3227" t="s">
        <v>2146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t="s">
        <v>2146</v>
      </c>
      <c r="E100" s="3227" t="s">
        <v>2146</v>
      </c>
      <c r="F100" s="3227" t="s">
        <v>2146</v>
      </c>
      <c r="G100" s="3103" t="str">
        <f t="shared" si="45"/>
        <v>NA</v>
      </c>
      <c r="H100" s="3103" t="str">
        <f t="shared" si="46"/>
        <v>NA</v>
      </c>
      <c r="I100" s="3103" t="str">
        <f t="shared" si="44"/>
        <v>NA</v>
      </c>
      <c r="J100" s="3227" t="s">
        <v>2146</v>
      </c>
      <c r="K100" s="3227" t="s">
        <v>2146</v>
      </c>
      <c r="L100" s="3227" t="s">
        <v>2146</v>
      </c>
      <c r="M100" s="3497" t="s">
        <v>2146</v>
      </c>
    </row>
    <row r="101" spans="2:13" ht="18" customHeight="1" x14ac:dyDescent="0.2">
      <c r="B101" s="2616" t="s">
        <v>574</v>
      </c>
      <c r="C101" s="2618" t="s">
        <v>574</v>
      </c>
      <c r="D101" s="3227" t="s">
        <v>2146</v>
      </c>
      <c r="E101" s="3227" t="s">
        <v>2146</v>
      </c>
      <c r="F101" s="3227" t="s">
        <v>2146</v>
      </c>
      <c r="G101" s="3103" t="str">
        <f t="shared" si="45"/>
        <v>NA</v>
      </c>
      <c r="H101" s="3103" t="str">
        <f t="shared" si="46"/>
        <v>NA</v>
      </c>
      <c r="I101" s="3103" t="str">
        <f t="shared" si="44"/>
        <v>NA</v>
      </c>
      <c r="J101" s="3227" t="s">
        <v>2146</v>
      </c>
      <c r="K101" s="3227" t="s">
        <v>2146</v>
      </c>
      <c r="L101" s="3227" t="s">
        <v>2146</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
      <c r="B106" s="2616" t="s">
        <v>560</v>
      </c>
      <c r="C106" s="2618" t="s">
        <v>560</v>
      </c>
      <c r="D106" s="3227" t="str">
        <f t="shared" ref="D106:E116" si="47">IF(D93="NO","NO","IE")</f>
        <v>NO</v>
      </c>
      <c r="E106" s="3227" t="str">
        <f t="shared" si="47"/>
        <v>NO</v>
      </c>
      <c r="F106" s="2108"/>
      <c r="G106" s="3103" t="str">
        <f t="shared" ref="G106:G116" si="48">IF(SUM(D106)=0,"NA",J106/D106)</f>
        <v>NA</v>
      </c>
      <c r="H106" s="3103" t="str">
        <f t="shared" ref="H106:H116" si="49">IF(SUM(E106)=0,"NA",K106/E106)</f>
        <v>NA</v>
      </c>
      <c r="I106" s="2108"/>
      <c r="J106" s="3227" t="str">
        <f t="shared" ref="J106:K106" si="50">IF(J93="NO","NO","IE")</f>
        <v>NO</v>
      </c>
      <c r="K106" s="3227" t="str">
        <f t="shared" si="50"/>
        <v>NO</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NO</v>
      </c>
      <c r="E108" s="3227" t="str">
        <f t="shared" si="47"/>
        <v>NO</v>
      </c>
      <c r="F108" s="2108"/>
      <c r="G108" s="3103" t="str">
        <f t="shared" si="48"/>
        <v>NA</v>
      </c>
      <c r="H108" s="3103" t="str">
        <f t="shared" si="49"/>
        <v>NA</v>
      </c>
      <c r="I108" s="2108"/>
      <c r="J108" s="3227" t="str">
        <f t="shared" ref="J108:K108" si="54">IF(J95="NO","NO","IE")</f>
        <v>NO</v>
      </c>
      <c r="K108" s="3227" t="str">
        <f t="shared" si="54"/>
        <v>NO</v>
      </c>
      <c r="L108" s="3228"/>
      <c r="M108" s="3497" t="str">
        <f t="shared" ref="M108" si="55">IF(M95="NO","NO","IE")</f>
        <v>NO</v>
      </c>
    </row>
    <row r="109" spans="2:13" ht="18" customHeight="1" x14ac:dyDescent="0.2">
      <c r="B109" s="2616" t="s">
        <v>564</v>
      </c>
      <c r="C109" s="2618" t="s">
        <v>564</v>
      </c>
      <c r="D109" s="3227" t="str">
        <f t="shared" si="47"/>
        <v>NO</v>
      </c>
      <c r="E109" s="3227" t="str">
        <f t="shared" si="47"/>
        <v>NO</v>
      </c>
      <c r="F109" s="2108"/>
      <c r="G109" s="3103" t="str">
        <f t="shared" si="48"/>
        <v>NA</v>
      </c>
      <c r="H109" s="3103" t="str">
        <f t="shared" si="49"/>
        <v>NA</v>
      </c>
      <c r="I109" s="2108"/>
      <c r="J109" s="3227" t="str">
        <f t="shared" ref="J109:K109" si="56">IF(J96="NO","NO","IE")</f>
        <v>NO</v>
      </c>
      <c r="K109" s="3227" t="str">
        <f t="shared" si="56"/>
        <v>NO</v>
      </c>
      <c r="L109" s="3228"/>
      <c r="M109" s="3497" t="str">
        <f t="shared" ref="M109" si="57">IF(M96="NO","NO","IE")</f>
        <v>NO</v>
      </c>
    </row>
    <row r="110" spans="2:13" ht="18" customHeight="1" x14ac:dyDescent="0.2">
      <c r="B110" s="2616" t="s">
        <v>565</v>
      </c>
      <c r="C110" s="2618" t="s">
        <v>565</v>
      </c>
      <c r="D110" s="3227" t="str">
        <f t="shared" si="47"/>
        <v>NO</v>
      </c>
      <c r="E110" s="3227" t="str">
        <f t="shared" si="47"/>
        <v>NO</v>
      </c>
      <c r="F110" s="2108"/>
      <c r="G110" s="3103" t="str">
        <f t="shared" si="48"/>
        <v>NA</v>
      </c>
      <c r="H110" s="3103" t="str">
        <f t="shared" si="49"/>
        <v>NA</v>
      </c>
      <c r="I110" s="2108"/>
      <c r="J110" s="3227" t="str">
        <f t="shared" ref="J110:K110" si="58">IF(J97="NO","NO","IE")</f>
        <v>NO</v>
      </c>
      <c r="K110" s="3227" t="str">
        <f t="shared" si="58"/>
        <v>NO</v>
      </c>
      <c r="L110" s="3228"/>
      <c r="M110" s="3497" t="str">
        <f t="shared" ref="M110" si="59">IF(M97="NO","NO","IE")</f>
        <v>NO</v>
      </c>
    </row>
    <row r="111" spans="2:13" ht="18" customHeight="1" x14ac:dyDescent="0.2">
      <c r="B111" s="2616" t="s">
        <v>567</v>
      </c>
      <c r="C111" s="2618" t="s">
        <v>567</v>
      </c>
      <c r="D111" s="3227" t="str">
        <f t="shared" si="47"/>
        <v>NO</v>
      </c>
      <c r="E111" s="3227" t="str">
        <f t="shared" si="47"/>
        <v>NO</v>
      </c>
      <c r="F111" s="2108"/>
      <c r="G111" s="3103" t="str">
        <f t="shared" si="48"/>
        <v>NA</v>
      </c>
      <c r="H111" s="3103" t="str">
        <f t="shared" si="49"/>
        <v>NA</v>
      </c>
      <c r="I111" s="2108"/>
      <c r="J111" s="3227" t="str">
        <f t="shared" ref="J111:K111" si="60">IF(J98="NO","NO","IE")</f>
        <v>NO</v>
      </c>
      <c r="K111" s="3227" t="str">
        <f t="shared" si="60"/>
        <v>NO</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NO</v>
      </c>
      <c r="E113" s="3227" t="str">
        <f t="shared" si="47"/>
        <v>NO</v>
      </c>
      <c r="F113" s="2108"/>
      <c r="G113" s="3103" t="str">
        <f t="shared" si="48"/>
        <v>NA</v>
      </c>
      <c r="H113" s="3103" t="str">
        <f t="shared" si="49"/>
        <v>NA</v>
      </c>
      <c r="I113" s="2108"/>
      <c r="J113" s="3227" t="str">
        <f t="shared" ref="J113:K113" si="64">IF(J100="NO","NO","IE")</f>
        <v>NO</v>
      </c>
      <c r="K113" s="3227" t="str">
        <f t="shared" si="64"/>
        <v>NO</v>
      </c>
      <c r="L113" s="3228"/>
      <c r="M113" s="3497" t="str">
        <f t="shared" ref="M113" si="65">IF(M100="NO","NO","IE")</f>
        <v>NO</v>
      </c>
    </row>
    <row r="114" spans="2:13" ht="18" customHeight="1" x14ac:dyDescent="0.2">
      <c r="B114" s="2616" t="s">
        <v>574</v>
      </c>
      <c r="C114" s="2618" t="s">
        <v>574</v>
      </c>
      <c r="D114" s="3227" t="str">
        <f t="shared" si="47"/>
        <v>NO</v>
      </c>
      <c r="E114" s="3227" t="str">
        <f t="shared" si="47"/>
        <v>NO</v>
      </c>
      <c r="F114" s="2108"/>
      <c r="G114" s="3103" t="str">
        <f t="shared" si="48"/>
        <v>NA</v>
      </c>
      <c r="H114" s="3103" t="str">
        <f t="shared" si="49"/>
        <v>NA</v>
      </c>
      <c r="I114" s="2108"/>
      <c r="J114" s="3227" t="str">
        <f t="shared" ref="J114:K114" si="66">IF(J101="NO","NO","IE")</f>
        <v>NO</v>
      </c>
      <c r="K114" s="3227" t="str">
        <f t="shared" si="66"/>
        <v>NO</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t="str">
        <f>IF(SUM(J118:J129)=0,"NO",SUM(J118:J129))</f>
        <v>NO</v>
      </c>
      <c r="K117" s="3103" t="str">
        <f>IF(SUM(K118:K129)=0,"NO",SUM(K118:K129))</f>
        <v>NO</v>
      </c>
      <c r="L117" s="3103" t="str">
        <f>IF(SUM(L118:L129)=0,"NO",SUM(L118:L129))</f>
        <v>NO</v>
      </c>
      <c r="M117" s="3226" t="str">
        <f>IF(SUM(M118:M129)=0,"NO",SUM(M118:M129))</f>
        <v>NO</v>
      </c>
    </row>
    <row r="118" spans="2:13" ht="18" customHeight="1" x14ac:dyDescent="0.2">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
      <c r="B119" s="2616" t="s">
        <v>560</v>
      </c>
      <c r="C119" s="2618" t="s">
        <v>560</v>
      </c>
      <c r="D119" s="3227" t="s">
        <v>2146</v>
      </c>
      <c r="E119" s="3227" t="s">
        <v>2146</v>
      </c>
      <c r="F119" s="3227" t="s">
        <v>2146</v>
      </c>
      <c r="G119" s="3103" t="str">
        <f t="shared" ref="G119:G129" si="73">IF(SUM(D119)=0,"NA",J119/D119)</f>
        <v>NA</v>
      </c>
      <c r="H119" s="3103" t="str">
        <f t="shared" ref="H119:H129" si="74">IF(SUM(E119)=0,"NA",K119/E119)</f>
        <v>NA</v>
      </c>
      <c r="I119" s="3103" t="str">
        <f t="shared" si="72"/>
        <v>NA</v>
      </c>
      <c r="J119" s="3227" t="s">
        <v>2146</v>
      </c>
      <c r="K119" s="3227" t="s">
        <v>2146</v>
      </c>
      <c r="L119" s="3227" t="s">
        <v>2146</v>
      </c>
      <c r="M119" s="3497" t="s">
        <v>2146</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t="s">
        <v>2146</v>
      </c>
      <c r="E121" s="3227" t="s">
        <v>2146</v>
      </c>
      <c r="F121" s="3227" t="s">
        <v>2146</v>
      </c>
      <c r="G121" s="3103" t="str">
        <f t="shared" si="73"/>
        <v>NA</v>
      </c>
      <c r="H121" s="3103" t="str">
        <f t="shared" si="74"/>
        <v>NA</v>
      </c>
      <c r="I121" s="3103" t="str">
        <f t="shared" si="72"/>
        <v>NA</v>
      </c>
      <c r="J121" s="3227" t="s">
        <v>2146</v>
      </c>
      <c r="K121" s="3227" t="s">
        <v>2146</v>
      </c>
      <c r="L121" s="3227" t="s">
        <v>2146</v>
      </c>
      <c r="M121" s="3497" t="s">
        <v>2146</v>
      </c>
    </row>
    <row r="122" spans="2:13" ht="18" customHeight="1" x14ac:dyDescent="0.2">
      <c r="B122" s="2616" t="s">
        <v>564</v>
      </c>
      <c r="C122" s="2618" t="s">
        <v>564</v>
      </c>
      <c r="D122" s="3227" t="s">
        <v>2146</v>
      </c>
      <c r="E122" s="3227" t="s">
        <v>2146</v>
      </c>
      <c r="F122" s="3227" t="s">
        <v>2146</v>
      </c>
      <c r="G122" s="3103" t="str">
        <f t="shared" si="73"/>
        <v>NA</v>
      </c>
      <c r="H122" s="3103" t="str">
        <f t="shared" si="74"/>
        <v>NA</v>
      </c>
      <c r="I122" s="3103" t="str">
        <f t="shared" si="72"/>
        <v>NA</v>
      </c>
      <c r="J122" s="3227" t="s">
        <v>2146</v>
      </c>
      <c r="K122" s="3227" t="s">
        <v>2146</v>
      </c>
      <c r="L122" s="3227" t="s">
        <v>2146</v>
      </c>
      <c r="M122" s="3497" t="s">
        <v>2146</v>
      </c>
    </row>
    <row r="123" spans="2:13" ht="18" customHeight="1" x14ac:dyDescent="0.2">
      <c r="B123" s="2616" t="s">
        <v>565</v>
      </c>
      <c r="C123" s="2618" t="s">
        <v>565</v>
      </c>
      <c r="D123" s="3227" t="s">
        <v>2146</v>
      </c>
      <c r="E123" s="3227" t="s">
        <v>2146</v>
      </c>
      <c r="F123" s="3227" t="s">
        <v>2146</v>
      </c>
      <c r="G123" s="3103" t="str">
        <f t="shared" si="73"/>
        <v>NA</v>
      </c>
      <c r="H123" s="3103" t="str">
        <f t="shared" si="74"/>
        <v>NA</v>
      </c>
      <c r="I123" s="3103" t="str">
        <f t="shared" si="72"/>
        <v>NA</v>
      </c>
      <c r="J123" s="3227" t="s">
        <v>2146</v>
      </c>
      <c r="K123" s="3227" t="s">
        <v>2146</v>
      </c>
      <c r="L123" s="3227" t="s">
        <v>2146</v>
      </c>
      <c r="M123" s="3497" t="s">
        <v>2146</v>
      </c>
    </row>
    <row r="124" spans="2:13" ht="18" customHeight="1" x14ac:dyDescent="0.2">
      <c r="B124" s="2616" t="s">
        <v>567</v>
      </c>
      <c r="C124" s="2618" t="s">
        <v>567</v>
      </c>
      <c r="D124" s="3227" t="s">
        <v>2146</v>
      </c>
      <c r="E124" s="3227" t="s">
        <v>2146</v>
      </c>
      <c r="F124" s="3227" t="s">
        <v>2146</v>
      </c>
      <c r="G124" s="3103" t="str">
        <f t="shared" si="73"/>
        <v>NA</v>
      </c>
      <c r="H124" s="3103" t="str">
        <f t="shared" si="74"/>
        <v>NA</v>
      </c>
      <c r="I124" s="3103" t="str">
        <f t="shared" si="72"/>
        <v>NA</v>
      </c>
      <c r="J124" s="3227" t="s">
        <v>2146</v>
      </c>
      <c r="K124" s="3227" t="s">
        <v>2146</v>
      </c>
      <c r="L124" s="3227" t="s">
        <v>2146</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t="s">
        <v>2146</v>
      </c>
      <c r="E126" s="3227" t="s">
        <v>2146</v>
      </c>
      <c r="F126" s="3227" t="s">
        <v>2146</v>
      </c>
      <c r="G126" s="3103" t="str">
        <f t="shared" si="73"/>
        <v>NA</v>
      </c>
      <c r="H126" s="3103" t="str">
        <f t="shared" si="74"/>
        <v>NA</v>
      </c>
      <c r="I126" s="3103" t="str">
        <f t="shared" si="72"/>
        <v>NA</v>
      </c>
      <c r="J126" s="3227" t="s">
        <v>2146</v>
      </c>
      <c r="K126" s="3227" t="s">
        <v>2146</v>
      </c>
      <c r="L126" s="3227" t="s">
        <v>2146</v>
      </c>
      <c r="M126" s="3497" t="s">
        <v>2146</v>
      </c>
    </row>
    <row r="127" spans="2:13" ht="18" customHeight="1" x14ac:dyDescent="0.2">
      <c r="B127" s="2616" t="s">
        <v>574</v>
      </c>
      <c r="C127" s="2618" t="s">
        <v>574</v>
      </c>
      <c r="D127" s="3227" t="s">
        <v>2146</v>
      </c>
      <c r="E127" s="3227" t="s">
        <v>2146</v>
      </c>
      <c r="F127" s="3227" t="s">
        <v>2146</v>
      </c>
      <c r="G127" s="3103" t="str">
        <f t="shared" si="73"/>
        <v>NA</v>
      </c>
      <c r="H127" s="3103" t="str">
        <f t="shared" si="74"/>
        <v>NA</v>
      </c>
      <c r="I127" s="3103" t="str">
        <f t="shared" si="72"/>
        <v>NA</v>
      </c>
      <c r="J127" s="3227" t="s">
        <v>2146</v>
      </c>
      <c r="K127" s="3227" t="s">
        <v>2146</v>
      </c>
      <c r="L127" s="3227" t="s">
        <v>2146</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t="str">
        <f>IF(SUM(K131,K144)=0,"NO",SUM(K131,K144))</f>
        <v>NO</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t="s">
        <v>2146</v>
      </c>
      <c r="F133" s="3229"/>
      <c r="G133" s="3103" t="str">
        <f t="shared" ref="G133:G143" si="75">IF(SUM(D133)=0,"NA",J133/D133)</f>
        <v>NA</v>
      </c>
      <c r="H133" s="3103" t="str">
        <f t="shared" ref="H133:H143" si="76">IF(SUM(E133)=0,"NA",K133/E133)</f>
        <v>NA</v>
      </c>
      <c r="I133" s="4327"/>
      <c r="J133" s="3227" t="s">
        <v>2146</v>
      </c>
      <c r="K133" s="3227" t="s">
        <v>2146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t="s">
        <v>2146</v>
      </c>
      <c r="F135" s="3229"/>
      <c r="G135" s="3103" t="str">
        <f t="shared" si="75"/>
        <v>NA</v>
      </c>
      <c r="H135" s="3103" t="str">
        <f t="shared" si="76"/>
        <v>NA</v>
      </c>
      <c r="I135" s="4327"/>
      <c r="J135" s="3227" t="s">
        <v>2146</v>
      </c>
      <c r="K135" s="3227" t="s">
        <v>2146</v>
      </c>
      <c r="L135" s="3229"/>
      <c r="M135" s="3497" t="s">
        <v>2146</v>
      </c>
    </row>
    <row r="136" spans="2:13" ht="18" customHeight="1" x14ac:dyDescent="0.2">
      <c r="B136" s="2616" t="s">
        <v>564</v>
      </c>
      <c r="C136" s="2618" t="s">
        <v>564</v>
      </c>
      <c r="D136" s="3227" t="s">
        <v>2146</v>
      </c>
      <c r="E136" s="3227" t="s">
        <v>2146</v>
      </c>
      <c r="F136" s="3229"/>
      <c r="G136" s="3103" t="str">
        <f t="shared" si="75"/>
        <v>NA</v>
      </c>
      <c r="H136" s="3103" t="str">
        <f t="shared" si="76"/>
        <v>NA</v>
      </c>
      <c r="I136" s="4327"/>
      <c r="J136" s="3227" t="s">
        <v>2146</v>
      </c>
      <c r="K136" s="3227" t="s">
        <v>2146</v>
      </c>
      <c r="L136" s="3229"/>
      <c r="M136" s="3497" t="s">
        <v>2146</v>
      </c>
    </row>
    <row r="137" spans="2:13" ht="18" customHeight="1" x14ac:dyDescent="0.2">
      <c r="B137" s="2616" t="s">
        <v>565</v>
      </c>
      <c r="C137" s="2618" t="s">
        <v>565</v>
      </c>
      <c r="D137" s="3227" t="s">
        <v>2146</v>
      </c>
      <c r="E137" s="3227" t="s">
        <v>2146</v>
      </c>
      <c r="F137" s="3229"/>
      <c r="G137" s="3103" t="str">
        <f t="shared" si="75"/>
        <v>NA</v>
      </c>
      <c r="H137" s="3103" t="str">
        <f t="shared" si="76"/>
        <v>NA</v>
      </c>
      <c r="I137" s="4327"/>
      <c r="J137" s="3227" t="s">
        <v>2146</v>
      </c>
      <c r="K137" s="3227" t="s">
        <v>2146</v>
      </c>
      <c r="L137" s="3229"/>
      <c r="M137" s="3497" t="s">
        <v>2146</v>
      </c>
    </row>
    <row r="138" spans="2:13" ht="18" customHeight="1" x14ac:dyDescent="0.2">
      <c r="B138" s="2616" t="s">
        <v>567</v>
      </c>
      <c r="C138" s="2618" t="s">
        <v>567</v>
      </c>
      <c r="D138" s="3227" t="s">
        <v>2146</v>
      </c>
      <c r="E138" s="3227" t="s">
        <v>2146</v>
      </c>
      <c r="F138" s="3229"/>
      <c r="G138" s="3103" t="str">
        <f t="shared" si="75"/>
        <v>NA</v>
      </c>
      <c r="H138" s="3103" t="str">
        <f t="shared" si="76"/>
        <v>NA</v>
      </c>
      <c r="I138" s="4327"/>
      <c r="J138" s="3227" t="s">
        <v>2146</v>
      </c>
      <c r="K138" s="3227" t="s">
        <v>2146</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t="s">
        <v>2146</v>
      </c>
      <c r="F140" s="3229"/>
      <c r="G140" s="3103" t="str">
        <f t="shared" si="75"/>
        <v>NA</v>
      </c>
      <c r="H140" s="3103" t="str">
        <f t="shared" si="76"/>
        <v>NA</v>
      </c>
      <c r="I140" s="4327"/>
      <c r="J140" s="3227" t="s">
        <v>2146</v>
      </c>
      <c r="K140" s="3227" t="s">
        <v>2146</v>
      </c>
      <c r="L140" s="3229"/>
      <c r="M140" s="3497" t="s">
        <v>2146</v>
      </c>
    </row>
    <row r="141" spans="2:13" ht="18" customHeight="1" x14ac:dyDescent="0.2">
      <c r="B141" s="2616" t="s">
        <v>574</v>
      </c>
      <c r="C141" s="2618" t="s">
        <v>574</v>
      </c>
      <c r="D141" s="3227" t="s">
        <v>2146</v>
      </c>
      <c r="E141" s="3227" t="s">
        <v>2146</v>
      </c>
      <c r="F141" s="3229"/>
      <c r="G141" s="3103" t="str">
        <f t="shared" si="75"/>
        <v>NA</v>
      </c>
      <c r="H141" s="3103" t="str">
        <f t="shared" si="76"/>
        <v>NA</v>
      </c>
      <c r="I141" s="4327"/>
      <c r="J141" s="3227" t="s">
        <v>2146</v>
      </c>
      <c r="K141" s="3227" t="s">
        <v>2146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t="str">
        <f>IF(SUM(K147:K158)=0,"NO",SUM(K147:K158))</f>
        <v>NO</v>
      </c>
      <c r="L146" s="3103" t="str">
        <f>IF(SUM(L147:L158)=0,"NO",SUM(L147:L158))</f>
        <v>NO</v>
      </c>
      <c r="M146" s="3226" t="str">
        <f>IF(SUM(M147:M158)=0,"NO",SUM(M147:M158))</f>
        <v>NO</v>
      </c>
    </row>
    <row r="147" spans="2:13" ht="18" customHeight="1" x14ac:dyDescent="0.2">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
      <c r="B148" s="2616" t="s">
        <v>560</v>
      </c>
      <c r="C148" s="2618" t="s">
        <v>560</v>
      </c>
      <c r="D148" s="3227" t="s">
        <v>2146</v>
      </c>
      <c r="E148" s="3227" t="s">
        <v>2146</v>
      </c>
      <c r="F148" s="3227" t="s">
        <v>2146</v>
      </c>
      <c r="G148" s="3103" t="str">
        <f t="shared" ref="G148:G158" si="78">IFERROR(J148/D148,"NA")</f>
        <v>NA</v>
      </c>
      <c r="H148" s="3103" t="str">
        <f t="shared" ref="H148:H158" si="79">IF(SUM(E148)=0,"NA",K148/E148)</f>
        <v>NA</v>
      </c>
      <c r="I148" s="3103" t="str">
        <f t="shared" si="77"/>
        <v>NA</v>
      </c>
      <c r="J148" s="3227" t="s">
        <v>2146</v>
      </c>
      <c r="K148" s="3227" t="s">
        <v>2146</v>
      </c>
      <c r="L148" s="3227" t="s">
        <v>2146</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t="s">
        <v>2146</v>
      </c>
      <c r="E150" s="3227" t="s">
        <v>2146</v>
      </c>
      <c r="F150" s="3227" t="s">
        <v>2146</v>
      </c>
      <c r="G150" s="3103" t="str">
        <f t="shared" si="78"/>
        <v>NA</v>
      </c>
      <c r="H150" s="3103" t="str">
        <f t="shared" si="79"/>
        <v>NA</v>
      </c>
      <c r="I150" s="3103" t="str">
        <f t="shared" si="77"/>
        <v>NA</v>
      </c>
      <c r="J150" s="3227" t="s">
        <v>2146</v>
      </c>
      <c r="K150" s="3227" t="s">
        <v>2146</v>
      </c>
      <c r="L150" s="3227" t="s">
        <v>2146</v>
      </c>
      <c r="M150" s="3497" t="s">
        <v>2146</v>
      </c>
    </row>
    <row r="151" spans="2:13" ht="18" customHeight="1" x14ac:dyDescent="0.2">
      <c r="B151" s="2616" t="s">
        <v>564</v>
      </c>
      <c r="C151" s="2618" t="s">
        <v>564</v>
      </c>
      <c r="D151" s="3227" t="s">
        <v>2146</v>
      </c>
      <c r="E151" s="3227" t="s">
        <v>2146</v>
      </c>
      <c r="F151" s="3227" t="s">
        <v>2146</v>
      </c>
      <c r="G151" s="3103" t="str">
        <f t="shared" si="78"/>
        <v>NA</v>
      </c>
      <c r="H151" s="3103" t="str">
        <f t="shared" si="79"/>
        <v>NA</v>
      </c>
      <c r="I151" s="3103" t="str">
        <f t="shared" si="77"/>
        <v>NA</v>
      </c>
      <c r="J151" s="3227" t="s">
        <v>2146</v>
      </c>
      <c r="K151" s="3227" t="s">
        <v>2146</v>
      </c>
      <c r="L151" s="3227" t="s">
        <v>2146</v>
      </c>
      <c r="M151" s="3497" t="s">
        <v>2146</v>
      </c>
    </row>
    <row r="152" spans="2:13" ht="18" customHeight="1" x14ac:dyDescent="0.2">
      <c r="B152" s="2616" t="s">
        <v>565</v>
      </c>
      <c r="C152" s="2618" t="s">
        <v>565</v>
      </c>
      <c r="D152" s="3227" t="s">
        <v>2146</v>
      </c>
      <c r="E152" s="3227" t="s">
        <v>2146</v>
      </c>
      <c r="F152" s="3227" t="s">
        <v>2146</v>
      </c>
      <c r="G152" s="3103" t="str">
        <f t="shared" si="78"/>
        <v>NA</v>
      </c>
      <c r="H152" s="3103" t="str">
        <f t="shared" si="79"/>
        <v>NA</v>
      </c>
      <c r="I152" s="3103" t="str">
        <f t="shared" si="77"/>
        <v>NA</v>
      </c>
      <c r="J152" s="3227" t="s">
        <v>2146</v>
      </c>
      <c r="K152" s="3227" t="s">
        <v>2146</v>
      </c>
      <c r="L152" s="3227" t="s">
        <v>2146</v>
      </c>
      <c r="M152" s="3497" t="s">
        <v>2146</v>
      </c>
    </row>
    <row r="153" spans="2:13" ht="18" customHeight="1" x14ac:dyDescent="0.2">
      <c r="B153" s="2616" t="s">
        <v>567</v>
      </c>
      <c r="C153" s="2618" t="s">
        <v>567</v>
      </c>
      <c r="D153" s="3227" t="s">
        <v>2146</v>
      </c>
      <c r="E153" s="3227" t="s">
        <v>2146</v>
      </c>
      <c r="F153" s="3227" t="s">
        <v>2146</v>
      </c>
      <c r="G153" s="3103" t="str">
        <f t="shared" si="78"/>
        <v>NA</v>
      </c>
      <c r="H153" s="3103" t="str">
        <f t="shared" si="79"/>
        <v>NA</v>
      </c>
      <c r="I153" s="3103" t="str">
        <f t="shared" si="77"/>
        <v>NA</v>
      </c>
      <c r="J153" s="3227" t="s">
        <v>2146</v>
      </c>
      <c r="K153" s="3227" t="s">
        <v>2146</v>
      </c>
      <c r="L153" s="3227" t="s">
        <v>2146</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t="s">
        <v>2146</v>
      </c>
      <c r="E155" s="3227" t="s">
        <v>2146</v>
      </c>
      <c r="F155" s="3227" t="s">
        <v>2146</v>
      </c>
      <c r="G155" s="3103" t="str">
        <f t="shared" si="78"/>
        <v>NA</v>
      </c>
      <c r="H155" s="3103" t="str">
        <f t="shared" si="79"/>
        <v>NA</v>
      </c>
      <c r="I155" s="3103" t="str">
        <f t="shared" si="77"/>
        <v>NA</v>
      </c>
      <c r="J155" s="3227" t="s">
        <v>2146</v>
      </c>
      <c r="K155" s="3227" t="s">
        <v>2146</v>
      </c>
      <c r="L155" s="3227" t="s">
        <v>2146</v>
      </c>
      <c r="M155" s="3497" t="s">
        <v>2146</v>
      </c>
    </row>
    <row r="156" spans="2:13" ht="18" customHeight="1" x14ac:dyDescent="0.2">
      <c r="B156" s="2616" t="s">
        <v>574</v>
      </c>
      <c r="C156" s="2618" t="s">
        <v>574</v>
      </c>
      <c r="D156" s="3227" t="s">
        <v>2146</v>
      </c>
      <c r="E156" s="3227" t="s">
        <v>2146</v>
      </c>
      <c r="F156" s="3227" t="s">
        <v>2146</v>
      </c>
      <c r="G156" s="3103" t="str">
        <f t="shared" si="78"/>
        <v>NA</v>
      </c>
      <c r="H156" s="3103" t="str">
        <f t="shared" si="79"/>
        <v>NA</v>
      </c>
      <c r="I156" s="3103" t="str">
        <f t="shared" si="77"/>
        <v>NA</v>
      </c>
      <c r="J156" s="3227" t="s">
        <v>2146</v>
      </c>
      <c r="K156" s="3227" t="s">
        <v>2146</v>
      </c>
      <c r="L156" s="3227" t="s">
        <v>2146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1.8070719847467667</v>
      </c>
      <c r="K162" s="3233">
        <f t="shared" ref="K162:M162" si="85">IF(SUM(K163,K165,K175)=0,"NO",SUM(K163,K165,K175))</f>
        <v>9.5136371737061527</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1.8070719847467667</v>
      </c>
      <c r="K163" s="3230">
        <f t="shared" ref="K163:M163" si="86">K164</f>
        <v>8.916785646519477</v>
      </c>
      <c r="L163" s="3230" t="str">
        <f t="shared" si="86"/>
        <v>NO</v>
      </c>
      <c r="M163" s="3226" t="str">
        <f t="shared" si="86"/>
        <v>NO</v>
      </c>
    </row>
    <row r="164" spans="2:13" ht="18" customHeight="1" x14ac:dyDescent="0.2">
      <c r="B164" s="2616" t="s">
        <v>1621</v>
      </c>
      <c r="C164" s="2618" t="s">
        <v>1621</v>
      </c>
      <c r="D164" s="3235">
        <v>12.047146564978446</v>
      </c>
      <c r="E164" s="3235">
        <v>178.33571293038952</v>
      </c>
      <c r="F164" s="3235" t="s">
        <v>2146</v>
      </c>
      <c r="G164" s="3103">
        <f t="shared" ref="G164" si="87">IF(SUM(D164)=0,"NA",J164/D164)</f>
        <v>0.15</v>
      </c>
      <c r="H164" s="3103">
        <f t="shared" ref="H164" si="88">IF(SUM(E164)=0,"NA",K164/E164)</f>
        <v>0.05</v>
      </c>
      <c r="I164" s="3103" t="str">
        <f t="shared" ref="I164" si="89">IF(SUM(F164)=0,"NA",(SUM(L164:M164))/F164)</f>
        <v>NA</v>
      </c>
      <c r="J164" s="3142">
        <v>1.8070719847467667</v>
      </c>
      <c r="K164" s="3142">
        <v>8.916785646519477</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0.59685152718667567</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0.59685152718667567</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0.59685152718667567</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0.59685152718667567</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689.81122303868347</v>
      </c>
      <c r="D10" s="2500">
        <f t="shared" ref="D10:I10" si="0">IF(SUM(D11,D20,D31:D32,D42:D47)=0,"NO",SUM(D11,D20,D31:D32,D42:D47))</f>
        <v>2747.9990242827726</v>
      </c>
      <c r="E10" s="2500">
        <f t="shared" si="0"/>
        <v>40.315632942925866</v>
      </c>
      <c r="F10" s="2500">
        <f t="shared" si="0"/>
        <v>25.267327736104672</v>
      </c>
      <c r="G10" s="2500">
        <f t="shared" si="0"/>
        <v>414.51006766318534</v>
      </c>
      <c r="H10" s="2915">
        <f t="shared" si="0"/>
        <v>24.179753947019147</v>
      </c>
      <c r="I10" s="2924" t="str">
        <f t="shared" si="0"/>
        <v>NO</v>
      </c>
      <c r="J10" s="2925">
        <f>IF(SUM(C10:E10)=0,"NO",SUM(C10)+28*SUM(D10)+265*SUM(E10))</f>
        <v>88317.426632831673</v>
      </c>
    </row>
    <row r="11" spans="1:10" ht="18" customHeight="1" x14ac:dyDescent="0.2">
      <c r="B11" s="234" t="s">
        <v>694</v>
      </c>
      <c r="C11" s="2926"/>
      <c r="D11" s="2137">
        <f>SUM(D16:D19)</f>
        <v>2477.5904785214002</v>
      </c>
      <c r="E11" s="1929"/>
      <c r="F11" s="1929"/>
      <c r="G11" s="1929"/>
      <c r="H11" s="2927"/>
      <c r="I11" s="2928"/>
      <c r="J11" s="1880">
        <f>IF(SUM(C11:E11)=0,"NO",SUM(C11)+28*SUM(D11)+265*SUM(E11))</f>
        <v>69372.533398599204</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1395.2378281080858</v>
      </c>
      <c r="E16" s="628"/>
      <c r="F16" s="628"/>
      <c r="G16" s="628"/>
      <c r="H16" s="2930"/>
      <c r="I16" s="2931"/>
      <c r="J16" s="2934">
        <f>IF(SUM(C16:E16)=0,"NO",SUM(C16)+28*SUM(D16)+265*SUM(E16))</f>
        <v>39066.659187026402</v>
      </c>
    </row>
    <row r="17" spans="2:10" ht="18" customHeight="1" x14ac:dyDescent="0.2">
      <c r="B17" s="228" t="s">
        <v>699</v>
      </c>
      <c r="C17" s="2936"/>
      <c r="D17" s="2920">
        <f>Table3.A!G24</f>
        <v>1067.2826782153547</v>
      </c>
      <c r="E17" s="628"/>
      <c r="F17" s="628"/>
      <c r="G17" s="628"/>
      <c r="H17" s="2930"/>
      <c r="I17" s="2931"/>
      <c r="J17" s="2934">
        <f t="shared" ref="J17:J21" si="1">IF(SUM(C17:E17)=0,"NO",SUM(C17)+28*SUM(D17)+265*SUM(E17))</f>
        <v>29883.914990029931</v>
      </c>
    </row>
    <row r="18" spans="2:10" ht="18" customHeight="1" x14ac:dyDescent="0.2">
      <c r="B18" s="228" t="s">
        <v>700</v>
      </c>
      <c r="C18" s="2936"/>
      <c r="D18" s="2920">
        <f>Table3.A!G27</f>
        <v>3.7670011649591126</v>
      </c>
      <c r="E18" s="628"/>
      <c r="F18" s="628"/>
      <c r="G18" s="628"/>
      <c r="H18" s="2930"/>
      <c r="I18" s="2931"/>
      <c r="J18" s="2934">
        <f t="shared" si="1"/>
        <v>105.47603261885516</v>
      </c>
    </row>
    <row r="19" spans="2:10" ht="18" customHeight="1" thickBot="1" x14ac:dyDescent="0.25">
      <c r="B19" s="1297" t="s">
        <v>701</v>
      </c>
      <c r="C19" s="2937"/>
      <c r="D19" s="2500">
        <f>Table3.A!G30</f>
        <v>11.302971032999999</v>
      </c>
      <c r="E19" s="1923"/>
      <c r="F19" s="1923"/>
      <c r="G19" s="1923"/>
      <c r="H19" s="2938"/>
      <c r="I19" s="2939"/>
      <c r="J19" s="2934">
        <f t="shared" si="1"/>
        <v>316.48318892399993</v>
      </c>
    </row>
    <row r="20" spans="2:10" ht="18" customHeight="1" x14ac:dyDescent="0.2">
      <c r="B20" s="1456" t="s">
        <v>702</v>
      </c>
      <c r="C20" s="2940"/>
      <c r="D20" s="2920">
        <f>IF(SUM(D26:D30)=0,"NO",SUM(D26:D30))</f>
        <v>239.19994565583048</v>
      </c>
      <c r="E20" s="2920">
        <f>IF(SUM(E26:E30)=0,"NO",SUM(E26:E30))</f>
        <v>0.81145672043367267</v>
      </c>
      <c r="F20" s="2134"/>
      <c r="G20" s="2134"/>
      <c r="H20" s="2920" t="str">
        <f>IF(SUM(H26:H30)=0,"NE",SUM(H26:H30))</f>
        <v>NE</v>
      </c>
      <c r="I20" s="2931"/>
      <c r="J20" s="2941">
        <f t="shared" si="1"/>
        <v>6912.6345092781767</v>
      </c>
    </row>
    <row r="21" spans="2:10" ht="18" customHeight="1" x14ac:dyDescent="0.2">
      <c r="B21" s="228" t="s">
        <v>2019</v>
      </c>
      <c r="C21" s="2936"/>
      <c r="D21" s="2920">
        <f>D26</f>
        <v>120.75955045357334</v>
      </c>
      <c r="E21" s="2920">
        <f>E26</f>
        <v>0.34583037328599925</v>
      </c>
      <c r="F21" s="2942"/>
      <c r="G21" s="2942"/>
      <c r="H21" s="2920" t="str">
        <f>H26</f>
        <v>NE</v>
      </c>
      <c r="I21" s="2931"/>
      <c r="J21" s="2934">
        <f t="shared" si="1"/>
        <v>3472.9124616208437</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120.75955045357334</v>
      </c>
      <c r="E26" s="2920">
        <f>'Table3.B(b)'!X15</f>
        <v>0.34583037328599925</v>
      </c>
      <c r="F26" s="628"/>
      <c r="G26" s="628"/>
      <c r="H26" s="2944" t="s">
        <v>2154</v>
      </c>
      <c r="I26" s="2931"/>
      <c r="J26" s="2934">
        <f t="shared" ref="J26:J48" si="2">IF(SUM(C26:E26)=0,"NO",SUM(C26)+28*SUM(D26)+265*SUM(E26))</f>
        <v>3472.9124616208437</v>
      </c>
    </row>
    <row r="27" spans="2:10" ht="18" customHeight="1" x14ac:dyDescent="0.2">
      <c r="B27" s="228" t="s">
        <v>705</v>
      </c>
      <c r="C27" s="2936"/>
      <c r="D27" s="2920">
        <f>'Table3.B(a)'!K24</f>
        <v>55.209399350357124</v>
      </c>
      <c r="E27" s="2920" t="str">
        <f>'Table3.B(b)'!X24</f>
        <v>NA</v>
      </c>
      <c r="F27" s="2942"/>
      <c r="G27" s="2942"/>
      <c r="H27" s="2944" t="s">
        <v>2154</v>
      </c>
      <c r="I27" s="2931"/>
      <c r="J27" s="2934">
        <f t="shared" si="2"/>
        <v>1545.8631818099996</v>
      </c>
    </row>
    <row r="28" spans="2:10" ht="18" customHeight="1" x14ac:dyDescent="0.2">
      <c r="B28" s="228" t="s">
        <v>706</v>
      </c>
      <c r="C28" s="2936"/>
      <c r="D28" s="2920">
        <f>'Table3.B(a)'!K27</f>
        <v>60.165635150031157</v>
      </c>
      <c r="E28" s="2920">
        <f>'Table3.B(b)'!X27</f>
        <v>6.5209707687303373E-2</v>
      </c>
      <c r="F28" s="2942"/>
      <c r="G28" s="2942"/>
      <c r="H28" s="2944" t="s">
        <v>2154</v>
      </c>
      <c r="I28" s="2931"/>
      <c r="J28" s="2934">
        <f t="shared" si="2"/>
        <v>1701.9183567380078</v>
      </c>
    </row>
    <row r="29" spans="2:10" ht="18" customHeight="1" x14ac:dyDescent="0.2">
      <c r="B29" s="228" t="s">
        <v>707</v>
      </c>
      <c r="C29" s="2936"/>
      <c r="D29" s="2920">
        <f>'Table3.B(a)'!K30</f>
        <v>3.0653607018688493</v>
      </c>
      <c r="E29" s="2920">
        <f>'Table3.B(b)'!X30</f>
        <v>0.18391493278608428</v>
      </c>
      <c r="F29" s="2942"/>
      <c r="G29" s="2942"/>
      <c r="H29" s="2944" t="s">
        <v>2154</v>
      </c>
      <c r="I29" s="2931"/>
      <c r="J29" s="2934">
        <f t="shared" si="2"/>
        <v>134.56755684064012</v>
      </c>
    </row>
    <row r="30" spans="2:10" ht="18" customHeight="1" thickBot="1" x14ac:dyDescent="0.25">
      <c r="B30" s="1297" t="s">
        <v>708</v>
      </c>
      <c r="C30" s="2945"/>
      <c r="D30" s="2946"/>
      <c r="E30" s="2947">
        <f>SUM('Table3.B(b)'!Y46:Z46)</f>
        <v>0.21650170667428581</v>
      </c>
      <c r="F30" s="2948"/>
      <c r="G30" s="2948"/>
      <c r="H30" s="2949"/>
      <c r="I30" s="2950"/>
      <c r="J30" s="2934">
        <f t="shared" si="2"/>
        <v>57.372952268685736</v>
      </c>
    </row>
    <row r="31" spans="2:10" ht="18" customHeight="1" thickBot="1" x14ac:dyDescent="0.25">
      <c r="B31" s="2639" t="s">
        <v>709</v>
      </c>
      <c r="C31" s="2951"/>
      <c r="D31" s="2952">
        <f>Table3.C!G11</f>
        <v>20.580136832126925</v>
      </c>
      <c r="E31" s="2953"/>
      <c r="F31" s="2953"/>
      <c r="G31" s="2953"/>
      <c r="H31" s="2954" t="s">
        <v>2154</v>
      </c>
      <c r="I31" s="2955"/>
      <c r="J31" s="2956">
        <f t="shared" si="2"/>
        <v>576.2438312995539</v>
      </c>
    </row>
    <row r="32" spans="2:10" ht="18" customHeight="1" x14ac:dyDescent="0.2">
      <c r="B32" s="2638" t="s">
        <v>2020</v>
      </c>
      <c r="C32" s="2957"/>
      <c r="D32" s="2958" t="s">
        <v>2154</v>
      </c>
      <c r="E32" s="2958">
        <f>IF(SUM(E33,E41)=0,"NO",SUM(E33,E41))</f>
        <v>39.066836968095018</v>
      </c>
      <c r="F32" s="2958" t="str">
        <f>IF(SUM(F33,F41)=0,"NO",SUM(F33,F41))</f>
        <v>NO</v>
      </c>
      <c r="G32" s="2958" t="str">
        <f>IF(SUM(G33,G41)=0,"NO",SUM(G33,G41))</f>
        <v>NO</v>
      </c>
      <c r="H32" s="2958" t="str">
        <f>IF(SUM(H33,H41)=0,"NO",SUM(H33,H41))</f>
        <v>NO</v>
      </c>
      <c r="I32" s="2959"/>
      <c r="J32" s="2960">
        <f t="shared" si="2"/>
        <v>10352.71179654518</v>
      </c>
    </row>
    <row r="33" spans="2:10" ht="18" customHeight="1" x14ac:dyDescent="0.2">
      <c r="B33" s="228" t="s">
        <v>710</v>
      </c>
      <c r="C33" s="2961"/>
      <c r="D33" s="2962" t="s">
        <v>2154</v>
      </c>
      <c r="E33" s="2962">
        <f>IF(SUM(E34:E40)=0,"NO",SUM(E34:E40))</f>
        <v>29.428172098552427</v>
      </c>
      <c r="F33" s="2962" t="str">
        <f>IF(SUM(F34:F40)=0,"NO",SUM(F34:F40))</f>
        <v>NO</v>
      </c>
      <c r="G33" s="2962" t="str">
        <f>IF(SUM(G34:G40)=0,"NO",SUM(G34:G40))</f>
        <v>NO</v>
      </c>
      <c r="H33" s="2962" t="str">
        <f>IF(SUM(H34:H40)=0,"NO",SUM(H34:H40))</f>
        <v>NO</v>
      </c>
      <c r="I33" s="2931"/>
      <c r="J33" s="2963">
        <f t="shared" si="2"/>
        <v>7798.4656061163932</v>
      </c>
    </row>
    <row r="34" spans="2:10" ht="18" customHeight="1" x14ac:dyDescent="0.2">
      <c r="B34" s="232" t="s">
        <v>711</v>
      </c>
      <c r="C34" s="2961"/>
      <c r="D34" s="2905" t="s">
        <v>2154</v>
      </c>
      <c r="E34" s="2962">
        <f>Table3.D!F11</f>
        <v>4.2400371489422231</v>
      </c>
      <c r="F34" s="2964" t="s">
        <v>2147</v>
      </c>
      <c r="G34" s="2964" t="s">
        <v>2147</v>
      </c>
      <c r="H34" s="2964" t="s">
        <v>2147</v>
      </c>
      <c r="I34" s="2931"/>
      <c r="J34" s="2963">
        <f t="shared" si="2"/>
        <v>1123.6098444696891</v>
      </c>
    </row>
    <row r="35" spans="2:10" ht="18" customHeight="1" x14ac:dyDescent="0.2">
      <c r="B35" s="232" t="s">
        <v>712</v>
      </c>
      <c r="C35" s="2961"/>
      <c r="D35" s="2905" t="s">
        <v>2154</v>
      </c>
      <c r="E35" s="2962">
        <f>Table3.D!F12</f>
        <v>0.95231977323001105</v>
      </c>
      <c r="F35" s="2964" t="s">
        <v>2147</v>
      </c>
      <c r="G35" s="2964" t="s">
        <v>2147</v>
      </c>
      <c r="H35" s="2965" t="s">
        <v>2147</v>
      </c>
      <c r="I35" s="2931"/>
      <c r="J35" s="2963">
        <f t="shared" si="2"/>
        <v>252.36473990595292</v>
      </c>
    </row>
    <row r="36" spans="2:10" ht="18" customHeight="1" x14ac:dyDescent="0.2">
      <c r="B36" s="232" t="s">
        <v>713</v>
      </c>
      <c r="C36" s="2961"/>
      <c r="D36" s="2905" t="s">
        <v>2154</v>
      </c>
      <c r="E36" s="2962">
        <f>Table3.D!F16</f>
        <v>13.631095333769663</v>
      </c>
      <c r="F36" s="2964" t="s">
        <v>2147</v>
      </c>
      <c r="G36" s="2964" t="s">
        <v>2147</v>
      </c>
      <c r="H36" s="2965" t="s">
        <v>2147</v>
      </c>
      <c r="I36" s="2931"/>
      <c r="J36" s="2963">
        <f t="shared" si="2"/>
        <v>3612.2402634489608</v>
      </c>
    </row>
    <row r="37" spans="2:10" ht="18" customHeight="1" x14ac:dyDescent="0.2">
      <c r="B37" s="232" t="s">
        <v>714</v>
      </c>
      <c r="C37" s="2961"/>
      <c r="D37" s="2905" t="s">
        <v>2154</v>
      </c>
      <c r="E37" s="2962">
        <f>Table3.D!F17</f>
        <v>9.1149196053307548</v>
      </c>
      <c r="F37" s="2964" t="s">
        <v>2147</v>
      </c>
      <c r="G37" s="2964" t="s">
        <v>2147</v>
      </c>
      <c r="H37" s="2965" t="s">
        <v>2147</v>
      </c>
      <c r="I37" s="2931"/>
      <c r="J37" s="2963">
        <f t="shared" si="2"/>
        <v>2415.4536954126502</v>
      </c>
    </row>
    <row r="38" spans="2:10" ht="18" customHeight="1" x14ac:dyDescent="0.2">
      <c r="B38" s="1705" t="s">
        <v>715</v>
      </c>
      <c r="C38" s="2961"/>
      <c r="D38" s="2905" t="s">
        <v>2154</v>
      </c>
      <c r="E38" s="2962">
        <f>Table3.D!F18</f>
        <v>1.4018002372797744</v>
      </c>
      <c r="F38" s="2964" t="s">
        <v>2147</v>
      </c>
      <c r="G38" s="2964" t="s">
        <v>2147</v>
      </c>
      <c r="H38" s="2965" t="s">
        <v>2147</v>
      </c>
      <c r="I38" s="2931"/>
      <c r="J38" s="2963">
        <f t="shared" si="2"/>
        <v>371.47706287914025</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9.6386648695425929</v>
      </c>
      <c r="F41" s="2969" t="s">
        <v>2147</v>
      </c>
      <c r="G41" s="2969" t="s">
        <v>2147</v>
      </c>
      <c r="H41" s="2970" t="s">
        <v>2147</v>
      </c>
      <c r="I41" s="2971"/>
      <c r="J41" s="2972">
        <f t="shared" si="2"/>
        <v>2554.246190428787</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10.628463273415008</v>
      </c>
      <c r="E43" s="2979">
        <f>SUM(Table3.F!J10,Table3.F!J20,Table3.F!J23,Table3.F!J26:J27)</f>
        <v>0.43733925439717408</v>
      </c>
      <c r="F43" s="2909">
        <v>25.267327736104672</v>
      </c>
      <c r="G43" s="2909">
        <v>414.51006766318534</v>
      </c>
      <c r="H43" s="2910">
        <v>24.179753947019147</v>
      </c>
      <c r="I43" s="2980" t="s">
        <v>2146</v>
      </c>
      <c r="J43" s="2981">
        <f t="shared" si="2"/>
        <v>413.49187407087135</v>
      </c>
    </row>
    <row r="44" spans="2:10" ht="18" customHeight="1" thickBot="1" x14ac:dyDescent="0.25">
      <c r="B44" s="2641" t="s">
        <v>721</v>
      </c>
      <c r="C44" s="2982">
        <f>'Table3.G-J'!E10</f>
        <v>316.7677447778139</v>
      </c>
      <c r="D44" s="2983"/>
      <c r="E44" s="2983"/>
      <c r="F44" s="2983"/>
      <c r="G44" s="2983"/>
      <c r="H44" s="2984"/>
      <c r="I44" s="2985"/>
      <c r="J44" s="2981">
        <f t="shared" si="2"/>
        <v>316.7677447778139</v>
      </c>
    </row>
    <row r="45" spans="2:10" ht="18" customHeight="1" thickBot="1" x14ac:dyDescent="0.25">
      <c r="B45" s="2641" t="s">
        <v>722</v>
      </c>
      <c r="C45" s="2982">
        <f>'Table3.G-J'!E13</f>
        <v>373.04347826086962</v>
      </c>
      <c r="D45" s="2983"/>
      <c r="E45" s="2983"/>
      <c r="F45" s="2983"/>
      <c r="G45" s="2983"/>
      <c r="H45" s="2984"/>
      <c r="I45" s="2985"/>
      <c r="J45" s="2981">
        <f t="shared" si="2"/>
        <v>373.04347826086962</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25326.345000000001</v>
      </c>
      <c r="D10" s="3241"/>
      <c r="E10" s="3241"/>
      <c r="F10" s="3131">
        <f>IF(SUM(C10)=0,"NA",G10*1000/C10)</f>
        <v>55.090374395045387</v>
      </c>
      <c r="G10" s="3242">
        <f>G15</f>
        <v>1395.2378281080858</v>
      </c>
      <c r="I10" s="275" t="s">
        <v>738</v>
      </c>
      <c r="J10" s="276" t="s">
        <v>739</v>
      </c>
      <c r="K10" s="691">
        <v>442.26810534792799</v>
      </c>
      <c r="L10" s="691">
        <v>360.94766660543502</v>
      </c>
      <c r="M10" s="3147">
        <v>541.1875</v>
      </c>
      <c r="N10" s="3147">
        <v>47.260543456350703</v>
      </c>
      <c r="O10" s="2911">
        <v>53.633777394094302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11.420900067202201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25326.345000000001</v>
      </c>
      <c r="D15" s="3248"/>
      <c r="E15" s="3248"/>
      <c r="F15" s="3131">
        <f>IF(SUM(C15)=0,"NA",G15*1000/C15)</f>
        <v>55.090374395045387</v>
      </c>
      <c r="G15" s="3249">
        <f>G20</f>
        <v>1395.2378281080858</v>
      </c>
      <c r="I15" s="1777" t="s">
        <v>748</v>
      </c>
      <c r="J15" s="1849" t="s">
        <v>297</v>
      </c>
      <c r="K15" s="3445">
        <v>75</v>
      </c>
      <c r="L15" s="3445">
        <v>58.037148819956002</v>
      </c>
      <c r="M15" s="1560">
        <v>80</v>
      </c>
      <c r="N15" s="1560">
        <v>66.217626704032398</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1395.2378281080858</v>
      </c>
      <c r="I20" s="72"/>
      <c r="J20" s="288"/>
      <c r="K20" s="288"/>
      <c r="L20" s="288"/>
      <c r="M20" s="288"/>
      <c r="N20" s="288"/>
      <c r="O20" s="288"/>
    </row>
    <row r="21" spans="2:15" ht="18" customHeight="1" x14ac:dyDescent="0.2">
      <c r="B21" s="2633" t="s">
        <v>2196</v>
      </c>
      <c r="C21" s="3272">
        <v>2500.451</v>
      </c>
      <c r="D21" s="3257">
        <v>212.181493435617</v>
      </c>
      <c r="E21" s="3257">
        <v>6.1514814498282799</v>
      </c>
      <c r="F21" s="3131">
        <f t="shared" ref="F21:F30" si="0">IF(SUM(C21)=0,"NA",G21*1000/C21)</f>
        <v>86.274753477196384</v>
      </c>
      <c r="G21" s="3239">
        <v>215.72579360680919</v>
      </c>
      <c r="I21" s="72"/>
      <c r="J21" s="288"/>
      <c r="K21" s="288"/>
      <c r="L21" s="288"/>
      <c r="M21" s="288"/>
      <c r="N21" s="288"/>
      <c r="O21" s="288"/>
    </row>
    <row r="22" spans="2:15" ht="18" customHeight="1" x14ac:dyDescent="0.2">
      <c r="B22" s="2633" t="s">
        <v>2197</v>
      </c>
      <c r="C22" s="3272">
        <v>22446.168000000001</v>
      </c>
      <c r="D22" s="3257">
        <v>124.94304799295701</v>
      </c>
      <c r="E22" s="3257">
        <v>6.21225</v>
      </c>
      <c r="F22" s="3131">
        <f t="shared" si="0"/>
        <v>51.304739851702578</v>
      </c>
      <c r="G22" s="3239">
        <v>1151.5948099076113</v>
      </c>
      <c r="I22" s="72"/>
      <c r="J22" s="288"/>
      <c r="K22" s="288"/>
      <c r="L22" s="288"/>
      <c r="M22" s="288"/>
      <c r="N22" s="288"/>
      <c r="O22" s="288"/>
    </row>
    <row r="23" spans="2:15" ht="18" customHeight="1" x14ac:dyDescent="0.2">
      <c r="B23" s="2633" t="s">
        <v>2198</v>
      </c>
      <c r="C23" s="3272">
        <v>379.726</v>
      </c>
      <c r="D23" s="3257">
        <v>207.74594972092299</v>
      </c>
      <c r="E23" s="3257">
        <v>5.3539319527033298</v>
      </c>
      <c r="F23" s="3131">
        <f t="shared" si="0"/>
        <v>73.519391860618285</v>
      </c>
      <c r="G23" s="3239">
        <v>27.917224593665139</v>
      </c>
      <c r="I23" s="72"/>
      <c r="J23" s="288"/>
      <c r="K23" s="288"/>
      <c r="L23" s="288"/>
      <c r="M23" s="288"/>
      <c r="N23" s="288"/>
      <c r="O23" s="288"/>
    </row>
    <row r="24" spans="2:15" ht="18" customHeight="1" x14ac:dyDescent="0.2">
      <c r="B24" s="287" t="s">
        <v>753</v>
      </c>
      <c r="C24" s="2635">
        <f>C25</f>
        <v>150960.821</v>
      </c>
      <c r="D24" s="3258"/>
      <c r="E24" s="3258"/>
      <c r="F24" s="3131">
        <f t="shared" si="0"/>
        <v>7.06993159645942</v>
      </c>
      <c r="G24" s="3128">
        <f>G25</f>
        <v>1067.2826782153547</v>
      </c>
      <c r="I24" s="72"/>
    </row>
    <row r="25" spans="2:15" ht="18" customHeight="1" x14ac:dyDescent="0.2">
      <c r="B25" s="282" t="s">
        <v>754</v>
      </c>
      <c r="C25" s="2635">
        <f>C26</f>
        <v>150960.821</v>
      </c>
      <c r="D25" s="3258"/>
      <c r="E25" s="3258"/>
      <c r="F25" s="3131">
        <f t="shared" si="0"/>
        <v>7.06993159645942</v>
      </c>
      <c r="G25" s="3128">
        <f>G26</f>
        <v>1067.2826782153547</v>
      </c>
    </row>
    <row r="26" spans="2:15" ht="18" customHeight="1" x14ac:dyDescent="0.2">
      <c r="B26" s="2634" t="s">
        <v>2201</v>
      </c>
      <c r="C26" s="289">
        <v>150960.821</v>
      </c>
      <c r="D26" s="3259">
        <v>17.4111719158591</v>
      </c>
      <c r="E26" s="3259">
        <v>6.1431447276289797</v>
      </c>
      <c r="F26" s="3131">
        <f t="shared" si="0"/>
        <v>7.06993159645942</v>
      </c>
      <c r="G26" s="3240">
        <v>1067.2826782153547</v>
      </c>
    </row>
    <row r="27" spans="2:15" ht="18" customHeight="1" x14ac:dyDescent="0.2">
      <c r="B27" s="287" t="s">
        <v>755</v>
      </c>
      <c r="C27" s="2635">
        <f>C28</f>
        <v>2618.8270000000002</v>
      </c>
      <c r="D27" s="3258"/>
      <c r="E27" s="3258"/>
      <c r="F27" s="3131">
        <f t="shared" si="0"/>
        <v>1.4384307038834989</v>
      </c>
      <c r="G27" s="3128">
        <f>G28</f>
        <v>3.7670011649591126</v>
      </c>
    </row>
    <row r="28" spans="2:15" ht="18" customHeight="1" x14ac:dyDescent="0.2">
      <c r="B28" s="282" t="s">
        <v>756</v>
      </c>
      <c r="C28" s="2635">
        <f>C29</f>
        <v>2618.8270000000002</v>
      </c>
      <c r="D28" s="3258"/>
      <c r="E28" s="3258"/>
      <c r="F28" s="3131">
        <f t="shared" si="0"/>
        <v>1.4384307038834989</v>
      </c>
      <c r="G28" s="3128">
        <f>G29</f>
        <v>3.7670011649591126</v>
      </c>
    </row>
    <row r="29" spans="2:15" ht="18" customHeight="1" x14ac:dyDescent="0.2">
      <c r="B29" s="2634" t="s">
        <v>817</v>
      </c>
      <c r="C29" s="289">
        <v>2618.8270000000002</v>
      </c>
      <c r="D29" s="3259">
        <v>31.088122484033899</v>
      </c>
      <c r="E29" s="3259">
        <v>0.7</v>
      </c>
      <c r="F29" s="3131">
        <f t="shared" si="0"/>
        <v>1.4384307038834989</v>
      </c>
      <c r="G29" s="3240">
        <v>3.7670011649591126</v>
      </c>
    </row>
    <row r="30" spans="2:15" ht="18" customHeight="1" x14ac:dyDescent="0.2">
      <c r="B30" s="287" t="s">
        <v>757</v>
      </c>
      <c r="C30" s="2635">
        <f>SUM(C32:C39)</f>
        <v>42311.978999999999</v>
      </c>
      <c r="D30" s="3258"/>
      <c r="E30" s="3258"/>
      <c r="F30" s="3131">
        <f t="shared" si="0"/>
        <v>0.26713406699790615</v>
      </c>
      <c r="G30" s="3128">
        <f>SUM(G32:G39)</f>
        <v>11.302971032999999</v>
      </c>
    </row>
    <row r="31" spans="2:15" ht="18" customHeight="1" x14ac:dyDescent="0.2">
      <c r="B31" s="1305" t="s">
        <v>345</v>
      </c>
      <c r="C31" s="3273"/>
      <c r="D31" s="3261"/>
      <c r="E31" s="3261"/>
      <c r="F31" s="3261"/>
      <c r="G31" s="3262"/>
    </row>
    <row r="32" spans="2:15" ht="18" customHeight="1" x14ac:dyDescent="0.2">
      <c r="B32" s="286" t="s">
        <v>758</v>
      </c>
      <c r="C32" s="3267">
        <v>12.992000000000001</v>
      </c>
      <c r="D32" s="3263" t="s">
        <v>2147</v>
      </c>
      <c r="E32" s="3263" t="s">
        <v>2147</v>
      </c>
      <c r="F32" s="3131">
        <f t="shared" ref="F32:F40" si="1">IF(SUM(C32)=0,"NA",G32*1000/C32)</f>
        <v>75.999999999999986</v>
      </c>
      <c r="G32" s="3239">
        <v>0.98739199999999994</v>
      </c>
    </row>
    <row r="33" spans="2:7" ht="18" customHeight="1" x14ac:dyDescent="0.2">
      <c r="B33" s="286" t="s">
        <v>759</v>
      </c>
      <c r="C33" s="3267">
        <v>1.746</v>
      </c>
      <c r="D33" s="3263" t="s">
        <v>2147</v>
      </c>
      <c r="E33" s="3263" t="s">
        <v>2147</v>
      </c>
      <c r="F33" s="3131">
        <f t="shared" si="1"/>
        <v>46.000105383734237</v>
      </c>
      <c r="G33" s="3239">
        <v>8.0316183999999985E-2</v>
      </c>
    </row>
    <row r="34" spans="2:7" ht="18" customHeight="1" x14ac:dyDescent="0.2">
      <c r="B34" s="286" t="s">
        <v>760</v>
      </c>
      <c r="C34" s="3267">
        <v>101.672</v>
      </c>
      <c r="D34" s="3263" t="s">
        <v>2147</v>
      </c>
      <c r="E34" s="3263" t="s">
        <v>2147</v>
      </c>
      <c r="F34" s="3131">
        <f t="shared" si="1"/>
        <v>20.000039145487449</v>
      </c>
      <c r="G34" s="3239">
        <v>2.0334439799999999</v>
      </c>
    </row>
    <row r="35" spans="2:7" ht="18" customHeight="1" x14ac:dyDescent="0.2">
      <c r="B35" s="286" t="s">
        <v>761</v>
      </c>
      <c r="C35" s="3267">
        <v>411.322</v>
      </c>
      <c r="D35" s="3263" t="s">
        <v>2147</v>
      </c>
      <c r="E35" s="3263" t="s">
        <v>2147</v>
      </c>
      <c r="F35" s="3131">
        <f t="shared" si="1"/>
        <v>5.0000024676530792</v>
      </c>
      <c r="G35" s="3239">
        <v>2.0566110150000001</v>
      </c>
    </row>
    <row r="36" spans="2:7" ht="18" customHeight="1" x14ac:dyDescent="0.2">
      <c r="B36" s="286" t="s">
        <v>762</v>
      </c>
      <c r="C36" s="3267">
        <v>334.767</v>
      </c>
      <c r="D36" s="3263" t="s">
        <v>2147</v>
      </c>
      <c r="E36" s="3263" t="s">
        <v>2147</v>
      </c>
      <c r="F36" s="3131">
        <f t="shared" si="1"/>
        <v>18.000006882398797</v>
      </c>
      <c r="G36" s="3239">
        <v>6.0258083039999981</v>
      </c>
    </row>
    <row r="37" spans="2:7" ht="18" customHeight="1" x14ac:dyDescent="0.2">
      <c r="B37" s="286" t="s">
        <v>763</v>
      </c>
      <c r="C37" s="3267">
        <v>4.01</v>
      </c>
      <c r="D37" s="3263" t="s">
        <v>2147</v>
      </c>
      <c r="E37" s="3263" t="s">
        <v>2147</v>
      </c>
      <c r="F37" s="3131">
        <f t="shared" si="1"/>
        <v>9.9993142144638387</v>
      </c>
      <c r="G37" s="3239">
        <v>4.0097249999999987E-2</v>
      </c>
    </row>
    <row r="38" spans="2:7" ht="18" customHeight="1" x14ac:dyDescent="0.2">
      <c r="B38" s="286" t="s">
        <v>764</v>
      </c>
      <c r="C38" s="3274">
        <v>41430.120000000003</v>
      </c>
      <c r="D38" s="3263" t="s">
        <v>2147</v>
      </c>
      <c r="E38" s="3263" t="s">
        <v>2147</v>
      </c>
      <c r="F38" s="3131" t="s">
        <v>2147</v>
      </c>
      <c r="G38" s="3264" t="s">
        <v>2154</v>
      </c>
    </row>
    <row r="39" spans="2:7" ht="18" customHeight="1" x14ac:dyDescent="0.2">
      <c r="B39" s="286" t="s">
        <v>765</v>
      </c>
      <c r="C39" s="2635">
        <f>SUM(C40:C44)</f>
        <v>15.350000000000001</v>
      </c>
      <c r="D39" s="3258"/>
      <c r="E39" s="3258"/>
      <c r="F39" s="3131">
        <f t="shared" si="1"/>
        <v>5.1662736156351787</v>
      </c>
      <c r="G39" s="3128">
        <f>SUM(G40:G44)</f>
        <v>7.9302300000000006E-2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14.499000000000001</v>
      </c>
      <c r="D42" s="2967" t="s">
        <v>2147</v>
      </c>
      <c r="E42" s="2967" t="s">
        <v>2147</v>
      </c>
      <c r="F42" s="3131">
        <f t="shared" si="2"/>
        <v>5.0000344851369061</v>
      </c>
      <c r="G42" s="3201">
        <v>7.2495500000000004E-2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0.85099999999999998</v>
      </c>
      <c r="D44" s="3258"/>
      <c r="E44" s="3258"/>
      <c r="F44" s="3131">
        <f>IF(SUM(C44)=0,"NA",G44*1000/C44)</f>
        <v>7.9985898942420679</v>
      </c>
      <c r="G44" s="3128">
        <f>G45</f>
        <v>6.8068E-3</v>
      </c>
    </row>
    <row r="45" spans="2:7" ht="18" customHeight="1" thickBot="1" x14ac:dyDescent="0.25">
      <c r="B45" s="2636" t="s">
        <v>2199</v>
      </c>
      <c r="C45" s="3276">
        <v>0.85099999999999998</v>
      </c>
      <c r="D45" s="3137" t="s">
        <v>2147</v>
      </c>
      <c r="E45" s="3137" t="s">
        <v>2147</v>
      </c>
      <c r="F45" s="3265">
        <f>IF(SUM(C45)=0,"NA",G45*1000/C45)</f>
        <v>7.9985898942420679</v>
      </c>
      <c r="G45" s="3203">
        <v>6.8068E-3</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25326.345000000001</v>
      </c>
      <c r="D10" s="2942"/>
      <c r="E10" s="2942"/>
      <c r="F10" s="2942"/>
      <c r="G10" s="2942"/>
      <c r="H10" s="2942"/>
      <c r="I10" s="3279"/>
      <c r="J10" s="3280">
        <f>IF(SUM(C10)=0,"NA",K10*1000/C10)</f>
        <v>4.7681396764346902</v>
      </c>
      <c r="K10" s="3281">
        <f>K15</f>
        <v>120.75955045357334</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25326.345000000001</v>
      </c>
      <c r="D15" s="3293"/>
      <c r="E15" s="3293"/>
      <c r="F15" s="3293"/>
      <c r="G15" s="3293"/>
      <c r="H15" s="3293"/>
      <c r="I15" s="3288"/>
      <c r="J15" s="3287">
        <f>IF(SUM(C15)=0,"NA",K15*1000/C15)</f>
        <v>4.7681396764346902</v>
      </c>
      <c r="K15" s="3281">
        <f>SUM(K17:K20)</f>
        <v>120.75955045357334</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25326.345000000001</v>
      </c>
      <c r="D20" s="3293"/>
      <c r="E20" s="3293"/>
      <c r="F20" s="3293"/>
      <c r="G20" s="3293"/>
      <c r="H20" s="3293"/>
      <c r="I20" s="3288"/>
      <c r="J20" s="3301">
        <f>IF(SUM(C20)=0,"NA",K20*1000/C20)</f>
        <v>4.7681396764346902</v>
      </c>
      <c r="K20" s="3281">
        <f>SUM(K21:K23)</f>
        <v>120.75955045357334</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2500.451</v>
      </c>
      <c r="D21" s="3325">
        <v>6.1825567121483402</v>
      </c>
      <c r="E21" s="3325">
        <v>93.749055631960317</v>
      </c>
      <c r="F21" s="3325">
        <v>6.8387655891339993E-2</v>
      </c>
      <c r="G21" s="3298">
        <f>Table3.A!K10</f>
        <v>442.26810534792799</v>
      </c>
      <c r="H21" s="3299">
        <v>3.04793612595157</v>
      </c>
      <c r="I21" s="3300">
        <v>0.24</v>
      </c>
      <c r="J21" s="3301">
        <f>IF(SUM(C21)=0,"NA",K21*1000/C21)</f>
        <v>7.4462902591497251</v>
      </c>
      <c r="K21" s="3277">
        <v>18.61908392478119</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22446.168000000001</v>
      </c>
      <c r="D22" s="3325" t="s">
        <v>2146</v>
      </c>
      <c r="E22" s="3325">
        <v>86.125427239288499</v>
      </c>
      <c r="F22" s="3325">
        <v>13.8745727607115</v>
      </c>
      <c r="G22" s="3298">
        <f>Table3.A!L10</f>
        <v>360.94766660543502</v>
      </c>
      <c r="H22" s="3299" t="s">
        <v>2147</v>
      </c>
      <c r="I22" s="3300" t="s">
        <v>2147</v>
      </c>
      <c r="J22" s="3301">
        <f t="shared" ref="J22:J45" si="0">IF(SUM(C22)=0,"NA",K22*1000/C22)</f>
        <v>4.4927155523183391</v>
      </c>
      <c r="K22" s="3277">
        <v>100.84424806355022</v>
      </c>
      <c r="M22" s="1594" t="s">
        <v>800</v>
      </c>
      <c r="N22" s="4486" t="s">
        <v>2196</v>
      </c>
      <c r="O22" s="1690" t="s">
        <v>802</v>
      </c>
      <c r="P22" s="1691" t="s">
        <v>791</v>
      </c>
      <c r="Q22" s="3774">
        <v>2.9227168952527598</v>
      </c>
      <c r="R22" s="300" t="s">
        <v>2146</v>
      </c>
      <c r="S22" s="3772">
        <v>6.3829989976186203</v>
      </c>
      <c r="T22" s="3772">
        <v>0.86607146438022387</v>
      </c>
      <c r="U22" s="3772" t="s">
        <v>2146</v>
      </c>
      <c r="V22" s="3772" t="s">
        <v>2153</v>
      </c>
      <c r="W22" s="3772" t="s">
        <v>2146</v>
      </c>
      <c r="X22" s="3772">
        <v>89.828212642748397</v>
      </c>
      <c r="Y22" s="301" t="s">
        <v>2146</v>
      </c>
      <c r="Z22" s="301" t="s">
        <v>2146</v>
      </c>
      <c r="AA22" s="301" t="s">
        <v>2146</v>
      </c>
      <c r="AB22" s="1306" t="s">
        <v>2146</v>
      </c>
    </row>
    <row r="23" spans="2:28" s="84" customFormat="1" ht="18" customHeight="1" x14ac:dyDescent="0.2">
      <c r="B23" s="2642" t="s">
        <v>2198</v>
      </c>
      <c r="C23" s="3325">
        <f>Table3.A!C23</f>
        <v>379.726</v>
      </c>
      <c r="D23" s="3325" t="s">
        <v>2146</v>
      </c>
      <c r="E23" s="3325">
        <v>100</v>
      </c>
      <c r="F23" s="3325" t="s">
        <v>2146</v>
      </c>
      <c r="G23" s="3298">
        <f>Table3.A!M10</f>
        <v>541.1875</v>
      </c>
      <c r="H23" s="3299">
        <v>1.81777706005807</v>
      </c>
      <c r="I23" s="3300">
        <v>0.19</v>
      </c>
      <c r="J23" s="3301">
        <f t="shared" si="0"/>
        <v>3.4135625826040727</v>
      </c>
      <c r="K23" s="3277">
        <v>1.2962184652419142</v>
      </c>
      <c r="M23" s="1664" t="s">
        <v>813</v>
      </c>
      <c r="N23" s="4487"/>
      <c r="O23" s="1692" t="s">
        <v>794</v>
      </c>
      <c r="P23" s="1693" t="s">
        <v>792</v>
      </c>
      <c r="Q23" s="3776">
        <v>3.31887938151492</v>
      </c>
      <c r="R23" s="277" t="s">
        <v>2146</v>
      </c>
      <c r="S23" s="691">
        <v>6.0696958558052696</v>
      </c>
      <c r="T23" s="3147">
        <v>1.1288322959918471</v>
      </c>
      <c r="U23" s="3147" t="s">
        <v>2146</v>
      </c>
      <c r="V23" s="3147" t="s">
        <v>2153</v>
      </c>
      <c r="W23" s="3147" t="s">
        <v>2146</v>
      </c>
      <c r="X23" s="3147">
        <v>89.482592466688004</v>
      </c>
      <c r="Y23" s="278" t="s">
        <v>2146</v>
      </c>
      <c r="Z23" s="278" t="s">
        <v>2146</v>
      </c>
      <c r="AA23" s="278" t="s">
        <v>2146</v>
      </c>
      <c r="AB23" s="279" t="s">
        <v>2146</v>
      </c>
    </row>
    <row r="24" spans="2:28" s="84" customFormat="1" ht="18" customHeight="1" thickBot="1" x14ac:dyDescent="0.25">
      <c r="B24" s="1643" t="s">
        <v>811</v>
      </c>
      <c r="C24" s="4184">
        <f>C25</f>
        <v>150960.821</v>
      </c>
      <c r="D24" s="3303"/>
      <c r="E24" s="3303"/>
      <c r="F24" s="3303"/>
      <c r="G24" s="3303"/>
      <c r="H24" s="3303"/>
      <c r="I24" s="3304"/>
      <c r="J24" s="3301">
        <f t="shared" si="0"/>
        <v>0.36572005229328425</v>
      </c>
      <c r="K24" s="3281">
        <f>K25</f>
        <v>55.209399350357124</v>
      </c>
      <c r="M24" s="1656"/>
      <c r="N24" s="4487"/>
      <c r="O24" s="1694"/>
      <c r="P24" s="1693" t="s">
        <v>793</v>
      </c>
      <c r="Q24" s="4208">
        <v>1.7739522684961699</v>
      </c>
      <c r="R24" s="304" t="s">
        <v>2146</v>
      </c>
      <c r="S24" s="1559">
        <v>8.0980921056850299</v>
      </c>
      <c r="T24" s="1560">
        <v>1.5699477576191141</v>
      </c>
      <c r="U24" s="1560" t="s">
        <v>2146</v>
      </c>
      <c r="V24" s="1560" t="s">
        <v>2153</v>
      </c>
      <c r="W24" s="1560" t="s">
        <v>2146</v>
      </c>
      <c r="X24" s="1560">
        <v>88.558007868199695</v>
      </c>
      <c r="Y24" s="305" t="s">
        <v>2146</v>
      </c>
      <c r="Z24" s="305" t="s">
        <v>2146</v>
      </c>
      <c r="AA24" s="305" t="s">
        <v>2146</v>
      </c>
      <c r="AB24" s="442" t="s">
        <v>2146</v>
      </c>
    </row>
    <row r="25" spans="2:28" s="84" customFormat="1" ht="18" customHeight="1" x14ac:dyDescent="0.2">
      <c r="B25" s="1644" t="s">
        <v>812</v>
      </c>
      <c r="C25" s="4184">
        <f>C26</f>
        <v>150960.821</v>
      </c>
      <c r="D25" s="3250"/>
      <c r="E25" s="3250"/>
      <c r="F25" s="3250"/>
      <c r="G25" s="3250"/>
      <c r="H25" s="3250"/>
      <c r="I25" s="3260"/>
      <c r="J25" s="3301">
        <f t="shared" si="0"/>
        <v>0.36572005229328425</v>
      </c>
      <c r="K25" s="3281">
        <f>K26</f>
        <v>55.209399350357124</v>
      </c>
      <c r="M25" s="1656"/>
      <c r="N25" s="4487"/>
      <c r="O25" s="1695" t="s">
        <v>2026</v>
      </c>
      <c r="P25" s="1691" t="s">
        <v>791</v>
      </c>
      <c r="Q25" s="4209">
        <v>0.70004357817984997</v>
      </c>
      <c r="R25" s="1308" t="s">
        <v>2146</v>
      </c>
      <c r="S25" s="692">
        <v>5.5301305599680002E-2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150960.821</v>
      </c>
      <c r="D26" s="3325" t="s">
        <v>2146</v>
      </c>
      <c r="E26" s="3325">
        <v>100</v>
      </c>
      <c r="F26" s="3325" t="s">
        <v>2146</v>
      </c>
      <c r="G26" s="3305">
        <f>Table3.A!N10</f>
        <v>47.260543456350703</v>
      </c>
      <c r="H26" s="3033" t="s">
        <v>2147</v>
      </c>
      <c r="I26" s="3126" t="s">
        <v>2147</v>
      </c>
      <c r="J26" s="3301">
        <f t="shared" si="0"/>
        <v>0.36572005229328425</v>
      </c>
      <c r="K26" s="3277">
        <v>55.209399350357124</v>
      </c>
      <c r="M26" s="1656"/>
      <c r="N26" s="4487"/>
      <c r="O26" s="1696"/>
      <c r="P26" s="1693" t="s">
        <v>792</v>
      </c>
      <c r="Q26" s="3776">
        <v>0.74551322861288005</v>
      </c>
      <c r="R26" s="277" t="s">
        <v>2146</v>
      </c>
      <c r="S26" s="691">
        <v>0.12176599215849999</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2618.8270000000002</v>
      </c>
      <c r="D27" s="3250"/>
      <c r="E27" s="3250"/>
      <c r="F27" s="3250"/>
      <c r="G27" s="3250"/>
      <c r="H27" s="3250"/>
      <c r="I27" s="3260"/>
      <c r="J27" s="3301">
        <f t="shared" si="0"/>
        <v>22.974268689772618</v>
      </c>
      <c r="K27" s="3281">
        <f>K28</f>
        <v>60.165635150031157</v>
      </c>
      <c r="M27" s="1656"/>
      <c r="N27" s="4488"/>
      <c r="O27" s="1697"/>
      <c r="P27" s="1693" t="s">
        <v>793</v>
      </c>
      <c r="Q27" s="4208">
        <v>0.8</v>
      </c>
      <c r="R27" s="304" t="s">
        <v>2146</v>
      </c>
      <c r="S27" s="1559">
        <v>0.49409638554217</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2618.8270000000002</v>
      </c>
      <c r="D28" s="3250"/>
      <c r="E28" s="3250"/>
      <c r="F28" s="3250"/>
      <c r="G28" s="3250"/>
      <c r="H28" s="3250"/>
      <c r="I28" s="3260"/>
      <c r="J28" s="3301">
        <f t="shared" si="0"/>
        <v>22.974268689772618</v>
      </c>
      <c r="K28" s="3281">
        <f>K29</f>
        <v>60.165635150031157</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2618.8270000000002</v>
      </c>
      <c r="D29" s="3325">
        <v>1.70953381579971</v>
      </c>
      <c r="E29" s="3325">
        <v>98.290466184200284</v>
      </c>
      <c r="F29" s="3325" t="s">
        <v>2146</v>
      </c>
      <c r="G29" s="3305">
        <f>Table3.A!O10</f>
        <v>53.633777394094302</v>
      </c>
      <c r="H29" s="3033">
        <v>0.30160931268174002</v>
      </c>
      <c r="I29" s="3126">
        <v>0.45</v>
      </c>
      <c r="J29" s="3301">
        <f t="shared" si="0"/>
        <v>22.974268689772618</v>
      </c>
      <c r="K29" s="3277">
        <v>60.165635150031157</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42311.978999999999</v>
      </c>
      <c r="D30" s="3250"/>
      <c r="E30" s="3250"/>
      <c r="F30" s="3250"/>
      <c r="G30" s="3250"/>
      <c r="H30" s="3250"/>
      <c r="I30" s="3260"/>
      <c r="J30" s="3301">
        <f t="shared" si="0"/>
        <v>7.2446639800725215E-2</v>
      </c>
      <c r="K30" s="3281">
        <f>SUM(K32:K39)</f>
        <v>3.0653607018688493</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12.992000000000001</v>
      </c>
      <c r="D32" s="3325" t="s">
        <v>2146</v>
      </c>
      <c r="E32" s="3325" t="s">
        <v>2146</v>
      </c>
      <c r="F32" s="3325">
        <v>100</v>
      </c>
      <c r="G32" s="3307" t="s">
        <v>2147</v>
      </c>
      <c r="H32" s="3307" t="s">
        <v>2147</v>
      </c>
      <c r="I32" s="3307" t="s">
        <v>2147</v>
      </c>
      <c r="J32" s="3301">
        <f t="shared" si="0"/>
        <v>11.569996682399509</v>
      </c>
      <c r="K32" s="3277">
        <v>0.15031739689773443</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1.746</v>
      </c>
      <c r="D33" s="3325" t="s">
        <v>2146</v>
      </c>
      <c r="E33" s="3325">
        <v>59.2211701691405</v>
      </c>
      <c r="F33" s="3325">
        <v>40.7788298308595</v>
      </c>
      <c r="G33" s="3307" t="s">
        <v>2147</v>
      </c>
      <c r="H33" s="3307" t="s">
        <v>2147</v>
      </c>
      <c r="I33" s="3307" t="s">
        <v>2147</v>
      </c>
      <c r="J33" s="3287">
        <f t="shared" si="0"/>
        <v>6.4945393952221577</v>
      </c>
      <c r="K33" s="3277">
        <v>1.1339465784057888E-2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101.672</v>
      </c>
      <c r="D34" s="3325" t="s">
        <v>2146</v>
      </c>
      <c r="E34" s="3325">
        <v>100</v>
      </c>
      <c r="F34" s="3325" t="e">
        <v>#VALUE!</v>
      </c>
      <c r="G34" s="3307" t="s">
        <v>2147</v>
      </c>
      <c r="H34" s="3307" t="s">
        <v>2147</v>
      </c>
      <c r="I34" s="3307" t="s">
        <v>2147</v>
      </c>
      <c r="J34" s="3287">
        <f t="shared" si="0"/>
        <v>0.99987821353583428</v>
      </c>
      <c r="K34" s="3277">
        <v>0.10165961772661533</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411.322</v>
      </c>
      <c r="D35" s="3325" t="s">
        <v>2146</v>
      </c>
      <c r="E35" s="3325">
        <v>99.849292842574798</v>
      </c>
      <c r="F35" s="3325">
        <v>0.15070715742519999</v>
      </c>
      <c r="G35" s="3307" t="s">
        <v>2147</v>
      </c>
      <c r="H35" s="3307" t="s">
        <v>2147</v>
      </c>
      <c r="I35" s="3307" t="s">
        <v>2147</v>
      </c>
      <c r="J35" s="3287">
        <f t="shared" si="0"/>
        <v>0.35886132833212631</v>
      </c>
      <c r="K35" s="3277">
        <v>0.14760755929222685</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334.767</v>
      </c>
      <c r="D36" s="3325" t="s">
        <v>2146</v>
      </c>
      <c r="E36" s="3325">
        <v>95.416076813850125</v>
      </c>
      <c r="F36" s="3325">
        <v>4.5839231861498702</v>
      </c>
      <c r="G36" s="3307" t="s">
        <v>2147</v>
      </c>
      <c r="H36" s="3307" t="s">
        <v>2147</v>
      </c>
      <c r="I36" s="3307" t="s">
        <v>2147</v>
      </c>
      <c r="J36" s="3287">
        <f t="shared" si="0"/>
        <v>3.3924891485445823</v>
      </c>
      <c r="K36" s="3277">
        <v>1.1356934147908242</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4.01</v>
      </c>
      <c r="D37" s="3325" t="s">
        <v>2146</v>
      </c>
      <c r="E37" s="3325">
        <v>98.389390793632984</v>
      </c>
      <c r="F37" s="3325">
        <v>1.6106092063670201</v>
      </c>
      <c r="G37" s="3307" t="s">
        <v>2147</v>
      </c>
      <c r="H37" s="3307" t="s">
        <v>2147</v>
      </c>
      <c r="I37" s="3307" t="s">
        <v>2147</v>
      </c>
      <c r="J37" s="3287">
        <f t="shared" si="0"/>
        <v>1.0458162425610713</v>
      </c>
      <c r="K37" s="3277">
        <v>4.1937231326698958E-3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41430.120000000003</v>
      </c>
      <c r="D38" s="3325">
        <v>1.2869353429649999</v>
      </c>
      <c r="E38" s="3325">
        <v>98.713064657035005</v>
      </c>
      <c r="F38" s="3325" t="s">
        <v>2146</v>
      </c>
      <c r="G38" s="3307" t="s">
        <v>2147</v>
      </c>
      <c r="H38" s="3307" t="s">
        <v>2147</v>
      </c>
      <c r="I38" s="3307" t="s">
        <v>2147</v>
      </c>
      <c r="J38" s="3287">
        <f t="shared" si="0"/>
        <v>3.64243367139266E-2</v>
      </c>
      <c r="K38" s="3277">
        <v>1.509064640978385</v>
      </c>
      <c r="M38" s="1656"/>
      <c r="N38" s="4487"/>
      <c r="O38" s="1696"/>
      <c r="P38" s="1693" t="s">
        <v>792</v>
      </c>
      <c r="Q38" s="3776">
        <v>0.75771599999999995</v>
      </c>
      <c r="R38" s="277" t="s">
        <v>2146</v>
      </c>
      <c r="S38" s="277" t="s">
        <v>2146</v>
      </c>
      <c r="T38" s="3147" t="s">
        <v>2153</v>
      </c>
      <c r="U38" s="3147" t="s">
        <v>2146</v>
      </c>
      <c r="V38" s="3147">
        <v>1.7697637795275591E-2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15.350000000000001</v>
      </c>
      <c r="D39" s="3294"/>
      <c r="E39" s="3294"/>
      <c r="F39" s="3294"/>
      <c r="G39" s="3294"/>
      <c r="H39" s="3294"/>
      <c r="I39" s="3295"/>
      <c r="J39" s="3287">
        <f t="shared" si="0"/>
        <v>0.35732138542903724</v>
      </c>
      <c r="K39" s="3281">
        <f>SUM(K40:K44)</f>
        <v>5.484883266335722E-3</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87.8</v>
      </c>
      <c r="R40" s="300" t="s">
        <v>2146</v>
      </c>
      <c r="S40" s="300" t="s">
        <v>2146</v>
      </c>
      <c r="T40" s="3773" t="s">
        <v>2153</v>
      </c>
      <c r="U40" s="3773" t="s">
        <v>2153</v>
      </c>
      <c r="V40" s="3773">
        <v>8.5500000000000007</v>
      </c>
      <c r="W40" s="3773" t="s">
        <v>2153</v>
      </c>
      <c r="X40" s="301" t="s">
        <v>2146</v>
      </c>
      <c r="Y40" s="301" t="s">
        <v>2146</v>
      </c>
      <c r="Z40" s="3773" t="s">
        <v>2146</v>
      </c>
      <c r="AA40" s="301" t="s">
        <v>2146</v>
      </c>
      <c r="AB40" s="3775">
        <v>4.7</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88.774517966794605</v>
      </c>
      <c r="R41" s="277" t="s">
        <v>2146</v>
      </c>
      <c r="S41" s="277" t="s">
        <v>2146</v>
      </c>
      <c r="T41" s="3147" t="s">
        <v>2153</v>
      </c>
      <c r="U41" s="3147" t="s">
        <v>2153</v>
      </c>
      <c r="V41" s="3147">
        <v>7.4014987976156412</v>
      </c>
      <c r="W41" s="3147" t="s">
        <v>2153</v>
      </c>
      <c r="X41" s="278" t="s">
        <v>2146</v>
      </c>
      <c r="Y41" s="278" t="s">
        <v>2146</v>
      </c>
      <c r="Z41" s="3147">
        <v>0.40107941728771002</v>
      </c>
      <c r="AA41" s="278" t="s">
        <v>2146</v>
      </c>
      <c r="AB41" s="2911">
        <v>2.75405127886303</v>
      </c>
    </row>
    <row r="42" spans="2:28" s="84" customFormat="1" ht="18" customHeight="1" thickBot="1" x14ac:dyDescent="0.25">
      <c r="B42" s="350" t="s">
        <v>828</v>
      </c>
      <c r="C42" s="3307">
        <f>Table3.A!C42</f>
        <v>14.499000000000001</v>
      </c>
      <c r="D42" s="3325" t="s">
        <v>2146</v>
      </c>
      <c r="E42" s="3325">
        <v>100</v>
      </c>
      <c r="F42" s="3325" t="s">
        <v>2146</v>
      </c>
      <c r="G42" s="3307" t="s">
        <v>2147</v>
      </c>
      <c r="H42" s="3307" t="s">
        <v>2147</v>
      </c>
      <c r="I42" s="3307" t="s">
        <v>2147</v>
      </c>
      <c r="J42" s="3287">
        <f t="shared" si="0"/>
        <v>0.35732501380954285</v>
      </c>
      <c r="K42" s="3277">
        <v>5.1808553752245622E-3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1.5321637426900585</v>
      </c>
      <c r="W43" s="3773" t="s">
        <v>2153</v>
      </c>
      <c r="X43" s="301" t="s">
        <v>2146</v>
      </c>
      <c r="Y43" s="301" t="s">
        <v>2146</v>
      </c>
      <c r="Z43" s="3773" t="s">
        <v>2146</v>
      </c>
      <c r="AA43" s="301" t="s">
        <v>2146</v>
      </c>
      <c r="AB43" s="3775">
        <v>3.2127659574470002E-2</v>
      </c>
    </row>
    <row r="44" spans="2:28" s="84" customFormat="1" ht="18" customHeight="1" x14ac:dyDescent="0.2">
      <c r="B44" s="2644" t="s">
        <v>2091</v>
      </c>
      <c r="C44" s="4184">
        <f>C45</f>
        <v>0.85099999999999998</v>
      </c>
      <c r="D44" s="3294"/>
      <c r="E44" s="3294"/>
      <c r="F44" s="3294"/>
      <c r="G44" s="3294"/>
      <c r="H44" s="3294"/>
      <c r="I44" s="3295"/>
      <c r="J44" s="3287">
        <f t="shared" si="0"/>
        <v>0.35725956652310215</v>
      </c>
      <c r="K44" s="3281">
        <f>K45</f>
        <v>3.0402789111115991E-4</v>
      </c>
      <c r="M44" s="4491"/>
      <c r="N44" s="4492"/>
      <c r="O44" s="1696"/>
      <c r="P44" s="1693" t="s">
        <v>792</v>
      </c>
      <c r="Q44" s="3776">
        <v>0.75514229585407</v>
      </c>
      <c r="R44" s="277" t="s">
        <v>2146</v>
      </c>
      <c r="S44" s="277" t="s">
        <v>2146</v>
      </c>
      <c r="T44" s="3147" t="s">
        <v>2153</v>
      </c>
      <c r="U44" s="3147" t="s">
        <v>2153</v>
      </c>
      <c r="V44" s="3147">
        <v>1.6460943810444564</v>
      </c>
      <c r="W44" s="3147" t="s">
        <v>2153</v>
      </c>
      <c r="X44" s="278" t="s">
        <v>2146</v>
      </c>
      <c r="Y44" s="278" t="s">
        <v>2146</v>
      </c>
      <c r="Z44" s="3147">
        <v>0.1</v>
      </c>
      <c r="AA44" s="278" t="s">
        <v>2146</v>
      </c>
      <c r="AB44" s="2911">
        <v>3.3901194159340002E-2</v>
      </c>
    </row>
    <row r="45" spans="2:28" s="84" customFormat="1" ht="18" customHeight="1" thickBot="1" x14ac:dyDescent="0.25">
      <c r="B45" s="2648" t="s">
        <v>2199</v>
      </c>
      <c r="C45" s="4186">
        <f>Table3.A!C45</f>
        <v>0.85099999999999998</v>
      </c>
      <c r="D45" s="3040" t="s">
        <v>2146</v>
      </c>
      <c r="E45" s="3040">
        <v>100</v>
      </c>
      <c r="F45" s="3040" t="s">
        <v>2146</v>
      </c>
      <c r="G45" s="3040" t="s">
        <v>2147</v>
      </c>
      <c r="H45" s="3040" t="s">
        <v>2147</v>
      </c>
      <c r="I45" s="3308" t="s">
        <v>2147</v>
      </c>
      <c r="J45" s="3309">
        <f t="shared" si="0"/>
        <v>0.35725956652310215</v>
      </c>
      <c r="K45" s="3278">
        <v>3.0402789111115991E-4</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50.997939896652724</v>
      </c>
      <c r="U46" s="3773" t="s">
        <v>2146</v>
      </c>
      <c r="V46" s="3773" t="s">
        <v>2146</v>
      </c>
      <c r="W46" s="3773" t="s">
        <v>2153</v>
      </c>
      <c r="X46" s="3773">
        <v>0.17553370273061999</v>
      </c>
      <c r="Y46" s="3773">
        <v>17.047258504387301</v>
      </c>
      <c r="Z46" s="3773">
        <v>0.49899624938331</v>
      </c>
      <c r="AA46" s="301" t="s">
        <v>2146</v>
      </c>
      <c r="AB46" s="3775">
        <v>99.824466297269396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45.324771957331713</v>
      </c>
      <c r="U47" s="3147" t="s">
        <v>2146</v>
      </c>
      <c r="V47" s="3147" t="s">
        <v>2146</v>
      </c>
      <c r="W47" s="3147" t="s">
        <v>2153</v>
      </c>
      <c r="X47" s="3147">
        <v>0.18629122949196</v>
      </c>
      <c r="Y47" s="3147">
        <v>18.503478008252301</v>
      </c>
      <c r="Z47" s="3147">
        <v>0.27959380170419001</v>
      </c>
      <c r="AA47" s="278" t="s">
        <v>2146</v>
      </c>
      <c r="AB47" s="2911">
        <v>99.813708770508001</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1.3132061672939999E-2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25326.345000000001</v>
      </c>
      <c r="D10" s="3490"/>
      <c r="E10" s="3491"/>
      <c r="F10" s="3478">
        <f>F15</f>
        <v>10125443.520480551</v>
      </c>
      <c r="G10" s="3478" t="str">
        <f t="shared" ref="G10:R10" si="0">G15</f>
        <v>NO</v>
      </c>
      <c r="H10" s="3478">
        <f t="shared" si="0"/>
        <v>17626418.382826101</v>
      </c>
      <c r="I10" s="3478">
        <f t="shared" si="0"/>
        <v>3228345.9168890896</v>
      </c>
      <c r="J10" s="3478" t="str">
        <f t="shared" si="0"/>
        <v>NO</v>
      </c>
      <c r="K10" s="3478">
        <f t="shared" si="0"/>
        <v>38499027.283162668</v>
      </c>
      <c r="L10" s="3478" t="str">
        <f t="shared" si="0"/>
        <v>NO</v>
      </c>
      <c r="M10" s="3478">
        <f t="shared" si="0"/>
        <v>1065283221.263514</v>
      </c>
      <c r="N10" s="3478" t="str">
        <f t="shared" si="0"/>
        <v>NO</v>
      </c>
      <c r="O10" s="3478" t="str">
        <f t="shared" si="0"/>
        <v>NO</v>
      </c>
      <c r="P10" s="3478" t="str">
        <f t="shared" si="0"/>
        <v>NO</v>
      </c>
      <c r="Q10" s="3478" t="str">
        <f t="shared" si="0"/>
        <v>NO</v>
      </c>
      <c r="R10" s="3478">
        <f t="shared" si="0"/>
        <v>1134762456.3668725</v>
      </c>
      <c r="S10" s="2651"/>
      <c r="T10" s="2652"/>
      <c r="U10" s="3456">
        <f>IF(SUM(X10)=0,"NA",X10*1000/C10)</f>
        <v>1.3654965739667499E-2</v>
      </c>
      <c r="V10" s="3448"/>
      <c r="W10" s="3449"/>
      <c r="X10" s="3311">
        <f t="shared" ref="X10" si="1">X15</f>
        <v>0.34583037328599925</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25326.345000000001</v>
      </c>
      <c r="D15" s="3493"/>
      <c r="E15" s="3493"/>
      <c r="F15" s="2649">
        <f>F20</f>
        <v>10125443.520480551</v>
      </c>
      <c r="G15" s="2649" t="str">
        <f t="shared" ref="G15:R15" si="2">G20</f>
        <v>NO</v>
      </c>
      <c r="H15" s="2649">
        <f t="shared" si="2"/>
        <v>17626418.382826101</v>
      </c>
      <c r="I15" s="2649">
        <f t="shared" si="2"/>
        <v>3228345.9168890896</v>
      </c>
      <c r="J15" s="2649" t="str">
        <f t="shared" si="2"/>
        <v>NO</v>
      </c>
      <c r="K15" s="2649">
        <f t="shared" si="2"/>
        <v>38499027.283162668</v>
      </c>
      <c r="L15" s="2649" t="str">
        <f t="shared" si="2"/>
        <v>NO</v>
      </c>
      <c r="M15" s="2649">
        <f t="shared" si="2"/>
        <v>1065283221.263514</v>
      </c>
      <c r="N15" s="2649" t="str">
        <f t="shared" si="2"/>
        <v>NO</v>
      </c>
      <c r="O15" s="2649" t="str">
        <f t="shared" si="2"/>
        <v>NO</v>
      </c>
      <c r="P15" s="2649" t="str">
        <f t="shared" si="2"/>
        <v>NO</v>
      </c>
      <c r="Q15" s="2649" t="str">
        <f t="shared" si="2"/>
        <v>NO</v>
      </c>
      <c r="R15" s="2649">
        <f t="shared" si="2"/>
        <v>1134762456.3668725</v>
      </c>
      <c r="S15" s="2657"/>
      <c r="T15" s="2658"/>
      <c r="U15" s="3456">
        <f>IF(SUM(X15)=0,"NA",X15*1000/C15)</f>
        <v>1.3654965739667499E-2</v>
      </c>
      <c r="V15" s="3454"/>
      <c r="W15" s="3455"/>
      <c r="X15" s="3314">
        <f t="shared" ref="X15" si="3">X20</f>
        <v>0.34583037328599925</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25326.345000000001</v>
      </c>
      <c r="D20" s="3492"/>
      <c r="E20" s="3492"/>
      <c r="F20" s="2649">
        <f>IF(SUM(F21:F23)=0,"NO",SUM(F21:F23))</f>
        <v>10125443.520480551</v>
      </c>
      <c r="G20" s="2649" t="str">
        <f t="shared" ref="G20:Q20" si="6">IF(SUM(G21:G23)=0,"NO",SUM(G21:G23))</f>
        <v>NO</v>
      </c>
      <c r="H20" s="2649">
        <f t="shared" si="6"/>
        <v>17626418.382826101</v>
      </c>
      <c r="I20" s="2649">
        <f t="shared" si="6"/>
        <v>3228345.9168890896</v>
      </c>
      <c r="J20" s="2649" t="str">
        <f t="shared" si="6"/>
        <v>NO</v>
      </c>
      <c r="K20" s="2649">
        <f t="shared" si="6"/>
        <v>38499027.283162668</v>
      </c>
      <c r="L20" s="2649" t="str">
        <f t="shared" si="6"/>
        <v>NO</v>
      </c>
      <c r="M20" s="2649">
        <f t="shared" si="6"/>
        <v>1065283221.263514</v>
      </c>
      <c r="N20" s="2649" t="str">
        <f t="shared" si="6"/>
        <v>NO</v>
      </c>
      <c r="O20" s="2649" t="str">
        <f t="shared" si="6"/>
        <v>NO</v>
      </c>
      <c r="P20" s="2649" t="str">
        <f t="shared" si="6"/>
        <v>NO</v>
      </c>
      <c r="Q20" s="2649" t="str">
        <f t="shared" si="6"/>
        <v>NO</v>
      </c>
      <c r="R20" s="3482">
        <f>IF(SUM(F20:Q20)=0,"NO",SUM(F20:Q20))</f>
        <v>1134762456.3668725</v>
      </c>
      <c r="S20" s="2657"/>
      <c r="T20" s="2658"/>
      <c r="U20" s="3456">
        <f t="shared" si="4"/>
        <v>1.3654965739667499E-2</v>
      </c>
      <c r="V20" s="3454"/>
      <c r="W20" s="3455"/>
      <c r="X20" s="3314">
        <f t="shared" ref="X20" si="7">IF(SUM(X21:X23)=0,"NO",SUM(X21:X23))</f>
        <v>0.34583037328599925</v>
      </c>
      <c r="Y20" s="3173"/>
      <c r="Z20" s="3457"/>
    </row>
    <row r="21" spans="2:26" ht="18" customHeight="1" x14ac:dyDescent="0.2">
      <c r="B21" s="2647" t="s">
        <v>2196</v>
      </c>
      <c r="C21" s="3495">
        <f>Table3.A!C21</f>
        <v>2500.451</v>
      </c>
      <c r="D21" s="3307">
        <v>117.27676805623244</v>
      </c>
      <c r="E21" s="3494">
        <f>'Table3.B(a)'!G21</f>
        <v>442.26810534792799</v>
      </c>
      <c r="F21" s="3479">
        <v>9610778.1645749491</v>
      </c>
      <c r="G21" s="3479" t="s">
        <v>2146</v>
      </c>
      <c r="H21" s="3479">
        <v>17626418.382826101</v>
      </c>
      <c r="I21" s="3479">
        <v>3228345.9168890896</v>
      </c>
      <c r="J21" s="3479" t="s">
        <v>2146</v>
      </c>
      <c r="K21" s="3479" t="s">
        <v>2153</v>
      </c>
      <c r="L21" s="3479" t="s">
        <v>2146</v>
      </c>
      <c r="M21" s="3479">
        <v>262779299.40426001</v>
      </c>
      <c r="N21" s="3479" t="s">
        <v>2146</v>
      </c>
      <c r="O21" s="3479" t="s">
        <v>2146</v>
      </c>
      <c r="P21" s="3479" t="s">
        <v>2146</v>
      </c>
      <c r="Q21" s="3479" t="s">
        <v>2146</v>
      </c>
      <c r="R21" s="3482">
        <f t="shared" ref="R21:R45" si="8">IF(SUM(F21:Q21)=0,"NO",SUM(F21:Q21))</f>
        <v>293244841.86855012</v>
      </c>
      <c r="S21" s="2657"/>
      <c r="T21" s="2658"/>
      <c r="U21" s="3456">
        <f t="shared" si="4"/>
        <v>1.0144399974753122E-2</v>
      </c>
      <c r="V21" s="3454"/>
      <c r="W21" s="3455"/>
      <c r="X21" s="3315">
        <v>2.5365575061271416E-2</v>
      </c>
      <c r="Y21" s="3173"/>
      <c r="Z21" s="3457"/>
    </row>
    <row r="22" spans="2:26" ht="18" customHeight="1" x14ac:dyDescent="0.2">
      <c r="B22" s="2647" t="s">
        <v>2197</v>
      </c>
      <c r="C22" s="3495">
        <f>Table3.A!C22</f>
        <v>22446.168000000001</v>
      </c>
      <c r="D22" s="3307">
        <v>35.752379195474695</v>
      </c>
      <c r="E22" s="3494">
        <f>'Table3.B(a)'!G22</f>
        <v>360.94766660543502</v>
      </c>
      <c r="F22" s="3483" t="s">
        <v>2146</v>
      </c>
      <c r="G22" s="3479" t="s">
        <v>2146</v>
      </c>
      <c r="H22" s="3483" t="s">
        <v>2146</v>
      </c>
      <c r="I22" s="3483" t="s">
        <v>2146</v>
      </c>
      <c r="J22" s="3483" t="s">
        <v>2146</v>
      </c>
      <c r="K22" s="3483" t="s">
        <v>2146</v>
      </c>
      <c r="L22" s="3483" t="s">
        <v>2146</v>
      </c>
      <c r="M22" s="3483">
        <v>802503921.859254</v>
      </c>
      <c r="N22" s="3483" t="s">
        <v>2146</v>
      </c>
      <c r="O22" s="3483" t="s">
        <v>2146</v>
      </c>
      <c r="P22" s="3483" t="s">
        <v>2146</v>
      </c>
      <c r="Q22" s="3483" t="s">
        <v>2146</v>
      </c>
      <c r="R22" s="3482">
        <f t="shared" si="8"/>
        <v>802503921.859254</v>
      </c>
      <c r="S22" s="2657"/>
      <c r="T22" s="2658"/>
      <c r="U22" s="3456" t="str">
        <f>IF(SUM(X22)=0,"NA",X22*1000/C22)</f>
        <v>NA</v>
      </c>
      <c r="V22" s="3454"/>
      <c r="W22" s="3455"/>
      <c r="X22" s="3315" t="s">
        <v>2147</v>
      </c>
      <c r="Y22" s="3173"/>
      <c r="Z22" s="3457"/>
    </row>
    <row r="23" spans="2:26" ht="18" customHeight="1" x14ac:dyDescent="0.2">
      <c r="B23" s="2647" t="s">
        <v>2198</v>
      </c>
      <c r="C23" s="3495">
        <f>Table3.A!C23</f>
        <v>379.726</v>
      </c>
      <c r="D23" s="3307">
        <v>75.297761305733829</v>
      </c>
      <c r="E23" s="3494">
        <f>'Table3.B(a)'!G23</f>
        <v>541.1875</v>
      </c>
      <c r="F23" s="3483">
        <v>514665.35590560199</v>
      </c>
      <c r="G23" s="3479" t="s">
        <v>2146</v>
      </c>
      <c r="H23" s="3483" t="s">
        <v>2146</v>
      </c>
      <c r="I23" s="3483" t="s">
        <v>2153</v>
      </c>
      <c r="J23" s="3483" t="s">
        <v>2153</v>
      </c>
      <c r="K23" s="3483">
        <v>38499027.283162668</v>
      </c>
      <c r="L23" s="3483" t="s">
        <v>2146</v>
      </c>
      <c r="M23" s="3483" t="s">
        <v>2146</v>
      </c>
      <c r="N23" s="3483" t="s">
        <v>2146</v>
      </c>
      <c r="O23" s="3483" t="s">
        <v>2146</v>
      </c>
      <c r="P23" s="3483" t="s">
        <v>2146</v>
      </c>
      <c r="Q23" s="3483" t="s">
        <v>2146</v>
      </c>
      <c r="R23" s="3482">
        <f t="shared" si="8"/>
        <v>39013692.639068268</v>
      </c>
      <c r="S23" s="2657"/>
      <c r="T23" s="2658"/>
      <c r="U23" s="3456">
        <f t="shared" ref="U23:U30" si="9">IF(SUM(X23)=0,"NA",X23*1000/C23)</f>
        <v>0.84393693933185454</v>
      </c>
      <c r="V23" s="3454"/>
      <c r="W23" s="3455"/>
      <c r="X23" s="3315">
        <v>0.32046479822472784</v>
      </c>
      <c r="Y23" s="3173"/>
      <c r="Z23" s="3457"/>
    </row>
    <row r="24" spans="2:26" ht="18" customHeight="1" x14ac:dyDescent="0.2">
      <c r="B24" s="351" t="s">
        <v>811</v>
      </c>
      <c r="C24" s="3314">
        <f>C25</f>
        <v>150960.821</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1085061934.3585601</v>
      </c>
      <c r="N24" s="2649" t="str">
        <f t="shared" si="10"/>
        <v>NO</v>
      </c>
      <c r="O24" s="2649" t="str">
        <f t="shared" si="10"/>
        <v>NO</v>
      </c>
      <c r="P24" s="2649" t="str">
        <f t="shared" si="10"/>
        <v>NO</v>
      </c>
      <c r="Q24" s="2649" t="str">
        <f t="shared" si="10"/>
        <v>NO</v>
      </c>
      <c r="R24" s="3482">
        <f t="shared" si="8"/>
        <v>1085061934.3585601</v>
      </c>
      <c r="S24" s="2657"/>
      <c r="T24" s="2658"/>
      <c r="U24" s="3456" t="str">
        <f t="shared" si="9"/>
        <v>NA</v>
      </c>
      <c r="V24" s="3454"/>
      <c r="W24" s="3455"/>
      <c r="X24" s="3314" t="str">
        <f t="shared" ref="X24:X25" si="11">X25</f>
        <v>NA</v>
      </c>
      <c r="Y24" s="3173"/>
      <c r="Z24" s="3457"/>
    </row>
    <row r="25" spans="2:26" ht="18" customHeight="1" x14ac:dyDescent="0.2">
      <c r="B25" s="350" t="s">
        <v>812</v>
      </c>
      <c r="C25" s="3314">
        <f>C26</f>
        <v>150960.821</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1085061934.3585601</v>
      </c>
      <c r="N25" s="2649" t="str">
        <f t="shared" si="10"/>
        <v>NO</v>
      </c>
      <c r="O25" s="2649" t="str">
        <f t="shared" si="10"/>
        <v>NO</v>
      </c>
      <c r="P25" s="2649" t="str">
        <f t="shared" si="10"/>
        <v>NO</v>
      </c>
      <c r="Q25" s="2649" t="str">
        <f t="shared" si="10"/>
        <v>NO</v>
      </c>
      <c r="R25" s="3482">
        <f t="shared" si="8"/>
        <v>1085061934.3585601</v>
      </c>
      <c r="S25" s="2657"/>
      <c r="T25" s="2658"/>
      <c r="U25" s="3456" t="str">
        <f t="shared" si="9"/>
        <v>NA</v>
      </c>
      <c r="V25" s="3454"/>
      <c r="W25" s="3455"/>
      <c r="X25" s="3314" t="str">
        <f t="shared" si="11"/>
        <v>NA</v>
      </c>
      <c r="Y25" s="3173"/>
      <c r="Z25" s="3457"/>
    </row>
    <row r="26" spans="2:26" ht="18" customHeight="1" x14ac:dyDescent="0.2">
      <c r="B26" s="2642" t="s">
        <v>2201</v>
      </c>
      <c r="C26" s="3495">
        <f>Table3.A!C26</f>
        <v>150960.821</v>
      </c>
      <c r="D26" s="3307">
        <v>7.1877055899098048</v>
      </c>
      <c r="E26" s="3494">
        <f>'Table3.B(a)'!G26</f>
        <v>47.260543456350703</v>
      </c>
      <c r="F26" s="3483" t="s">
        <v>2146</v>
      </c>
      <c r="G26" s="3479" t="s">
        <v>2146</v>
      </c>
      <c r="H26" s="3483" t="s">
        <v>2146</v>
      </c>
      <c r="I26" s="3483" t="s">
        <v>2146</v>
      </c>
      <c r="J26" s="3483" t="s">
        <v>2146</v>
      </c>
      <c r="K26" s="3483" t="s">
        <v>2146</v>
      </c>
      <c r="L26" s="3483" t="s">
        <v>2146</v>
      </c>
      <c r="M26" s="3479">
        <v>1085061934.3585601</v>
      </c>
      <c r="N26" s="3483" t="s">
        <v>2146</v>
      </c>
      <c r="O26" s="3483" t="s">
        <v>2146</v>
      </c>
      <c r="P26" s="3483" t="s">
        <v>2146</v>
      </c>
      <c r="Q26" s="3483" t="s">
        <v>2146</v>
      </c>
      <c r="R26" s="3482">
        <f t="shared" si="8"/>
        <v>1085061934.3585601</v>
      </c>
      <c r="S26" s="2657"/>
      <c r="T26" s="2658"/>
      <c r="U26" s="3456" t="str">
        <f t="shared" si="9"/>
        <v>NA</v>
      </c>
      <c r="V26" s="3454"/>
      <c r="W26" s="3455"/>
      <c r="X26" s="3315" t="s">
        <v>2147</v>
      </c>
      <c r="Y26" s="3173"/>
      <c r="Z26" s="3457"/>
    </row>
    <row r="27" spans="2:26" ht="18" customHeight="1" x14ac:dyDescent="0.2">
      <c r="B27" s="351" t="s">
        <v>814</v>
      </c>
      <c r="C27" s="3314">
        <f>C28</f>
        <v>2618.8270000000002</v>
      </c>
      <c r="D27" s="3492"/>
      <c r="E27" s="3492"/>
      <c r="F27" s="2649">
        <f>F28</f>
        <v>39297819.371820599</v>
      </c>
      <c r="G27" s="2649" t="str">
        <f t="shared" ref="G27:G28" si="12">G28</f>
        <v>NO</v>
      </c>
      <c r="H27" s="2649" t="str">
        <f t="shared" ref="H27:H28" si="13">H28</f>
        <v>NO</v>
      </c>
      <c r="I27" s="2649" t="str">
        <f t="shared" ref="I27:I28" si="14">I28</f>
        <v>IE</v>
      </c>
      <c r="J27" s="2649" t="str">
        <f t="shared" ref="J27:J28" si="15">J28</f>
        <v>IE</v>
      </c>
      <c r="K27" s="2649">
        <f t="shared" ref="K27:K28" si="16">K28</f>
        <v>3238383.9494606061</v>
      </c>
      <c r="L27" s="2649" t="str">
        <f t="shared" ref="L27:L28" si="17">L28</f>
        <v>IE</v>
      </c>
      <c r="M27" s="2649" t="str">
        <f t="shared" ref="M27:M28" si="18">M28</f>
        <v>NO</v>
      </c>
      <c r="N27" s="2649" t="str">
        <f t="shared" ref="N27:N28" si="19">N28</f>
        <v>NO</v>
      </c>
      <c r="O27" s="2649">
        <f t="shared" ref="O27:O28" si="20">O28</f>
        <v>173758.37315337901</v>
      </c>
      <c r="P27" s="2649" t="str">
        <f t="shared" ref="P27:P28" si="21">P28</f>
        <v>NO</v>
      </c>
      <c r="Q27" s="2649">
        <f t="shared" ref="Q27:Q28" si="22">Q28</f>
        <v>1228836.83447688</v>
      </c>
      <c r="R27" s="3482">
        <f t="shared" si="8"/>
        <v>43938798.528911464</v>
      </c>
      <c r="S27" s="2657"/>
      <c r="T27" s="2658"/>
      <c r="U27" s="3456">
        <f t="shared" si="9"/>
        <v>2.4900349540959894E-2</v>
      </c>
      <c r="V27" s="3454"/>
      <c r="W27" s="3455"/>
      <c r="X27" s="3314">
        <f t="shared" ref="X27:X28" si="23">X28</f>
        <v>6.5209707687303373E-2</v>
      </c>
      <c r="Y27" s="3173"/>
      <c r="Z27" s="3457"/>
    </row>
    <row r="28" spans="2:26" ht="18" customHeight="1" x14ac:dyDescent="0.2">
      <c r="B28" s="350" t="s">
        <v>815</v>
      </c>
      <c r="C28" s="3314">
        <f>C29</f>
        <v>2618.8270000000002</v>
      </c>
      <c r="D28" s="3492"/>
      <c r="E28" s="3492"/>
      <c r="F28" s="2649">
        <f>F29</f>
        <v>39297819.371820599</v>
      </c>
      <c r="G28" s="2649" t="str">
        <f t="shared" si="12"/>
        <v>NO</v>
      </c>
      <c r="H28" s="2649" t="str">
        <f t="shared" si="13"/>
        <v>NO</v>
      </c>
      <c r="I28" s="2649" t="str">
        <f t="shared" si="14"/>
        <v>IE</v>
      </c>
      <c r="J28" s="2649" t="str">
        <f t="shared" si="15"/>
        <v>IE</v>
      </c>
      <c r="K28" s="2649">
        <f t="shared" si="16"/>
        <v>3238383.9494606061</v>
      </c>
      <c r="L28" s="2649" t="str">
        <f t="shared" si="17"/>
        <v>IE</v>
      </c>
      <c r="M28" s="2649" t="str">
        <f t="shared" si="18"/>
        <v>NO</v>
      </c>
      <c r="N28" s="2649" t="str">
        <f t="shared" si="19"/>
        <v>NO</v>
      </c>
      <c r="O28" s="2649">
        <f t="shared" si="20"/>
        <v>173758.37315337901</v>
      </c>
      <c r="P28" s="2649" t="str">
        <f t="shared" si="21"/>
        <v>NO</v>
      </c>
      <c r="Q28" s="2649">
        <f t="shared" si="22"/>
        <v>1228836.83447688</v>
      </c>
      <c r="R28" s="3482">
        <f t="shared" si="8"/>
        <v>43938798.528911464</v>
      </c>
      <c r="S28" s="2657"/>
      <c r="T28" s="2658"/>
      <c r="U28" s="3456">
        <f t="shared" si="9"/>
        <v>2.4900349540959894E-2</v>
      </c>
      <c r="V28" s="3454"/>
      <c r="W28" s="3455"/>
      <c r="X28" s="3314">
        <f t="shared" si="23"/>
        <v>6.5209707687303373E-2</v>
      </c>
      <c r="Y28" s="3173"/>
      <c r="Z28" s="3457"/>
    </row>
    <row r="29" spans="2:26" ht="18" customHeight="1" x14ac:dyDescent="0.2">
      <c r="B29" s="2642" t="s">
        <v>817</v>
      </c>
      <c r="C29" s="3495">
        <f>Table3.A!C29</f>
        <v>2618.8270000000002</v>
      </c>
      <c r="D29" s="3307">
        <v>16.567013159004858</v>
      </c>
      <c r="E29" s="3494">
        <f>'Table3.B(a)'!G29</f>
        <v>53.633777394094302</v>
      </c>
      <c r="F29" s="3479">
        <v>39297819.371820599</v>
      </c>
      <c r="G29" s="3479" t="s">
        <v>2146</v>
      </c>
      <c r="H29" s="3479" t="s">
        <v>2146</v>
      </c>
      <c r="I29" s="3479" t="s">
        <v>2153</v>
      </c>
      <c r="J29" s="3479" t="s">
        <v>2153</v>
      </c>
      <c r="K29" s="3479">
        <v>3238383.9494606061</v>
      </c>
      <c r="L29" s="3479" t="s">
        <v>2153</v>
      </c>
      <c r="M29" s="3479" t="s">
        <v>2146</v>
      </c>
      <c r="N29" s="3479" t="s">
        <v>2146</v>
      </c>
      <c r="O29" s="3479">
        <v>173758.37315337901</v>
      </c>
      <c r="P29" s="3479" t="s">
        <v>2146</v>
      </c>
      <c r="Q29" s="3479">
        <v>1228836.83447688</v>
      </c>
      <c r="R29" s="3482">
        <f t="shared" si="8"/>
        <v>43938798.528911464</v>
      </c>
      <c r="S29" s="2657"/>
      <c r="T29" s="2658"/>
      <c r="U29" s="3456">
        <f t="shared" si="9"/>
        <v>2.4900349540959894E-2</v>
      </c>
      <c r="V29" s="3454"/>
      <c r="W29" s="3455"/>
      <c r="X29" s="3315">
        <v>6.5209707687303373E-2</v>
      </c>
      <c r="Y29" s="3173"/>
      <c r="Z29" s="3457"/>
    </row>
    <row r="30" spans="2:26" ht="18" customHeight="1" x14ac:dyDescent="0.2">
      <c r="B30" s="351" t="s">
        <v>861</v>
      </c>
      <c r="C30" s="3314">
        <f>IF(SUM(C32:C39)=0,"NO",SUM(C32:C39))</f>
        <v>42311.978999999999</v>
      </c>
      <c r="D30" s="3492"/>
      <c r="E30" s="3492"/>
      <c r="F30" s="2649" t="str">
        <f>IF(SUM(F32:F39)=0,"NO",SUM(F32:F39))</f>
        <v>NO</v>
      </c>
      <c r="G30" s="2649" t="str">
        <f t="shared" ref="G30:Q30" si="24">IF(SUM(G32:G39)=0,"NO",SUM(G32:G39))</f>
        <v>NO</v>
      </c>
      <c r="H30" s="2649" t="str">
        <f t="shared" si="24"/>
        <v>NO</v>
      </c>
      <c r="I30" s="2649">
        <f t="shared" si="24"/>
        <v>9686785.9008570462</v>
      </c>
      <c r="J30" s="2649" t="str">
        <f t="shared" si="24"/>
        <v>NO</v>
      </c>
      <c r="K30" s="2649" t="str">
        <f t="shared" si="24"/>
        <v>NO</v>
      </c>
      <c r="L30" s="2649" t="str">
        <f t="shared" si="24"/>
        <v>NO</v>
      </c>
      <c r="M30" s="2649">
        <f t="shared" si="24"/>
        <v>18238192.93218857</v>
      </c>
      <c r="N30" s="2649">
        <f t="shared" si="24"/>
        <v>4135779.6070573698</v>
      </c>
      <c r="O30" s="2649">
        <f t="shared" si="24"/>
        <v>55869.0472168384</v>
      </c>
      <c r="P30" s="2649" t="str">
        <f t="shared" si="24"/>
        <v>NO</v>
      </c>
      <c r="Q30" s="2649">
        <f t="shared" si="24"/>
        <v>27245049.8344674</v>
      </c>
      <c r="R30" s="3482">
        <f t="shared" si="8"/>
        <v>59361677.321787223</v>
      </c>
      <c r="S30" s="2657"/>
      <c r="T30" s="2658"/>
      <c r="U30" s="3456">
        <f t="shared" si="9"/>
        <v>4.3466398200397169E-3</v>
      </c>
      <c r="V30" s="3454"/>
      <c r="W30" s="3455"/>
      <c r="X30" s="3314">
        <f t="shared" ref="X30" si="25">IF(SUM(X32:X39)=0,"NO",SUM(X32:X39))</f>
        <v>0.18391493278608428</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12.992000000000001</v>
      </c>
      <c r="D32" s="3307">
        <v>39.5</v>
      </c>
      <c r="E32" s="3494" t="str">
        <f>'Table3.B(a)'!G32</f>
        <v>NA</v>
      </c>
      <c r="F32" s="3479" t="s">
        <v>2146</v>
      </c>
      <c r="G32" s="3479" t="s">
        <v>2146</v>
      </c>
      <c r="H32" s="3479" t="s">
        <v>2146</v>
      </c>
      <c r="I32" s="3479" t="s">
        <v>2146</v>
      </c>
      <c r="J32" s="3479" t="s">
        <v>2146</v>
      </c>
      <c r="K32" s="3479" t="s">
        <v>2146</v>
      </c>
      <c r="L32" s="3479" t="s">
        <v>2146</v>
      </c>
      <c r="M32" s="3479">
        <v>513184</v>
      </c>
      <c r="N32" s="3479" t="s">
        <v>2146</v>
      </c>
      <c r="O32" s="3479" t="s">
        <v>2146</v>
      </c>
      <c r="P32" s="3479" t="s">
        <v>2146</v>
      </c>
      <c r="Q32" s="3479" t="s">
        <v>2146</v>
      </c>
      <c r="R32" s="3482">
        <f t="shared" si="8"/>
        <v>513184</v>
      </c>
      <c r="S32" s="2657"/>
      <c r="T32" s="2658"/>
      <c r="U32" s="3456" t="str">
        <f>IF(SUM(X32)=0,"NA",X32*1000/C32)</f>
        <v>NA</v>
      </c>
      <c r="V32" s="3454"/>
      <c r="W32" s="3455"/>
      <c r="X32" s="3315" t="s">
        <v>2147</v>
      </c>
      <c r="Y32" s="3173"/>
      <c r="Z32" s="3457"/>
    </row>
    <row r="33" spans="2:26" ht="18" customHeight="1" x14ac:dyDescent="0.2">
      <c r="B33" s="350" t="s">
        <v>819</v>
      </c>
      <c r="C33" s="3495">
        <f>Table3.A!C33</f>
        <v>1.746</v>
      </c>
      <c r="D33" s="3307">
        <v>39.5</v>
      </c>
      <c r="E33" s="3494" t="str">
        <f>'Table3.B(a)'!G33</f>
        <v>NA</v>
      </c>
      <c r="F33" s="3479" t="s">
        <v>2146</v>
      </c>
      <c r="G33" s="3479" t="s">
        <v>2146</v>
      </c>
      <c r="H33" s="3479" t="s">
        <v>2146</v>
      </c>
      <c r="I33" s="3479" t="s">
        <v>2146</v>
      </c>
      <c r="J33" s="3479" t="s">
        <v>2146</v>
      </c>
      <c r="K33" s="3479" t="s">
        <v>2146</v>
      </c>
      <c r="L33" s="3479" t="s">
        <v>2146</v>
      </c>
      <c r="M33" s="3479">
        <v>68967.157999999996</v>
      </c>
      <c r="N33" s="3479" t="s">
        <v>2146</v>
      </c>
      <c r="O33" s="3479" t="s">
        <v>2146</v>
      </c>
      <c r="P33" s="3479" t="s">
        <v>2146</v>
      </c>
      <c r="Q33" s="3479" t="s">
        <v>2146</v>
      </c>
      <c r="R33" s="3482">
        <f t="shared" si="8"/>
        <v>68967.157999999996</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101.672</v>
      </c>
      <c r="D34" s="3307">
        <v>13.2</v>
      </c>
      <c r="E34" s="3494" t="str">
        <f>'Table3.B(a)'!G34</f>
        <v>NA</v>
      </c>
      <c r="F34" s="3479" t="s">
        <v>2146</v>
      </c>
      <c r="G34" s="3479" t="s">
        <v>2146</v>
      </c>
      <c r="H34" s="3479" t="s">
        <v>2146</v>
      </c>
      <c r="I34" s="3479" t="s">
        <v>2146</v>
      </c>
      <c r="J34" s="3479" t="s">
        <v>2146</v>
      </c>
      <c r="K34" s="3479" t="s">
        <v>2146</v>
      </c>
      <c r="L34" s="3479" t="s">
        <v>2146</v>
      </c>
      <c r="M34" s="3479">
        <v>1342073.0267999999</v>
      </c>
      <c r="N34" s="3479" t="s">
        <v>2146</v>
      </c>
      <c r="O34" s="3479" t="s">
        <v>2146</v>
      </c>
      <c r="P34" s="3479" t="s">
        <v>2146</v>
      </c>
      <c r="Q34" s="3479" t="s">
        <v>2146</v>
      </c>
      <c r="R34" s="3482">
        <f t="shared" si="8"/>
        <v>1342073.0267999999</v>
      </c>
      <c r="S34" s="2657"/>
      <c r="T34" s="2658"/>
      <c r="U34" s="3456" t="str">
        <f t="shared" si="26"/>
        <v>NA</v>
      </c>
      <c r="V34" s="3454"/>
      <c r="W34" s="3455"/>
      <c r="X34" s="3315" t="s">
        <v>2147</v>
      </c>
      <c r="Y34" s="3173"/>
      <c r="Z34" s="3457"/>
    </row>
    <row r="35" spans="2:26" ht="18" customHeight="1" x14ac:dyDescent="0.2">
      <c r="B35" s="350" t="s">
        <v>821</v>
      </c>
      <c r="C35" s="3495">
        <f>Table3.A!C35</f>
        <v>411.322</v>
      </c>
      <c r="D35" s="3307">
        <v>7</v>
      </c>
      <c r="E35" s="3494" t="str">
        <f>'Table3.B(a)'!G35</f>
        <v>NA</v>
      </c>
      <c r="F35" s="3479" t="s">
        <v>2146</v>
      </c>
      <c r="G35" s="3479" t="s">
        <v>2146</v>
      </c>
      <c r="H35" s="3479" t="s">
        <v>2146</v>
      </c>
      <c r="I35" s="3479" t="s">
        <v>2146</v>
      </c>
      <c r="J35" s="3479" t="s">
        <v>2146</v>
      </c>
      <c r="K35" s="3479" t="s">
        <v>2146</v>
      </c>
      <c r="L35" s="3479" t="s">
        <v>2146</v>
      </c>
      <c r="M35" s="3479">
        <v>2879255.4209999996</v>
      </c>
      <c r="N35" s="3479" t="s">
        <v>2146</v>
      </c>
      <c r="O35" s="3479" t="s">
        <v>2146</v>
      </c>
      <c r="P35" s="3479" t="s">
        <v>2146</v>
      </c>
      <c r="Q35" s="3479" t="s">
        <v>2146</v>
      </c>
      <c r="R35" s="3482">
        <f t="shared" si="8"/>
        <v>2879255.4209999996</v>
      </c>
      <c r="S35" s="2657"/>
      <c r="T35" s="2658"/>
      <c r="U35" s="3456" t="str">
        <f t="shared" si="26"/>
        <v>NA</v>
      </c>
      <c r="V35" s="3454"/>
      <c r="W35" s="3455"/>
      <c r="X35" s="3315" t="s">
        <v>2147</v>
      </c>
      <c r="Y35" s="3173"/>
      <c r="Z35" s="3457"/>
    </row>
    <row r="36" spans="2:26" ht="18" customHeight="1" x14ac:dyDescent="0.2">
      <c r="B36" s="350" t="s">
        <v>822</v>
      </c>
      <c r="C36" s="3495">
        <f>Table3.A!C36</f>
        <v>334.767</v>
      </c>
      <c r="D36" s="3307">
        <v>39.5</v>
      </c>
      <c r="E36" s="3494" t="str">
        <f>'Table3.B(a)'!G36</f>
        <v>NA</v>
      </c>
      <c r="F36" s="3479" t="s">
        <v>2146</v>
      </c>
      <c r="G36" s="3479" t="s">
        <v>2146</v>
      </c>
      <c r="H36" s="3479" t="s">
        <v>2146</v>
      </c>
      <c r="I36" s="3479" t="s">
        <v>2146</v>
      </c>
      <c r="J36" s="3479" t="s">
        <v>2146</v>
      </c>
      <c r="K36" s="3479" t="s">
        <v>2146</v>
      </c>
      <c r="L36" s="3479" t="s">
        <v>2146</v>
      </c>
      <c r="M36" s="3479">
        <v>13223301.555999998</v>
      </c>
      <c r="N36" s="3479" t="s">
        <v>2146</v>
      </c>
      <c r="O36" s="3479" t="s">
        <v>2146</v>
      </c>
      <c r="P36" s="3479" t="s">
        <v>2146</v>
      </c>
      <c r="Q36" s="3479" t="s">
        <v>2146</v>
      </c>
      <c r="R36" s="3482">
        <f t="shared" si="8"/>
        <v>13223301.555999998</v>
      </c>
      <c r="S36" s="2657"/>
      <c r="T36" s="2658"/>
      <c r="U36" s="3456" t="str">
        <f t="shared" si="26"/>
        <v>NA</v>
      </c>
      <c r="V36" s="3454"/>
      <c r="W36" s="3455"/>
      <c r="X36" s="3315" t="s">
        <v>2147</v>
      </c>
      <c r="Y36" s="3173"/>
      <c r="Z36" s="3457"/>
    </row>
    <row r="37" spans="2:26" ht="18" customHeight="1" x14ac:dyDescent="0.2">
      <c r="B37" s="350" t="s">
        <v>862</v>
      </c>
      <c r="C37" s="3495">
        <f>Table3.A!C37</f>
        <v>4.01</v>
      </c>
      <c r="D37" s="3307">
        <v>13.2</v>
      </c>
      <c r="E37" s="3494" t="str">
        <f>'Table3.B(a)'!G37</f>
        <v>NA</v>
      </c>
      <c r="F37" s="3479" t="s">
        <v>2146</v>
      </c>
      <c r="G37" s="3479" t="s">
        <v>2146</v>
      </c>
      <c r="H37" s="3479" t="s">
        <v>2146</v>
      </c>
      <c r="I37" s="3479" t="s">
        <v>2146</v>
      </c>
      <c r="J37" s="3479" t="s">
        <v>2146</v>
      </c>
      <c r="K37" s="3479" t="s">
        <v>2146</v>
      </c>
      <c r="L37" s="3479" t="s">
        <v>2146</v>
      </c>
      <c r="M37" s="3479">
        <v>52928.369999999988</v>
      </c>
      <c r="N37" s="3479" t="s">
        <v>2146</v>
      </c>
      <c r="O37" s="3479" t="s">
        <v>2146</v>
      </c>
      <c r="P37" s="3479" t="s">
        <v>2146</v>
      </c>
      <c r="Q37" s="3479" t="s">
        <v>2146</v>
      </c>
      <c r="R37" s="3482">
        <f t="shared" si="8"/>
        <v>52928.369999999988</v>
      </c>
      <c r="S37" s="2657"/>
      <c r="T37" s="2658"/>
      <c r="U37" s="3456" t="str">
        <f t="shared" si="26"/>
        <v>NA</v>
      </c>
      <c r="V37" s="3454"/>
      <c r="W37" s="3455"/>
      <c r="X37" s="3315" t="s">
        <v>2147</v>
      </c>
      <c r="Y37" s="3173"/>
      <c r="Z37" s="3457"/>
    </row>
    <row r="38" spans="2:26" ht="18" customHeight="1" x14ac:dyDescent="0.2">
      <c r="B38" s="350" t="s">
        <v>824</v>
      </c>
      <c r="C38" s="3495">
        <f>Table3.A!C38</f>
        <v>41430.120000000003</v>
      </c>
      <c r="D38" s="3307">
        <v>0.65884636146532005</v>
      </c>
      <c r="E38" s="3494" t="str">
        <f>'Table3.B(a)'!G38</f>
        <v>NA</v>
      </c>
      <c r="F38" s="3479" t="s">
        <v>2146</v>
      </c>
      <c r="G38" s="3479" t="s">
        <v>2146</v>
      </c>
      <c r="H38" s="3479" t="s">
        <v>2146</v>
      </c>
      <c r="I38" s="3479">
        <v>9686785.9008570462</v>
      </c>
      <c r="J38" s="3479" t="s">
        <v>2153</v>
      </c>
      <c r="K38" s="3479" t="s">
        <v>2153</v>
      </c>
      <c r="L38" s="3479" t="s">
        <v>2153</v>
      </c>
      <c r="M38" s="3479">
        <v>51033.750388574401</v>
      </c>
      <c r="N38" s="3479">
        <v>4135779.6070573698</v>
      </c>
      <c r="O38" s="3479">
        <v>55869.0472168384</v>
      </c>
      <c r="P38" s="3479" t="s">
        <v>2146</v>
      </c>
      <c r="Q38" s="3479">
        <v>27245049.8344674</v>
      </c>
      <c r="R38" s="3482">
        <f t="shared" si="8"/>
        <v>41174518.13998723</v>
      </c>
      <c r="S38" s="2657"/>
      <c r="T38" s="2658"/>
      <c r="U38" s="3456">
        <f t="shared" si="26"/>
        <v>4.4391600310615623E-3</v>
      </c>
      <c r="V38" s="3454"/>
      <c r="W38" s="3455"/>
      <c r="X38" s="3315">
        <v>0.18391493278608428</v>
      </c>
      <c r="Y38" s="3173"/>
      <c r="Z38" s="3457"/>
    </row>
    <row r="39" spans="2:26" ht="18" customHeight="1" x14ac:dyDescent="0.2">
      <c r="B39" s="350" t="s">
        <v>825</v>
      </c>
      <c r="C39" s="3314">
        <f>IF(SUM(C40:C44)=0,"NO",SUM(C40:C44))</f>
        <v>15.350000000000001</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107449.65</v>
      </c>
      <c r="N39" s="2649" t="str">
        <f t="shared" si="27"/>
        <v>NO</v>
      </c>
      <c r="O39" s="2649" t="str">
        <f t="shared" si="27"/>
        <v>NO</v>
      </c>
      <c r="P39" s="2649" t="str">
        <f t="shared" si="27"/>
        <v>NO</v>
      </c>
      <c r="Q39" s="2649" t="str">
        <f t="shared" si="27"/>
        <v>NO</v>
      </c>
      <c r="R39" s="3482">
        <f t="shared" si="8"/>
        <v>107449.65</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14.499000000000001</v>
      </c>
      <c r="D42" s="3307">
        <v>7</v>
      </c>
      <c r="E42" s="3494" t="str">
        <f>'Table3.B(a)'!G42</f>
        <v>NA</v>
      </c>
      <c r="F42" s="3479" t="s">
        <v>2146</v>
      </c>
      <c r="G42" s="3479" t="s">
        <v>2146</v>
      </c>
      <c r="H42" s="3479" t="s">
        <v>2146</v>
      </c>
      <c r="I42" s="3479" t="s">
        <v>2146</v>
      </c>
      <c r="J42" s="3479" t="s">
        <v>2146</v>
      </c>
      <c r="K42" s="3479" t="s">
        <v>2146</v>
      </c>
      <c r="L42" s="3479" t="s">
        <v>2146</v>
      </c>
      <c r="M42" s="3479">
        <v>101493.7</v>
      </c>
      <c r="N42" s="3479" t="s">
        <v>2146</v>
      </c>
      <c r="O42" s="3479" t="s">
        <v>2146</v>
      </c>
      <c r="P42" s="3479" t="s">
        <v>2146</v>
      </c>
      <c r="Q42" s="3479" t="s">
        <v>2146</v>
      </c>
      <c r="R42" s="3482">
        <f t="shared" si="8"/>
        <v>101493.7</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0.85099999999999998</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5955.95</v>
      </c>
      <c r="N44" s="2649" t="str">
        <f t="shared" si="28"/>
        <v>NO</v>
      </c>
      <c r="O44" s="2649" t="str">
        <f t="shared" si="28"/>
        <v>NO</v>
      </c>
      <c r="P44" s="2649" t="str">
        <f t="shared" si="28"/>
        <v>NO</v>
      </c>
      <c r="Q44" s="2649" t="str">
        <f t="shared" si="28"/>
        <v>NO</v>
      </c>
      <c r="R44" s="3482">
        <f t="shared" si="8"/>
        <v>5955.95</v>
      </c>
      <c r="S44" s="2657"/>
      <c r="T44" s="2658"/>
      <c r="U44" s="3456" t="str">
        <f t="shared" si="26"/>
        <v>NA</v>
      </c>
      <c r="V44" s="3454"/>
      <c r="W44" s="3455"/>
      <c r="X44" s="3314" t="str">
        <f>X45</f>
        <v>NA</v>
      </c>
      <c r="Y44" s="3173"/>
      <c r="Z44" s="3457"/>
    </row>
    <row r="45" spans="2:26" ht="18" customHeight="1" x14ac:dyDescent="0.2">
      <c r="B45" s="2646" t="s">
        <v>2199</v>
      </c>
      <c r="C45" s="3495">
        <f>Table3.A!C45</f>
        <v>0.85099999999999998</v>
      </c>
      <c r="D45" s="3307">
        <v>7</v>
      </c>
      <c r="E45" s="3494" t="str">
        <f>'Table3.B(a)'!G45</f>
        <v>NA</v>
      </c>
      <c r="F45" s="3479" t="s">
        <v>2146</v>
      </c>
      <c r="G45" s="3479" t="s">
        <v>2146</v>
      </c>
      <c r="H45" s="3479" t="s">
        <v>2146</v>
      </c>
      <c r="I45" s="3479" t="s">
        <v>2146</v>
      </c>
      <c r="J45" s="3479" t="s">
        <v>2146</v>
      </c>
      <c r="K45" s="3479" t="s">
        <v>2146</v>
      </c>
      <c r="L45" s="3479" t="s">
        <v>2146</v>
      </c>
      <c r="M45" s="3479">
        <v>5955.95</v>
      </c>
      <c r="N45" s="3479" t="s">
        <v>2146</v>
      </c>
      <c r="O45" s="3479" t="s">
        <v>2146</v>
      </c>
      <c r="P45" s="3479" t="s">
        <v>2146</v>
      </c>
      <c r="Q45" s="3479" t="s">
        <v>2146</v>
      </c>
      <c r="R45" s="3482">
        <f t="shared" si="8"/>
        <v>5955.95</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60859656.222931102</v>
      </c>
      <c r="T46" s="3447">
        <v>164551.097887526</v>
      </c>
      <c r="U46" s="3466"/>
      <c r="V46" s="3467">
        <f>IF(SUM(S46)=0,"NA",Y46*1000000/S46)</f>
        <v>3.5106561007864885E-3</v>
      </c>
      <c r="W46" s="3468">
        <f>IF(SUM(T46)=0,"NA",Z46*1000000/T46)</f>
        <v>1.7285714285714317E-2</v>
      </c>
      <c r="X46" s="3316"/>
      <c r="Y46" s="3320">
        <v>0.21365732341080143</v>
      </c>
      <c r="Z46" s="3321">
        <v>2.8443832634843834E-3</v>
      </c>
    </row>
    <row r="47" spans="2:26" ht="18" customHeight="1" x14ac:dyDescent="0.2">
      <c r="B47" s="358" t="s">
        <v>863</v>
      </c>
      <c r="C47" s="359"/>
      <c r="D47" s="359"/>
      <c r="E47" s="359"/>
      <c r="F47" s="3485">
        <f>IF(SUM(F30,F27,F24,F10)=0,"NO",SUM(F30,F27,F24,F10))</f>
        <v>49423262.89230115</v>
      </c>
      <c r="G47" s="3485" t="str">
        <f t="shared" ref="G47:Q47" si="29">IF(SUM(G30,G27,G24,G10)=0,"NO",SUM(G30,G27,G24,G10))</f>
        <v>NO</v>
      </c>
      <c r="H47" s="3485">
        <f t="shared" si="29"/>
        <v>17626418.382826101</v>
      </c>
      <c r="I47" s="3485">
        <f t="shared" si="29"/>
        <v>12915131.817746136</v>
      </c>
      <c r="J47" s="3485" t="str">
        <f t="shared" si="29"/>
        <v>NO</v>
      </c>
      <c r="K47" s="3485">
        <f t="shared" si="29"/>
        <v>41737411.232623272</v>
      </c>
      <c r="L47" s="3485" t="str">
        <f t="shared" si="29"/>
        <v>NO</v>
      </c>
      <c r="M47" s="3409"/>
      <c r="N47" s="3485">
        <f t="shared" si="29"/>
        <v>4135779.6070573698</v>
      </c>
      <c r="O47" s="3485">
        <f t="shared" si="29"/>
        <v>229627.42037021741</v>
      </c>
      <c r="P47" s="3409"/>
      <c r="Q47" s="3485">
        <f t="shared" si="29"/>
        <v>28473886.668944281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3.6998013850874922E-2</v>
      </c>
      <c r="J48" s="3486" t="str">
        <f t="shared" si="30"/>
        <v>NA</v>
      </c>
      <c r="K48" s="3486" t="str">
        <f t="shared" si="30"/>
        <v>NA</v>
      </c>
      <c r="L48" s="3486" t="str">
        <f t="shared" si="30"/>
        <v>NA</v>
      </c>
      <c r="M48" s="87"/>
      <c r="N48" s="3486">
        <f t="shared" si="30"/>
        <v>1.5714285714286728E-2</v>
      </c>
      <c r="O48" s="3486" t="str">
        <f t="shared" si="30"/>
        <v>NA</v>
      </c>
      <c r="P48" s="87"/>
      <c r="Q48" s="3486">
        <f t="shared" si="30"/>
        <v>1.8307990788197098E-3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0.47783422587884694</v>
      </c>
      <c r="J49" s="3487" t="s">
        <v>2153</v>
      </c>
      <c r="K49" s="3487" t="s">
        <v>2153</v>
      </c>
      <c r="L49" s="3487" t="s">
        <v>2153</v>
      </c>
      <c r="M49" s="3474"/>
      <c r="N49" s="3488">
        <v>6.4990822396620004E-2</v>
      </c>
      <c r="O49" s="3488" t="s">
        <v>2147</v>
      </c>
      <c r="P49" s="3474"/>
      <c r="Q49" s="3488">
        <v>5.2129965483920002E-2</v>
      </c>
      <c r="R49" s="1312"/>
      <c r="S49" s="1313"/>
      <c r="T49" s="1314"/>
      <c r="U49" s="3473">
        <f>X49*1000/SUM(C10,C24,C27,C30)</f>
        <v>2.689451532262428E-3</v>
      </c>
      <c r="V49" s="3474"/>
      <c r="W49" s="3475"/>
      <c r="X49" s="3319">
        <f>SUM(X10,X24,X27,X30)</f>
        <v>0.59495501375938686</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20.580136832126925</v>
      </c>
    </row>
    <row r="11" spans="1:9" ht="18" customHeight="1" x14ac:dyDescent="0.2">
      <c r="B11" s="439" t="s">
        <v>876</v>
      </c>
      <c r="C11" s="4147">
        <v>1.29516279623203</v>
      </c>
      <c r="D11" s="243" t="s">
        <v>2146</v>
      </c>
      <c r="E11" s="283" t="s">
        <v>2146</v>
      </c>
      <c r="F11" s="2305">
        <f>IF(SUM(C11)=0,"NA",G11/C11)</f>
        <v>15.889999999999976</v>
      </c>
      <c r="G11" s="3093">
        <v>20.580136832126925</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1.29516279623203</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29.428172098552427</v>
      </c>
      <c r="H10" s="397" t="s">
        <v>897</v>
      </c>
      <c r="I10" s="398" t="s">
        <v>898</v>
      </c>
      <c r="J10" s="399">
        <v>0.21</v>
      </c>
    </row>
    <row r="11" spans="2:10" ht="24" customHeight="1" x14ac:dyDescent="0.2">
      <c r="B11" s="2431" t="s">
        <v>1949</v>
      </c>
      <c r="C11" s="2432" t="s">
        <v>899</v>
      </c>
      <c r="D11" s="3720">
        <v>461997.34046791855</v>
      </c>
      <c r="E11" s="3714">
        <f>IF(SUM(D11)=0,"NA",F11*1000/D11/(44/28))</f>
        <v>5.8403051751012057E-3</v>
      </c>
      <c r="F11" s="3425">
        <v>4.2400371489422231</v>
      </c>
      <c r="H11" s="397" t="s">
        <v>900</v>
      </c>
      <c r="I11" s="398" t="s">
        <v>901</v>
      </c>
      <c r="J11" s="399">
        <v>0.24</v>
      </c>
    </row>
    <row r="12" spans="2:10" ht="24" customHeight="1" thickBot="1" x14ac:dyDescent="0.25">
      <c r="B12" s="2431" t="s">
        <v>1950</v>
      </c>
      <c r="C12" s="2433" t="s">
        <v>902</v>
      </c>
      <c r="D12" s="3721">
        <f>IF(SUM(D13:D15)=0,"NO",SUM(D13:D15))</f>
        <v>73850.386337258213</v>
      </c>
      <c r="E12" s="3715">
        <f t="shared" ref="E12:E23" si="0">IF(SUM(D12)=0,"NA",F12*1000/D12/(44/28))</f>
        <v>8.2060731694222674E-3</v>
      </c>
      <c r="F12" s="3426">
        <f>IF(SUM(F13:F15)=0,"NO",SUM(F13:F15))</f>
        <v>0.95231977323001105</v>
      </c>
      <c r="H12" s="407" t="s">
        <v>903</v>
      </c>
      <c r="I12" s="408" t="s">
        <v>2147</v>
      </c>
      <c r="J12" s="2668" t="s">
        <v>2147</v>
      </c>
    </row>
    <row r="13" spans="2:10" ht="24" customHeight="1" x14ac:dyDescent="0.2">
      <c r="B13" s="2431" t="s">
        <v>904</v>
      </c>
      <c r="C13" s="2432" t="s">
        <v>905</v>
      </c>
      <c r="D13" s="3722">
        <v>67579.810990416998</v>
      </c>
      <c r="E13" s="3714">
        <f t="shared" si="0"/>
        <v>8.132406523451291E-3</v>
      </c>
      <c r="F13" s="3425">
        <v>0.86363592189611382</v>
      </c>
      <c r="H13" s="1436" t="s">
        <v>906</v>
      </c>
      <c r="I13" s="1078"/>
      <c r="J13" s="1078"/>
    </row>
    <row r="14" spans="2:10" ht="24" customHeight="1" x14ac:dyDescent="0.2">
      <c r="B14" s="2431" t="s">
        <v>907</v>
      </c>
      <c r="C14" s="2432" t="s">
        <v>908</v>
      </c>
      <c r="D14" s="3722">
        <v>6270.5753468412195</v>
      </c>
      <c r="E14" s="3714">
        <f t="shared" si="0"/>
        <v>8.9999999999999941E-3</v>
      </c>
      <c r="F14" s="3425">
        <v>8.8683851333897196E-2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2168583.3485542643</v>
      </c>
      <c r="E16" s="3714">
        <f t="shared" si="0"/>
        <v>4.000000000000001E-3</v>
      </c>
      <c r="F16" s="3425">
        <v>13.631095333769663</v>
      </c>
    </row>
    <row r="17" spans="2:11" ht="24" customHeight="1" x14ac:dyDescent="0.2">
      <c r="B17" s="2431" t="s">
        <v>913</v>
      </c>
      <c r="C17" s="2432" t="s">
        <v>914</v>
      </c>
      <c r="D17" s="3722">
        <v>580040.33852104808</v>
      </c>
      <c r="E17" s="3714">
        <f t="shared" si="0"/>
        <v>9.9999999999999985E-3</v>
      </c>
      <c r="F17" s="3425">
        <v>9.1149196053307548</v>
      </c>
    </row>
    <row r="18" spans="2:11" ht="24" customHeight="1" x14ac:dyDescent="0.2">
      <c r="B18" s="2431" t="s">
        <v>1951</v>
      </c>
      <c r="C18" s="2432" t="s">
        <v>915</v>
      </c>
      <c r="D18" s="3722">
        <v>446027.34822538297</v>
      </c>
      <c r="E18" s="3716">
        <f t="shared" si="0"/>
        <v>1.9999999999999992E-3</v>
      </c>
      <c r="F18" s="3427">
        <v>1.4018002372797744</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9.6386648695425929</v>
      </c>
    </row>
    <row r="22" spans="2:11" ht="24" customHeight="1" x14ac:dyDescent="0.2">
      <c r="B22" s="2438" t="s">
        <v>1953</v>
      </c>
      <c r="C22" s="2432" t="s">
        <v>919</v>
      </c>
      <c r="D22" s="3722">
        <v>521668.08602522203</v>
      </c>
      <c r="E22" s="3714">
        <f t="shared" si="0"/>
        <v>2.6864635673182983E-3</v>
      </c>
      <c r="F22" s="3425">
        <v>2.2022664829619565</v>
      </c>
    </row>
    <row r="23" spans="2:11" ht="24" customHeight="1" thickBot="1" x14ac:dyDescent="0.25">
      <c r="B23" s="410" t="s">
        <v>920</v>
      </c>
      <c r="C23" s="411" t="s">
        <v>921</v>
      </c>
      <c r="D23" s="3725">
        <v>430803.42025884701</v>
      </c>
      <c r="E23" s="3719">
        <f t="shared" si="0"/>
        <v>1.0984716685605168E-2</v>
      </c>
      <c r="F23" s="3430">
        <v>7.4363983865806365</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10557400</v>
      </c>
      <c r="N9" s="4179">
        <v>4529797</v>
      </c>
      <c r="O9" s="4179">
        <v>268947</v>
      </c>
      <c r="P9" s="4180">
        <v>1447381</v>
      </c>
      <c r="Q9" s="4180">
        <v>1689829</v>
      </c>
      <c r="R9" s="4180">
        <v>250787.299915201</v>
      </c>
      <c r="S9" s="4180">
        <v>957106</v>
      </c>
      <c r="T9" s="4180">
        <v>175156</v>
      </c>
      <c r="U9" s="4180">
        <v>1956752.261589</v>
      </c>
      <c r="V9" s="4180">
        <v>21366529</v>
      </c>
      <c r="W9" s="4180">
        <v>38795.242000000006</v>
      </c>
      <c r="X9" s="4181">
        <v>280393</v>
      </c>
    </row>
    <row r="10" spans="2:24" ht="18" customHeight="1" thickTop="1" x14ac:dyDescent="0.2">
      <c r="B10" s="437" t="s">
        <v>947</v>
      </c>
      <c r="C10" s="376"/>
      <c r="D10" s="438"/>
      <c r="E10" s="438"/>
      <c r="F10" s="4149">
        <f>IF(SUM(F11:F14)=0,"NO",SUM(F11:F14))</f>
        <v>4505.178120644925</v>
      </c>
      <c r="G10" s="4150">
        <f>IF(SUM($F10)=0,"NA",I10/$F10*1000)</f>
        <v>1.883994484974834</v>
      </c>
      <c r="H10" s="4151">
        <f>IF(SUM($F10)=0,"NA",J10/$F10*1000)</f>
        <v>7.6855862540282788E-2</v>
      </c>
      <c r="I10" s="3192">
        <f>IF(SUM(I11:I14)=0,"NO",SUM(I11:I14))</f>
        <v>8.4877307331243266</v>
      </c>
      <c r="J10" s="420">
        <f>IF(SUM(J11:J14)=0,"NO",SUM(J11:J14))</f>
        <v>0.34624935035977589</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2219.0922550395799</v>
      </c>
      <c r="G11" s="4153">
        <f>IF(SUM($F11)=0,"NA",I11/$F11*1000)</f>
        <v>1.8666666666666654</v>
      </c>
      <c r="H11" s="4154">
        <f>IF(SUM($F11)=0,"NA",J11/$F11*1000)</f>
        <v>7.1657142857142794E-2</v>
      </c>
      <c r="I11" s="3326">
        <v>4.1423055427405462</v>
      </c>
      <c r="J11" s="3327">
        <v>0.15901381073255033</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793.67852748745304</v>
      </c>
      <c r="G12" s="4155">
        <f t="shared" ref="G12:G28" si="0">IF(SUM($F12)=0,"NA",I12/$F12*1000)</f>
        <v>1.866666666666668</v>
      </c>
      <c r="H12" s="4154">
        <f t="shared" ref="H12:H28" si="1">IF(SUM($F12)=0,"NA",J12/$F12*1000)</f>
        <v>8.3600000000000063E-2</v>
      </c>
      <c r="I12" s="3180">
        <v>1.4815332513099133</v>
      </c>
      <c r="J12" s="3327">
        <v>6.6351524897951125E-2</v>
      </c>
      <c r="L12" s="1324" t="s">
        <v>952</v>
      </c>
      <c r="M12" s="4177">
        <v>0.33174410370966001</v>
      </c>
      <c r="N12" s="4177">
        <v>0.33451861989824</v>
      </c>
      <c r="O12" s="4177">
        <v>0.29041828353379001</v>
      </c>
      <c r="P12" s="4178">
        <v>0.26044700026896</v>
      </c>
      <c r="Q12" s="4178">
        <v>0.34553036459433001</v>
      </c>
      <c r="R12" s="4178">
        <v>0.31765772480324</v>
      </c>
      <c r="S12" s="4178">
        <v>0.81499999999999995</v>
      </c>
      <c r="T12" s="4178">
        <v>0.35606345294849001</v>
      </c>
      <c r="U12" s="4178">
        <v>0.3320793981452983</v>
      </c>
      <c r="V12" s="4178">
        <v>0.66234337828104872</v>
      </c>
      <c r="W12" s="4178">
        <v>0.21967624164832514</v>
      </c>
      <c r="X12" s="4152">
        <v>0.34267418455413762</v>
      </c>
    </row>
    <row r="13" spans="2:24" ht="18" customHeight="1" thickBot="1" x14ac:dyDescent="0.25">
      <c r="B13" s="439" t="s">
        <v>953</v>
      </c>
      <c r="C13" s="440" t="s">
        <v>2147</v>
      </c>
      <c r="D13" s="440" t="s">
        <v>2147</v>
      </c>
      <c r="E13" s="440" t="s">
        <v>2147</v>
      </c>
      <c r="F13" s="4152">
        <v>51.625686068088001</v>
      </c>
      <c r="G13" s="4155">
        <f t="shared" si="0"/>
        <v>1.96</v>
      </c>
      <c r="H13" s="4154">
        <f t="shared" si="1"/>
        <v>5.9714285714285713E-2</v>
      </c>
      <c r="I13" s="3180">
        <v>0.10118634469345247</v>
      </c>
      <c r="J13" s="3327">
        <v>3.082790968065826E-3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1440.7816520498047</v>
      </c>
      <c r="G14" s="4157">
        <f t="shared" si="0"/>
        <v>1.9175047034017292</v>
      </c>
      <c r="H14" s="4158">
        <f t="shared" si="1"/>
        <v>8.1762023824784563E-2</v>
      </c>
      <c r="I14" s="3199">
        <f>IF(SUM(I15:I19)=0,"NO",SUM(I15:I19))</f>
        <v>2.7627055943804142</v>
      </c>
      <c r="J14" s="3085">
        <f>IF(SUM(J15:J19)=0,"NO",SUM(J15:J19))</f>
        <v>0.11780122376120859</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217.13243886505799</v>
      </c>
      <c r="G15" s="4159">
        <f t="shared" si="0"/>
        <v>1.866666666666666</v>
      </c>
      <c r="H15" s="4160">
        <f t="shared" si="1"/>
        <v>9.5542857142857124E-2</v>
      </c>
      <c r="I15" s="3328">
        <v>0.40531388588144146</v>
      </c>
      <c r="J15" s="3327">
        <v>2.0745453587564393E-2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350.22023193498899</v>
      </c>
      <c r="G16" s="4161">
        <f t="shared" si="0"/>
        <v>1.8666666666666685</v>
      </c>
      <c r="H16" s="4162">
        <f t="shared" si="1"/>
        <v>7.1657142857142919E-2</v>
      </c>
      <c r="I16" s="3329">
        <v>0.65374443294531337</v>
      </c>
      <c r="J16" s="3327">
        <v>2.5095781191227233E-2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49.129430054238597</v>
      </c>
      <c r="G17" s="4161">
        <f t="shared" si="0"/>
        <v>1.8666666666666678</v>
      </c>
      <c r="H17" s="4162">
        <f t="shared" si="1"/>
        <v>7.1657142857142905E-2</v>
      </c>
      <c r="I17" s="3329">
        <v>9.1708269434578771E-2</v>
      </c>
      <c r="J17" s="3327">
        <v>3.5204745878865849E-3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784.78404165120003</v>
      </c>
      <c r="G18" s="4161">
        <f t="shared" si="0"/>
        <v>1.9599999999999995</v>
      </c>
      <c r="H18" s="4162">
        <f t="shared" si="1"/>
        <v>8.3599999999999994E-2</v>
      </c>
      <c r="I18" s="3329">
        <v>1.5381767216363518</v>
      </c>
      <c r="J18" s="3327">
        <v>6.5607945882040317E-2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39.515509544319102</v>
      </c>
      <c r="G19" s="4161">
        <f t="shared" si="0"/>
        <v>1.8666666666666671</v>
      </c>
      <c r="H19" s="4162">
        <f t="shared" si="1"/>
        <v>7.1657142857142878E-2</v>
      </c>
      <c r="I19" s="3329">
        <v>7.3762284482729007E-2</v>
      </c>
      <c r="J19" s="3327">
        <v>2.8315685124900665E-3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371.75672611170899</v>
      </c>
      <c r="G20" s="4165">
        <f t="shared" si="0"/>
        <v>1.8666666666666658</v>
      </c>
      <c r="H20" s="4166">
        <f t="shared" si="1"/>
        <v>0.10748571428571424</v>
      </c>
      <c r="I20" s="3220">
        <f>I21</f>
        <v>0.69394588874185648</v>
      </c>
      <c r="J20" s="449">
        <f>J21</f>
        <v>3.9958537246635673E-2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371.75672611170899</v>
      </c>
      <c r="G21" s="4168">
        <f t="shared" si="0"/>
        <v>1.8666666666666658</v>
      </c>
      <c r="H21" s="4158">
        <f t="shared" si="1"/>
        <v>0.10748571428571424</v>
      </c>
      <c r="I21" s="3199">
        <f>I22</f>
        <v>0.69394588874185648</v>
      </c>
      <c r="J21" s="3085">
        <f>J22</f>
        <v>3.9958537246635673E-2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371.75672611170899</v>
      </c>
      <c r="G22" s="4170">
        <f t="shared" si="0"/>
        <v>1.8666666666666658</v>
      </c>
      <c r="H22" s="4171">
        <f t="shared" si="1"/>
        <v>0.10748571428571424</v>
      </c>
      <c r="I22" s="3330">
        <v>0.69394588874185648</v>
      </c>
      <c r="J22" s="3331">
        <v>3.9958537246635673E-2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679.29499199999998</v>
      </c>
      <c r="G26" s="4175">
        <f t="shared" si="0"/>
        <v>1.8666666666666665</v>
      </c>
      <c r="H26" s="4176">
        <f t="shared" si="1"/>
        <v>5.9714285714285713E-2</v>
      </c>
      <c r="I26" s="3332">
        <v>1.2680173183999999</v>
      </c>
      <c r="J26" s="3333">
        <v>4.0563615236571426E-2</v>
      </c>
      <c r="L26" s="159"/>
    </row>
    <row r="27" spans="2:24" ht="18" customHeight="1" x14ac:dyDescent="0.2">
      <c r="B27" s="446" t="s">
        <v>963</v>
      </c>
      <c r="C27" s="447"/>
      <c r="D27" s="448"/>
      <c r="E27" s="448"/>
      <c r="F27" s="4164">
        <f>IF(SUM(F28:F29)=0,"NO",SUM(F28:F29))</f>
        <v>95.594201574546091</v>
      </c>
      <c r="G27" s="4165">
        <f t="shared" si="0"/>
        <v>1.8700855303385533</v>
      </c>
      <c r="H27" s="4166">
        <f t="shared" si="1"/>
        <v>0.11054803931753326</v>
      </c>
      <c r="I27" s="3220">
        <f>IF(SUM(I28:I29)=0,"NO",SUM(I28:I29))</f>
        <v>0.17876933314882559</v>
      </c>
      <c r="J27" s="449">
        <f>IF(SUM(J28:J29)=0,"NO",SUM(J28:J29))</f>
        <v>1.0567751554191122E-2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3.5016808179245</v>
      </c>
      <c r="G28" s="4161">
        <f t="shared" si="0"/>
        <v>1.9600000000000013</v>
      </c>
      <c r="H28" s="4162">
        <f t="shared" si="1"/>
        <v>0.19108571428571444</v>
      </c>
      <c r="I28" s="3329">
        <v>6.863294403132025E-3</v>
      </c>
      <c r="J28" s="3327">
        <v>6.6912118029368792E-4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92.092520756621596</v>
      </c>
      <c r="G29" s="4161">
        <f t="shared" ref="G29" si="2">IF(SUM($F29)=0,"NA",I29/$F29*1000)</f>
        <v>1.8666666666666658</v>
      </c>
      <c r="H29" s="4162">
        <f t="shared" ref="H29" si="3">IF(SUM($F29)=0,"NA",J29/$F29*1000)</f>
        <v>0.10748571428571421</v>
      </c>
      <c r="I29" s="3329">
        <v>0.17190603874569357</v>
      </c>
      <c r="J29" s="3327">
        <v>9.8986303738974341E-3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316.7677447778139</v>
      </c>
    </row>
    <row r="11" spans="2:5" s="83" customFormat="1" ht="18" customHeight="1" x14ac:dyDescent="0.2">
      <c r="B11" s="1854" t="s">
        <v>972</v>
      </c>
      <c r="C11" s="4187">
        <v>702795.43898312806</v>
      </c>
      <c r="D11" s="3594">
        <f>IF(SUM(C11)=0,"NA",E11*1000/(44/12)/C11)</f>
        <v>0.10800000000000001</v>
      </c>
      <c r="E11" s="3431">
        <v>278.30699383731871</v>
      </c>
    </row>
    <row r="12" spans="2:5" s="83" customFormat="1" ht="18" customHeight="1" x14ac:dyDescent="0.2">
      <c r="B12" s="1854" t="s">
        <v>973</v>
      </c>
      <c r="C12" s="4187">
        <v>84933.568510478901</v>
      </c>
      <c r="D12" s="3594">
        <f t="shared" ref="D12:D16" si="0">IF(SUM(C12)=0,"NA",E12*1000/(44/12)/C12)</f>
        <v>0.1235</v>
      </c>
      <c r="E12" s="3431">
        <v>38.460750940495195</v>
      </c>
    </row>
    <row r="13" spans="2:5" s="83" customFormat="1" ht="18" customHeight="1" x14ac:dyDescent="0.2">
      <c r="B13" s="846" t="s">
        <v>974</v>
      </c>
      <c r="C13" s="4188">
        <v>508695.65217391303</v>
      </c>
      <c r="D13" s="4189">
        <f t="shared" si="0"/>
        <v>0.20000000000000004</v>
      </c>
      <c r="E13" s="3432">
        <v>373.04347826086962</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93300.057357073572</v>
      </c>
      <c r="D10" s="2989">
        <f t="shared" ref="D10:H10" si="0">IF(SUM(D11,D14,D17,D20,D23,D26,D29:D30)=0,"NO",SUM(D11,D14,D17,D20,D23,D26,D29:D30))</f>
        <v>642.35938777762067</v>
      </c>
      <c r="E10" s="2989">
        <f t="shared" si="0"/>
        <v>14.065730973393464</v>
      </c>
      <c r="F10" s="2989">
        <f t="shared" si="0"/>
        <v>697.27528470039272</v>
      </c>
      <c r="G10" s="2989">
        <f t="shared" si="0"/>
        <v>19344.567667515479</v>
      </c>
      <c r="H10" s="2990">
        <f t="shared" si="0"/>
        <v>824.18921818552553</v>
      </c>
      <c r="I10" s="2991">
        <f>IF(SUM(C10:E10)=0,"NO",SUM(C10)+28*SUM(D10)+265*SUM(E10))</f>
        <v>115013.53892279622</v>
      </c>
    </row>
    <row r="11" spans="2:9" ht="18" customHeight="1" x14ac:dyDescent="0.2">
      <c r="B11" s="473" t="s">
        <v>981</v>
      </c>
      <c r="C11" s="2992">
        <f>IF(SUM(C12:C13)=0,"NO",SUM(C12:C13))</f>
        <v>-16278.679950053735</v>
      </c>
      <c r="D11" s="2992">
        <f t="shared" ref="D11:H11" si="1">IF(SUM(D12:D13)=0,"NO",SUM(D12:D13))</f>
        <v>250.53237575598624</v>
      </c>
      <c r="E11" s="2992">
        <f t="shared" si="1"/>
        <v>4.9733235005788536</v>
      </c>
      <c r="F11" s="2992">
        <f t="shared" si="1"/>
        <v>257.51264739740992</v>
      </c>
      <c r="G11" s="2992">
        <f t="shared" si="1"/>
        <v>7009.3863247429563</v>
      </c>
      <c r="H11" s="2993">
        <f t="shared" si="1"/>
        <v>263.26799984058192</v>
      </c>
      <c r="I11" s="2994">
        <f t="shared" ref="I11:I32" si="2">IF(SUM(C11:E11)=0,"NO",SUM(C11)+28*SUM(D11)+265*SUM(E11))</f>
        <v>-7945.8427012327247</v>
      </c>
    </row>
    <row r="12" spans="2:9" ht="18" customHeight="1" x14ac:dyDescent="0.2">
      <c r="B12" s="474" t="s">
        <v>982</v>
      </c>
      <c r="C12" s="2995">
        <f>IF(SUM(Table4.A!U11,'Table4(IV)'!J12)=0,"NO",SUM(Table4.A!U11,'Table4(IV)'!J12))</f>
        <v>-7911.0445318134753</v>
      </c>
      <c r="D12" s="2995">
        <f>'Table4(IV)'!K12</f>
        <v>250.05855511399858</v>
      </c>
      <c r="E12" s="2995">
        <f>IF(SUM('Table4(III)'!I12,'Table4(IV)'!L12)=0,"NO",SUM('Table4(III)'!I12,'Table4(IV)'!L12))</f>
        <v>4.4448498693682161</v>
      </c>
      <c r="F12" s="2905">
        <v>257.14665319357738</v>
      </c>
      <c r="G12" s="2905">
        <v>6997.3438350181395</v>
      </c>
      <c r="H12" s="2906">
        <v>262.24742477579645</v>
      </c>
      <c r="I12" s="2996">
        <f t="shared" si="2"/>
        <v>268.48022676106211</v>
      </c>
    </row>
    <row r="13" spans="2:9" ht="18" customHeight="1" thickBot="1" x14ac:dyDescent="0.25">
      <c r="B13" s="475" t="s">
        <v>983</v>
      </c>
      <c r="C13" s="2997">
        <f>IF(SUM(Table4.A!U16,'Table4(IV)'!J19)=0,"NO",SUM(Table4.A!U16,'Table4(IV)'!J19))</f>
        <v>-8367.6354182402592</v>
      </c>
      <c r="D13" s="2997">
        <f>'Table4(IV)'!K19</f>
        <v>0.473820641987653</v>
      </c>
      <c r="E13" s="2997">
        <f>IF(SUM('Table4(III)'!I13,'Table4(IV)'!L19)=0,"NO",SUM('Table4(III)'!I13,'Table4(IV)'!L19))</f>
        <v>0.52847363121063762</v>
      </c>
      <c r="F13" s="2908">
        <v>0.36599420383256265</v>
      </c>
      <c r="G13" s="2908">
        <v>12.042489724816477</v>
      </c>
      <c r="H13" s="2907">
        <v>1.0205750647854748</v>
      </c>
      <c r="I13" s="2998">
        <f t="shared" si="2"/>
        <v>-8214.3229279937859</v>
      </c>
    </row>
    <row r="14" spans="2:9" ht="18" customHeight="1" x14ac:dyDescent="0.2">
      <c r="B14" s="473" t="s">
        <v>984</v>
      </c>
      <c r="C14" s="2992">
        <f>IF(SUM(C15:C16)=0,"NO",SUM(C15:C16))</f>
        <v>26788.73302578416</v>
      </c>
      <c r="D14" s="2992">
        <f t="shared" ref="D14" si="3">IF(SUM(D15:D16)=0,"NO",SUM(D15:D16))</f>
        <v>10.180936800000001</v>
      </c>
      <c r="E14" s="2992">
        <f t="shared" ref="E14" si="4">IF(SUM(E15:E16)=0,"NO",SUM(E15:E16))</f>
        <v>0.34728920466759539</v>
      </c>
      <c r="F14" s="2992">
        <f t="shared" ref="F14" si="5">IF(SUM(F15:F16)=0,"NO",SUM(F15:F16))</f>
        <v>7.6660030071428569</v>
      </c>
      <c r="G14" s="2992">
        <f t="shared" ref="G14" si="6">IF(SUM(G15:G16)=0,"NO",SUM(G15:G16))</f>
        <v>300.2433676666667</v>
      </c>
      <c r="H14" s="2993">
        <f t="shared" ref="H14" si="7">IF(SUM(H15:H16)=0,"NO",SUM(H15:H16))</f>
        <v>36.293154333333341</v>
      </c>
      <c r="I14" s="2999">
        <f t="shared" si="2"/>
        <v>27165.830895421073</v>
      </c>
    </row>
    <row r="15" spans="2:9" ht="18" customHeight="1" x14ac:dyDescent="0.2">
      <c r="B15" s="474" t="s">
        <v>985</v>
      </c>
      <c r="C15" s="2995">
        <f>IF(SUM(Table4.B!S11,'Table4(IV)'!J26)=0,"NO",SUM(Table4.B!S11,'Table4(IV)'!J26))</f>
        <v>16294.891518975781</v>
      </c>
      <c r="D15" s="2995" t="str">
        <f>'Table4(IV)'!K26</f>
        <v>IE</v>
      </c>
      <c r="E15" s="2995" t="str">
        <f>'Table4(IV)'!L26</f>
        <v>IE</v>
      </c>
      <c r="F15" s="2905" t="s">
        <v>2153</v>
      </c>
      <c r="G15" s="2905" t="s">
        <v>2153</v>
      </c>
      <c r="H15" s="2906" t="s">
        <v>2153</v>
      </c>
      <c r="I15" s="2996">
        <f t="shared" si="2"/>
        <v>16294.891518975781</v>
      </c>
    </row>
    <row r="16" spans="2:9" ht="18" customHeight="1" thickBot="1" x14ac:dyDescent="0.25">
      <c r="B16" s="475" t="s">
        <v>986</v>
      </c>
      <c r="C16" s="2997">
        <f>IF(SUM(Table4.B!S13,'Table4(IV)'!J31)=0,"IE",SUM(Table4.B!S13,'Table4(IV)'!J31))</f>
        <v>10493.841506808378</v>
      </c>
      <c r="D16" s="2997">
        <f>'Table4(IV)'!K31</f>
        <v>10.180936800000001</v>
      </c>
      <c r="E16" s="2997">
        <f>IF(SUM('Table4(III)'!I21,'Table4(IV)'!L31)=0,"IE",SUM('Table4(III)'!I21,'Table4(IV)'!L31))</f>
        <v>0.34728920466759539</v>
      </c>
      <c r="F16" s="2908">
        <v>7.6660030071428569</v>
      </c>
      <c r="G16" s="2908">
        <v>300.2433676666667</v>
      </c>
      <c r="H16" s="2907">
        <v>36.293154333333341</v>
      </c>
      <c r="I16" s="2998">
        <f t="shared" si="2"/>
        <v>10870.939376445291</v>
      </c>
    </row>
    <row r="17" spans="2:9" ht="18" customHeight="1" x14ac:dyDescent="0.2">
      <c r="B17" s="473" t="s">
        <v>987</v>
      </c>
      <c r="C17" s="2992">
        <f>IF(SUM(C18:C19)=0,"NO",SUM(C18:C19))</f>
        <v>81142.990304352454</v>
      </c>
      <c r="D17" s="2992">
        <f t="shared" ref="D17" si="8">IF(SUM(D18:D19)=0,"NO",SUM(D18:D19))</f>
        <v>290.79311439165775</v>
      </c>
      <c r="E17" s="2992">
        <f t="shared" ref="E17" si="9">IF(SUM(E18:E19)=0,"NO",SUM(E18:E19))</f>
        <v>8.3647743180925715</v>
      </c>
      <c r="F17" s="2992">
        <f t="shared" ref="F17" si="10">IF(SUM(F18:F19)=0,"NO",SUM(F18:F19))</f>
        <v>411.75350840615755</v>
      </c>
      <c r="G17" s="2992">
        <f t="shared" ref="G17" si="11">IF(SUM(G18:G19)=0,"NO",SUM(G18:G19))</f>
        <v>11492.174706018612</v>
      </c>
      <c r="H17" s="2993">
        <f t="shared" ref="H17" si="12">IF(SUM(H18:H19)=0,"NO",SUM(H18:H19))</f>
        <v>507.23836358687657</v>
      </c>
      <c r="I17" s="2999">
        <f t="shared" si="2"/>
        <v>91501.862701613398</v>
      </c>
    </row>
    <row r="18" spans="2:9" ht="18" customHeight="1" x14ac:dyDescent="0.2">
      <c r="B18" s="474" t="s">
        <v>988</v>
      </c>
      <c r="C18" s="2995">
        <f>IF(SUM(Table4.C!S11,'Table4(IV)'!J37)=0,"IE",SUM(Table4.C!S11,'Table4(IV)'!J37))</f>
        <v>-14237.789945647835</v>
      </c>
      <c r="D18" s="2995">
        <f>'Table4(IV)'!K37</f>
        <v>156.21194294128054</v>
      </c>
      <c r="E18" s="2995">
        <f>IF(SUM('Table4(III)'!I29,'Table4(IV)'!L37)=0,"NO",SUM('Table4(III)'!I29,'Table4(IV)'!L37))</f>
        <v>5.396509036927676</v>
      </c>
      <c r="F18" s="2905">
        <v>309.74444466604211</v>
      </c>
      <c r="G18" s="2905">
        <v>7515.1917672846184</v>
      </c>
      <c r="H18" s="2906">
        <v>29.970808931275041</v>
      </c>
      <c r="I18" s="2996">
        <f t="shared" si="2"/>
        <v>-8433.7806485061465</v>
      </c>
    </row>
    <row r="19" spans="2:9" ht="18" customHeight="1" thickBot="1" x14ac:dyDescent="0.25">
      <c r="B19" s="475" t="s">
        <v>989</v>
      </c>
      <c r="C19" s="2997">
        <f>IF(SUM(Table4.C!S15,'Table4(IV)'!J42)=0,"IE",SUM(Table4.C!S15,'Table4(IV)'!J42))</f>
        <v>95380.780250000287</v>
      </c>
      <c r="D19" s="2997">
        <f>'Table4(IV)'!K42</f>
        <v>134.58117145037721</v>
      </c>
      <c r="E19" s="2997">
        <f>IF(SUM('Table4(III)'!I30,'Table4(IV)'!L42)=0,"NO",SUM('Table4(III)'!I30,'Table4(IV)'!L42))</f>
        <v>2.9682652811648955</v>
      </c>
      <c r="F19" s="2908">
        <v>102.00906374011542</v>
      </c>
      <c r="G19" s="2908">
        <v>3976.9829387339928</v>
      </c>
      <c r="H19" s="2907">
        <v>477.26755465560154</v>
      </c>
      <c r="I19" s="2998">
        <f t="shared" si="2"/>
        <v>99935.643350119542</v>
      </c>
    </row>
    <row r="20" spans="2:9" ht="18" customHeight="1" x14ac:dyDescent="0.2">
      <c r="B20" s="473" t="s">
        <v>2027</v>
      </c>
      <c r="C20" s="2992">
        <f>IF(SUM(C21:C22)=0,"NO",SUM(C21:C22))</f>
        <v>1945.4130819571167</v>
      </c>
      <c r="D20" s="2992">
        <f t="shared" ref="D20" si="13">IF(SUM(D21:D22)=0,"NO",SUM(D21:D22))</f>
        <v>86.046996829976621</v>
      </c>
      <c r="E20" s="2992">
        <f t="shared" ref="E20" si="14">IF(SUM(E21:E22)=0,"NO",SUM(E21:E22))</f>
        <v>0.23163920607718325</v>
      </c>
      <c r="F20" s="2992">
        <f t="shared" ref="F20" si="15">IF(SUM(F21:F22)=0,"NO",SUM(F21:F22))</f>
        <v>16.724349425396646</v>
      </c>
      <c r="G20" s="2992">
        <f t="shared" ref="G20" si="16">IF(SUM(G21:G22)=0,"NO",SUM(G21:G22))</f>
        <v>401.03183075391183</v>
      </c>
      <c r="H20" s="2993">
        <f t="shared" ref="H20" si="17">IF(SUM(H21:H22)=0,"NO",SUM(H21:H22))</f>
        <v>0.25732875806709343</v>
      </c>
      <c r="I20" s="2999">
        <f t="shared" si="2"/>
        <v>4416.113382806916</v>
      </c>
    </row>
    <row r="21" spans="2:9" ht="18" customHeight="1" x14ac:dyDescent="0.2">
      <c r="B21" s="474" t="s">
        <v>990</v>
      </c>
      <c r="C21" s="2995">
        <f>IF(SUM(Table4.D!S11,'Table4(IV)'!J49)=0,"IE",SUM(Table4.D!S11,'Table4(IV)'!J49))</f>
        <v>354.53441529045017</v>
      </c>
      <c r="D21" s="2995">
        <f>IF(SUM('Table4(IV)'!K49,'Table4(II)'!J270)=0,"NO",SUM('Table4(IV)'!K49,'Table4(II)'!J270))</f>
        <v>59.56196996251289</v>
      </c>
      <c r="E21" s="2995">
        <f>IF(SUM('Table4(II)'!I270,'Table4(III)'!I38,'Table4(IV)'!L49)=0,"NO",SUM('Table4(II)'!I270,'Table4(III)'!I38,'Table4(IV)'!L49))</f>
        <v>0.23163920607718325</v>
      </c>
      <c r="F21" s="2905">
        <v>16.724349425396646</v>
      </c>
      <c r="G21" s="2905">
        <v>401.03183075391183</v>
      </c>
      <c r="H21" s="2906">
        <v>0.25732875806709343</v>
      </c>
      <c r="I21" s="2996">
        <f t="shared" si="2"/>
        <v>2083.6539638512645</v>
      </c>
    </row>
    <row r="22" spans="2:9" ht="18" customHeight="1" thickBot="1" x14ac:dyDescent="0.25">
      <c r="B22" s="475" t="s">
        <v>991</v>
      </c>
      <c r="C22" s="2997">
        <f>IF(SUM(Table4.D!S23,'Table4(II)'!H320,'Table4(IV)'!J54)=0,"NO",SUM(Table4.D!S23,'Table4(II)'!H320,'Table4(IV)'!J54))</f>
        <v>1590.8786666666665</v>
      </c>
      <c r="D22" s="2997">
        <f>IF(SUM('Table4(IV)'!K54,'Table4(II)'!J320)=0,"NO",SUM('Table4(IV)'!K54,'Table4(II)'!J320))</f>
        <v>26.485026867463738</v>
      </c>
      <c r="E22" s="2997" t="str">
        <f>IF(SUM('Table4(II)'!I320,'Table4(III)'!I39,'Table4(IV)'!L54)=0,"NO",SUM('Table4(II)'!I320,'Table4(III)'!I39,'Table4(IV)'!L54))</f>
        <v>NO</v>
      </c>
      <c r="F22" s="2908" t="s">
        <v>2153</v>
      </c>
      <c r="G22" s="2908" t="s">
        <v>2153</v>
      </c>
      <c r="H22" s="2907" t="s">
        <v>2153</v>
      </c>
      <c r="I22" s="2998">
        <f t="shared" si="2"/>
        <v>2332.459418955651</v>
      </c>
    </row>
    <row r="23" spans="2:9" ht="18" customHeight="1" x14ac:dyDescent="0.2">
      <c r="B23" s="473" t="s">
        <v>992</v>
      </c>
      <c r="C23" s="2992">
        <f>IF(SUM(C24:C25)=0,"NO",SUM(C24:C25))</f>
        <v>6400.8493995465396</v>
      </c>
      <c r="D23" s="2992">
        <f t="shared" ref="D23" si="18">IF(SUM(D24:D25)=0,"NO",SUM(D24:D25))</f>
        <v>4.8059639999999995</v>
      </c>
      <c r="E23" s="2992">
        <f t="shared" ref="E23" si="19">IF(SUM(E24:E25)=0,"NO",SUM(E24:E25))</f>
        <v>0.12058072969154435</v>
      </c>
      <c r="F23" s="2992">
        <f>IF(SUM(F24:F25)=0,"NO",SUM(F24:F25))</f>
        <v>3.6187764642857143</v>
      </c>
      <c r="G23" s="2992">
        <f t="shared" ref="G23" si="20">IF(SUM(G24:G25)=0,"NO",SUM(G24:G25))</f>
        <v>141.73143833333336</v>
      </c>
      <c r="H23" s="2993">
        <f t="shared" ref="H23" si="21">IF(SUM(H24:H25)=0,"NO",SUM(H24:H25))</f>
        <v>17.132371666666668</v>
      </c>
      <c r="I23" s="2999">
        <f t="shared" si="2"/>
        <v>6567.3702849147985</v>
      </c>
    </row>
    <row r="24" spans="2:9" ht="18" customHeight="1" x14ac:dyDescent="0.2">
      <c r="B24" s="474" t="s">
        <v>993</v>
      </c>
      <c r="C24" s="2995">
        <f>IF(SUM(Table4.E!S11,'Table4(IV)'!J60)=0,"IE",SUM(Table4.E!S11,'Table4(IV)'!J60))</f>
        <v>-19.914954689371719</v>
      </c>
      <c r="D24" s="2995" t="str">
        <f>'Table4(IV)'!K60</f>
        <v>IE</v>
      </c>
      <c r="E24" s="2995">
        <f>IF(SUM('Table4(III)'!I47,'Table4(IV)'!L60)=0,"IE",SUM('Table4(III)'!I47,'Table4(IV)'!L60))</f>
        <v>5.6199136735988998E-4</v>
      </c>
      <c r="F24" s="2905" t="s">
        <v>2154</v>
      </c>
      <c r="G24" s="2905" t="s">
        <v>2154</v>
      </c>
      <c r="H24" s="2906" t="s">
        <v>2154</v>
      </c>
      <c r="I24" s="2996">
        <f t="shared" si="2"/>
        <v>-19.766026977021347</v>
      </c>
    </row>
    <row r="25" spans="2:9" ht="18" customHeight="1" thickBot="1" x14ac:dyDescent="0.25">
      <c r="B25" s="475" t="s">
        <v>994</v>
      </c>
      <c r="C25" s="2997">
        <f>IF(SUM(Table4.E!S13,'Table4(IV)'!J65)=0,"IE",SUM(Table4.E!S13,'Table4(IV)'!J65))</f>
        <v>6420.764354235911</v>
      </c>
      <c r="D25" s="2997">
        <f>'Table4(IV)'!K65</f>
        <v>4.8059639999999995</v>
      </c>
      <c r="E25" s="2997">
        <f>IF(SUM('Table4(III)'!I48,'Table4(IV)'!L65)=0,"NO",SUM('Table4(III)'!I48,'Table4(IV)'!L65))</f>
        <v>0.12001873832418446</v>
      </c>
      <c r="F25" s="2908">
        <v>3.6187764642857143</v>
      </c>
      <c r="G25" s="2908">
        <v>141.73143833333336</v>
      </c>
      <c r="H25" s="2907">
        <v>17.132371666666668</v>
      </c>
      <c r="I25" s="2998">
        <f t="shared" si="2"/>
        <v>6587.1363118918198</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-6699.2485045129597</v>
      </c>
      <c r="D29" s="3004"/>
      <c r="E29" s="3004"/>
      <c r="F29" s="3004"/>
      <c r="G29" s="3004"/>
      <c r="H29" s="3005"/>
      <c r="I29" s="3006">
        <f t="shared" si="2"/>
        <v>-6699.2485045129597</v>
      </c>
    </row>
    <row r="30" spans="2:9" ht="18" customHeight="1" x14ac:dyDescent="0.2">
      <c r="B30" s="1168" t="s">
        <v>2063</v>
      </c>
      <c r="C30" s="3007" t="str">
        <f>IF(SUM(C31:C32)=0,"NO",SUM(C31:C32))</f>
        <v>NO</v>
      </c>
      <c r="D30" s="3007" t="str">
        <f t="shared" ref="D30" si="27">IF(SUM(D31:D32)=0,"NO",SUM(D31:D32))</f>
        <v>NO</v>
      </c>
      <c r="E30" s="3007">
        <f t="shared" ref="E30" si="28">IF(SUM(E31:E32)=0,"NO",SUM(E31:E32))</f>
        <v>2.8124014285714288E-2</v>
      </c>
      <c r="F30" s="3007" t="str">
        <f t="shared" ref="F30" si="29">IF(SUM(F31:F32)=0,"NO",SUM(F31:F32))</f>
        <v>NO</v>
      </c>
      <c r="G30" s="3007" t="str">
        <f t="shared" ref="G30" si="30">IF(SUM(G31:G32)=0,"NO",SUM(G31:G32))</f>
        <v>NO</v>
      </c>
      <c r="H30" s="3008" t="str">
        <f t="shared" ref="H30" si="31">IF(SUM(H31:H32)=0,"NO",SUM(H31:H32))</f>
        <v>NO</v>
      </c>
      <c r="I30" s="3009">
        <f t="shared" si="2"/>
        <v>7.4528637857142863</v>
      </c>
    </row>
    <row r="31" spans="2:9" ht="18" customHeight="1" x14ac:dyDescent="0.2">
      <c r="B31" s="2677" t="s">
        <v>2218</v>
      </c>
      <c r="C31" s="3010" t="s">
        <v>2146</v>
      </c>
      <c r="D31" s="3010" t="s">
        <v>2146</v>
      </c>
      <c r="E31" s="3010">
        <v>2.8124014285714288E-2</v>
      </c>
      <c r="F31" s="3010" t="s">
        <v>2146</v>
      </c>
      <c r="G31" s="3010" t="s">
        <v>2146</v>
      </c>
      <c r="H31" s="3011" t="s">
        <v>2146</v>
      </c>
      <c r="I31" s="3012">
        <f t="shared" si="2"/>
        <v>7.4528637857142863</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265479.52700305701</v>
      </c>
      <c r="D10" s="3765">
        <f t="shared" ref="D10:I10" si="0">IF(SUM(D11,D37,D47)=0,"NO",SUM(D11,D37,D47))</f>
        <v>1361.1543789293739</v>
      </c>
      <c r="E10" s="3765">
        <f t="shared" si="0"/>
        <v>6.9040599045912607</v>
      </c>
      <c r="F10" s="3765">
        <f t="shared" si="0"/>
        <v>1576.6896524200988</v>
      </c>
      <c r="G10" s="3765">
        <f t="shared" si="0"/>
        <v>5471.1899284091569</v>
      </c>
      <c r="H10" s="3765">
        <f t="shared" si="0"/>
        <v>805.06612498682421</v>
      </c>
      <c r="I10" s="3766">
        <f t="shared" si="0"/>
        <v>554.66945286714747</v>
      </c>
      <c r="J10" s="3028">
        <f t="shared" ref="J10:J40" si="1">IF(SUM(C10:E10)=0,"NO",SUM(C10,IFERROR(28*D10,0),IFERROR(265*E10,0)))</f>
        <v>305421.42548779614</v>
      </c>
    </row>
    <row r="11" spans="2:10" s="83" customFormat="1" ht="18" customHeight="1" thickBot="1" x14ac:dyDescent="0.25">
      <c r="B11" s="18" t="s">
        <v>75</v>
      </c>
      <c r="C11" s="3029">
        <f>IF(SUM(C12,C16,C24,C30,C34)=0,"NO",SUM(C12,C16,C24,C30,C34))</f>
        <v>258175.82649789355</v>
      </c>
      <c r="D11" s="3029">
        <f t="shared" ref="D11:I11" si="2">IF(SUM(D12,D16,D24,D30,D34)=0,"NO",SUM(D12,D16,D24,D30,D34))</f>
        <v>137.42769839021483</v>
      </c>
      <c r="E11" s="3029">
        <f t="shared" si="2"/>
        <v>6.7766706748586705</v>
      </c>
      <c r="F11" s="3029">
        <f t="shared" si="2"/>
        <v>1572.7769414787022</v>
      </c>
      <c r="G11" s="3029">
        <f t="shared" si="2"/>
        <v>5448.4947049490565</v>
      </c>
      <c r="H11" s="3029">
        <f t="shared" si="2"/>
        <v>626.19936840765365</v>
      </c>
      <c r="I11" s="3030">
        <f t="shared" si="2"/>
        <v>554.66945286714747</v>
      </c>
      <c r="J11" s="3031">
        <f t="shared" si="1"/>
        <v>263819.61978165712</v>
      </c>
    </row>
    <row r="12" spans="2:10" s="83" customFormat="1" ht="18" customHeight="1" x14ac:dyDescent="0.2">
      <c r="B12" s="26" t="s">
        <v>76</v>
      </c>
      <c r="C12" s="3029">
        <f>IF(SUM(C13:C15)=0,"NO",SUM(C13:C15))</f>
        <v>149114.46071351453</v>
      </c>
      <c r="D12" s="3029">
        <f t="shared" ref="D12:I12" si="3">IF(SUM(D13:D15)=0,"NO",SUM(D13:D15))</f>
        <v>5.9263413265839855</v>
      </c>
      <c r="E12" s="3029">
        <f t="shared" si="3"/>
        <v>1.6581035249510143</v>
      </c>
      <c r="F12" s="3029">
        <f t="shared" si="3"/>
        <v>509.54099388803354</v>
      </c>
      <c r="G12" s="3029">
        <f t="shared" si="3"/>
        <v>69.179862222582699</v>
      </c>
      <c r="H12" s="3029">
        <f>IF(SUM(H13:H15)=0,"NO",SUM(H13:H15))</f>
        <v>10.713975273758411</v>
      </c>
      <c r="I12" s="3030">
        <f t="shared" si="3"/>
        <v>419.76804031552228</v>
      </c>
      <c r="J12" s="3031">
        <f t="shared" si="1"/>
        <v>149719.79570477089</v>
      </c>
    </row>
    <row r="13" spans="2:10" s="83" customFormat="1" ht="18" customHeight="1" x14ac:dyDescent="0.2">
      <c r="B13" s="20" t="s">
        <v>77</v>
      </c>
      <c r="C13" s="3032">
        <f>'Table1.A(a)s1'!H24</f>
        <v>134116.20267728728</v>
      </c>
      <c r="D13" s="3032">
        <f>'Table1.A(a)s1'!I24</f>
        <v>1.3218738387401294</v>
      </c>
      <c r="E13" s="3032">
        <f>'Table1.A(a)s1'!J24</f>
        <v>1.4449649094800268</v>
      </c>
      <c r="F13" s="3033">
        <v>400.64495446947097</v>
      </c>
      <c r="G13" s="3033">
        <v>43.060608504215367</v>
      </c>
      <c r="H13" s="3033">
        <v>3.5382033202231256</v>
      </c>
      <c r="I13" s="3034">
        <v>399.41007508043219</v>
      </c>
      <c r="J13" s="3035">
        <f t="shared" si="1"/>
        <v>134536.13084578421</v>
      </c>
    </row>
    <row r="14" spans="2:10" s="83" customFormat="1" ht="18" customHeight="1" x14ac:dyDescent="0.2">
      <c r="B14" s="20" t="s">
        <v>78</v>
      </c>
      <c r="C14" s="3032">
        <f>'Table1.A(a)s1'!H53</f>
        <v>5637.9822297319097</v>
      </c>
      <c r="D14" s="3032">
        <f>'Table1.A(a)s1'!I53</f>
        <v>6.3118914285714214E-2</v>
      </c>
      <c r="E14" s="3032">
        <f>'Table1.A(a)s1'!J53</f>
        <v>4.6445659047619006E-2</v>
      </c>
      <c r="F14" s="3033">
        <v>31.934052761904731</v>
      </c>
      <c r="G14" s="3033">
        <v>4.4075517142857095</v>
      </c>
      <c r="H14" s="3033">
        <v>7.3886310476190389E-2</v>
      </c>
      <c r="I14" s="3034">
        <v>4.4817912280701693</v>
      </c>
      <c r="J14" s="3035">
        <f t="shared" si="1"/>
        <v>5652.0576589795292</v>
      </c>
    </row>
    <row r="15" spans="2:10" s="83" customFormat="1" ht="18" customHeight="1" thickBot="1" x14ac:dyDescent="0.25">
      <c r="B15" s="21" t="s">
        <v>79</v>
      </c>
      <c r="C15" s="3036">
        <f>'Table1.A(a)s1'!H60</f>
        <v>9360.2758064953414</v>
      </c>
      <c r="D15" s="3036">
        <f>'Table1.A(a)s1'!I60</f>
        <v>4.5413485735581416</v>
      </c>
      <c r="E15" s="3036">
        <f>'Table1.A(a)s1'!J60</f>
        <v>0.16669295642336845</v>
      </c>
      <c r="F15" s="3037">
        <v>76.961986656657814</v>
      </c>
      <c r="G15" s="3037">
        <v>21.711702004081616</v>
      </c>
      <c r="H15" s="3037">
        <v>7.1018856430590942</v>
      </c>
      <c r="I15" s="3038">
        <v>15.876174007019914</v>
      </c>
      <c r="J15" s="3039">
        <f t="shared" si="1"/>
        <v>9531.6072000071617</v>
      </c>
    </row>
    <row r="16" spans="2:10" s="83" customFormat="1" ht="18" customHeight="1" x14ac:dyDescent="0.2">
      <c r="B16" s="25" t="s">
        <v>80</v>
      </c>
      <c r="C16" s="3029">
        <f>IF(SUM(C17:C23)=0,"NO",SUM(C17:C23))</f>
        <v>34991.925261337383</v>
      </c>
      <c r="D16" s="3029">
        <f t="shared" ref="D16:I16" si="4">IF(SUM(D17:D23)=0,"NO",SUM(D17:D23))</f>
        <v>1.8768319445806723</v>
      </c>
      <c r="E16" s="3029">
        <f t="shared" si="4"/>
        <v>1.0243107840034233</v>
      </c>
      <c r="F16" s="3029">
        <f t="shared" si="4"/>
        <v>467.02357807438386</v>
      </c>
      <c r="G16" s="3029">
        <f t="shared" si="4"/>
        <v>154.69854331169958</v>
      </c>
      <c r="H16" s="3029">
        <f t="shared" si="4"/>
        <v>68.406450519361897</v>
      </c>
      <c r="I16" s="3030">
        <f t="shared" si="4"/>
        <v>96.732792886865028</v>
      </c>
      <c r="J16" s="3031">
        <f t="shared" si="1"/>
        <v>35315.918913546549</v>
      </c>
    </row>
    <row r="17" spans="2:10" s="83" customFormat="1" ht="18" customHeight="1" x14ac:dyDescent="0.2">
      <c r="B17" s="20" t="s">
        <v>81</v>
      </c>
      <c r="C17" s="3032">
        <f>'Table1.A(a)s2'!H17</f>
        <v>2467.2816907995366</v>
      </c>
      <c r="D17" s="3032">
        <f>'Table1.A(a)s2'!I17</f>
        <v>9.0340198275586051E-2</v>
      </c>
      <c r="E17" s="3032">
        <f>'Table1.A(a)s2'!J17</f>
        <v>3.1999938615568088E-2</v>
      </c>
      <c r="F17" s="3033">
        <v>27.298794566493832</v>
      </c>
      <c r="G17" s="3033">
        <v>7.0742920862024024</v>
      </c>
      <c r="H17" s="3033">
        <v>2.9739331382031198</v>
      </c>
      <c r="I17" s="3034">
        <v>11.918344431848855</v>
      </c>
      <c r="J17" s="3035">
        <f t="shared" si="1"/>
        <v>2478.2912000843785</v>
      </c>
    </row>
    <row r="18" spans="2:10" s="83" customFormat="1" ht="18" customHeight="1" x14ac:dyDescent="0.2">
      <c r="B18" s="20" t="s">
        <v>82</v>
      </c>
      <c r="C18" s="3032">
        <f>'Table1.A(a)s2'!H24</f>
        <v>11930.939199612727</v>
      </c>
      <c r="D18" s="3032">
        <f>'Table1.A(a)s2'!I24</f>
        <v>0.21759853389662009</v>
      </c>
      <c r="E18" s="3032">
        <f>'Table1.A(a)s2'!J24</f>
        <v>0.12837953658498547</v>
      </c>
      <c r="F18" s="3033">
        <v>74.014159176681119</v>
      </c>
      <c r="G18" s="3033">
        <v>12.629465448203891</v>
      </c>
      <c r="H18" s="3033">
        <v>1.4279726390640317</v>
      </c>
      <c r="I18" s="3034">
        <v>53.682526731341191</v>
      </c>
      <c r="J18" s="3035">
        <f t="shared" si="1"/>
        <v>11971.052535756853</v>
      </c>
    </row>
    <row r="19" spans="2:10" s="83" customFormat="1" ht="18" customHeight="1" x14ac:dyDescent="0.2">
      <c r="B19" s="20" t="s">
        <v>83</v>
      </c>
      <c r="C19" s="3032">
        <f>'Table1.A(a)s2'!H31</f>
        <v>5357.5904845348605</v>
      </c>
      <c r="D19" s="3032">
        <f>'Table1.A(a)s2'!I31</f>
        <v>0.37132395830007586</v>
      </c>
      <c r="E19" s="3032">
        <f>'Table1.A(a)s2'!J31</f>
        <v>8.4118773653661577E-2</v>
      </c>
      <c r="F19" s="3033">
        <v>43.625341144841755</v>
      </c>
      <c r="G19" s="3033">
        <v>29.17133272719261</v>
      </c>
      <c r="H19" s="3033">
        <v>22.859477898726915</v>
      </c>
      <c r="I19" s="3034">
        <v>4.3267568148133204</v>
      </c>
      <c r="J19" s="3035">
        <f t="shared" si="1"/>
        <v>5390.2790303854827</v>
      </c>
    </row>
    <row r="20" spans="2:10" s="83" customFormat="1" ht="18" customHeight="1" x14ac:dyDescent="0.2">
      <c r="B20" s="20" t="s">
        <v>84</v>
      </c>
      <c r="C20" s="3032">
        <f>'Table1.A(a)s2'!H38</f>
        <v>1170.3211962977211</v>
      </c>
      <c r="D20" s="3032">
        <f>'Table1.A(a)s2'!I38</f>
        <v>0.16629239826839828</v>
      </c>
      <c r="E20" s="3032">
        <f>'Table1.A(a)s2'!J38</f>
        <v>0.11060867445887447</v>
      </c>
      <c r="F20" s="3033">
        <v>4.7396578008658006</v>
      </c>
      <c r="G20" s="3033">
        <v>3.9868663636363637</v>
      </c>
      <c r="H20" s="3033">
        <v>0.13216262077922075</v>
      </c>
      <c r="I20" s="3034">
        <v>1.4989829284750338</v>
      </c>
      <c r="J20" s="3035">
        <f t="shared" si="1"/>
        <v>1204.2886821808379</v>
      </c>
    </row>
    <row r="21" spans="2:10" s="83" customFormat="1" ht="18" customHeight="1" x14ac:dyDescent="0.2">
      <c r="B21" s="20" t="s">
        <v>85</v>
      </c>
      <c r="C21" s="3032">
        <f>'Table1.A(a)s2'!H45</f>
        <v>3001.1603421494779</v>
      </c>
      <c r="D21" s="3032">
        <f>'Table1.A(a)s2'!I45</f>
        <v>0.5800840951941717</v>
      </c>
      <c r="E21" s="3032">
        <f>'Table1.A(a)s2'!J45</f>
        <v>0.38418754816405276</v>
      </c>
      <c r="F21" s="3033">
        <v>17.245276494319164</v>
      </c>
      <c r="G21" s="3033">
        <v>15.138863907042113</v>
      </c>
      <c r="H21" s="3033">
        <v>0.87208172418781027</v>
      </c>
      <c r="I21" s="3034">
        <v>7.3424152361673407</v>
      </c>
      <c r="J21" s="3035">
        <f t="shared" si="1"/>
        <v>3119.2123970783887</v>
      </c>
    </row>
    <row r="22" spans="2:10" s="83" customFormat="1" ht="18" customHeight="1" x14ac:dyDescent="0.2">
      <c r="B22" s="20" t="s">
        <v>86</v>
      </c>
      <c r="C22" s="3032">
        <f>'Table1.A(a)s2'!H52</f>
        <v>4769.2530679668089</v>
      </c>
      <c r="D22" s="3032">
        <f>'Table1.A(a)s2'!I52</f>
        <v>0.12930442483432747</v>
      </c>
      <c r="E22" s="3032">
        <f>'Table1.A(a)s2'!J52</f>
        <v>3.4594478192265223E-2</v>
      </c>
      <c r="F22" s="3033">
        <v>66.20026900580838</v>
      </c>
      <c r="G22" s="3033">
        <v>10.583837117736282</v>
      </c>
      <c r="H22" s="3033">
        <v>4.0396673027325409</v>
      </c>
      <c r="I22" s="3034">
        <v>8.8913813765182201</v>
      </c>
      <c r="J22" s="3035">
        <f t="shared" si="1"/>
        <v>4782.0411285831196</v>
      </c>
    </row>
    <row r="23" spans="2:10" s="83" customFormat="1" ht="18" customHeight="1" thickBot="1" x14ac:dyDescent="0.25">
      <c r="B23" s="3060" t="s">
        <v>2115</v>
      </c>
      <c r="C23" s="3032">
        <f>'Table1.A(a)s2'!H59</f>
        <v>6295.3792799762523</v>
      </c>
      <c r="D23" s="3032">
        <f>'Table1.A(a)s2'!I59</f>
        <v>0.32188833581149262</v>
      </c>
      <c r="E23" s="3032">
        <f>'Table1.A(a)s2'!J59</f>
        <v>0.25042183433401571</v>
      </c>
      <c r="F23" s="3033">
        <v>233.9000798853738</v>
      </c>
      <c r="G23" s="3033">
        <v>76.113885661685927</v>
      </c>
      <c r="H23" s="3033">
        <v>36.101155195668248</v>
      </c>
      <c r="I23" s="3034">
        <v>9.0723853677010649</v>
      </c>
      <c r="J23" s="3035">
        <f t="shared" si="1"/>
        <v>6370.7539394774885</v>
      </c>
    </row>
    <row r="24" spans="2:10" s="83" customFormat="1" ht="18" customHeight="1" x14ac:dyDescent="0.2">
      <c r="B24" s="25" t="s">
        <v>87</v>
      </c>
      <c r="C24" s="3029">
        <f>IF(SUM(C25:C29)=0,"NO",SUM(C25:C29))</f>
        <v>60120.186322479196</v>
      </c>
      <c r="D24" s="3029">
        <f t="shared" ref="D24:I24" si="5">IF(SUM(D25:D29)=0,"NO",SUM(D25:D29))</f>
        <v>26.995806612722223</v>
      </c>
      <c r="E24" s="3029">
        <f t="shared" si="5"/>
        <v>3.5247618929079314</v>
      </c>
      <c r="F24" s="3029">
        <f t="shared" si="5"/>
        <v>389.50053010065028</v>
      </c>
      <c r="G24" s="3029">
        <f t="shared" si="5"/>
        <v>4078.9479996869873</v>
      </c>
      <c r="H24" s="3029">
        <f t="shared" si="5"/>
        <v>379.16976076805065</v>
      </c>
      <c r="I24" s="3030">
        <f t="shared" si="5"/>
        <v>31.229835763900077</v>
      </c>
      <c r="J24" s="3031">
        <f t="shared" si="1"/>
        <v>61810.130809256021</v>
      </c>
    </row>
    <row r="25" spans="2:10" s="83" customFormat="1" ht="18" customHeight="1" x14ac:dyDescent="0.2">
      <c r="B25" s="20" t="s">
        <v>88</v>
      </c>
      <c r="C25" s="1878">
        <f>'Table1.A(a)s3'!H16</f>
        <v>3520.1733001467578</v>
      </c>
      <c r="D25" s="1878">
        <f>'Table1.A(a)s3'!I16</f>
        <v>2.7133617802862373E-2</v>
      </c>
      <c r="E25" s="1878">
        <f>'Table1.A(a)s3'!J16</f>
        <v>3.6739980128936547E-2</v>
      </c>
      <c r="F25" s="3033">
        <v>12.044039212567764</v>
      </c>
      <c r="G25" s="3033">
        <v>8.0618178399557614</v>
      </c>
      <c r="H25" s="3033">
        <v>0.78813612567978752</v>
      </c>
      <c r="I25" s="3034">
        <v>0.4157136801969476</v>
      </c>
      <c r="J25" s="3035">
        <f t="shared" si="1"/>
        <v>3530.669136179406</v>
      </c>
    </row>
    <row r="26" spans="2:10" s="83" customFormat="1" ht="18" customHeight="1" x14ac:dyDescent="0.2">
      <c r="B26" s="20" t="s">
        <v>89</v>
      </c>
      <c r="C26" s="1878">
        <f>'Table1.A(a)s3'!H20</f>
        <v>52343.993246946709</v>
      </c>
      <c r="D26" s="1878">
        <f>'Table1.A(a)s3'!I20</f>
        <v>23.109172795104648</v>
      </c>
      <c r="E26" s="1878">
        <f>'Table1.A(a)s3'!J20</f>
        <v>2.7199818325016003</v>
      </c>
      <c r="F26" s="3033">
        <v>303.88382363389871</v>
      </c>
      <c r="G26" s="3033">
        <v>3865.8899566635132</v>
      </c>
      <c r="H26" s="3033">
        <v>342.96362402161151</v>
      </c>
      <c r="I26" s="3034">
        <v>8.8289342471533097</v>
      </c>
      <c r="J26" s="3035">
        <f t="shared" si="1"/>
        <v>53711.84527082256</v>
      </c>
    </row>
    <row r="27" spans="2:10" s="83" customFormat="1" ht="18" customHeight="1" x14ac:dyDescent="0.2">
      <c r="B27" s="20" t="s">
        <v>90</v>
      </c>
      <c r="C27" s="1878">
        <f>'Table1.A(a)s3'!H81</f>
        <v>1680.1705959169635</v>
      </c>
      <c r="D27" s="1878">
        <f>'Table1.A(a)s3'!I81</f>
        <v>9.6000000000000016E-2</v>
      </c>
      <c r="E27" s="1878">
        <f>'Table1.A(a)s3'!J81</f>
        <v>0.72</v>
      </c>
      <c r="F27" s="3033">
        <v>36.72</v>
      </c>
      <c r="G27" s="3033">
        <v>4.8479999999999999</v>
      </c>
      <c r="H27" s="3033">
        <v>1.7039999999999997</v>
      </c>
      <c r="I27" s="3034">
        <v>1.3685360526315788</v>
      </c>
      <c r="J27" s="3035">
        <f t="shared" si="1"/>
        <v>1873.6585959169636</v>
      </c>
    </row>
    <row r="28" spans="2:10" s="83" customFormat="1" ht="18" customHeight="1" x14ac:dyDescent="0.2">
      <c r="B28" s="20" t="s">
        <v>91</v>
      </c>
      <c r="C28" s="1878">
        <f>'Table1.A(a)s3'!H88</f>
        <v>2274.4973362375927</v>
      </c>
      <c r="D28" s="1878">
        <f>'Table1.A(a)s3'!I88</f>
        <v>3.6951895242478034</v>
      </c>
      <c r="E28" s="1878">
        <f>'Table1.A(a)s3'!J88</f>
        <v>4.7416870451839746E-2</v>
      </c>
      <c r="F28" s="3033">
        <v>35.684824967317397</v>
      </c>
      <c r="G28" s="3033">
        <v>195.95128128908209</v>
      </c>
      <c r="H28" s="3033">
        <v>33.090322768240142</v>
      </c>
      <c r="I28" s="3034">
        <v>20.611998451070473</v>
      </c>
      <c r="J28" s="3035">
        <f t="shared" si="1"/>
        <v>2390.5281135862683</v>
      </c>
    </row>
    <row r="29" spans="2:10" s="83" customFormat="1" ht="18" customHeight="1" thickBot="1" x14ac:dyDescent="0.25">
      <c r="B29" s="22" t="s">
        <v>92</v>
      </c>
      <c r="C29" s="1881">
        <f>'Table1.A(a)s3'!H99</f>
        <v>301.35184323117301</v>
      </c>
      <c r="D29" s="1881">
        <f>'Table1.A(a)s3'!I99</f>
        <v>6.8310675566910187E-2</v>
      </c>
      <c r="E29" s="1881">
        <f>'Table1.A(a)s3'!J99</f>
        <v>6.2320982555531194E-4</v>
      </c>
      <c r="F29" s="3040">
        <v>1.1678422868663694</v>
      </c>
      <c r="G29" s="3040">
        <v>4.1969438944359183</v>
      </c>
      <c r="H29" s="3040">
        <v>0.62367785251923247</v>
      </c>
      <c r="I29" s="3041">
        <v>4.6533328477677896E-3</v>
      </c>
      <c r="J29" s="3042">
        <f t="shared" si="1"/>
        <v>303.42969275081862</v>
      </c>
    </row>
    <row r="30" spans="2:10" ht="18" customHeight="1" x14ac:dyDescent="0.2">
      <c r="B30" s="26" t="s">
        <v>93</v>
      </c>
      <c r="C30" s="3029">
        <f>IF(SUM(C31:C33)=0,"NO",SUM(C31:C33))</f>
        <v>13489.892046300974</v>
      </c>
      <c r="D30" s="3029">
        <f t="shared" ref="D30" si="6">IF(SUM(D31:D33)=0,"NO",SUM(D31:D33))</f>
        <v>102.60616375731036</v>
      </c>
      <c r="E30" s="3029">
        <f t="shared" ref="E30" si="7">IF(SUM(E31:E33)=0,"NO",SUM(E31:E33))</f>
        <v>0.55695757984167849</v>
      </c>
      <c r="F30" s="3029">
        <f t="shared" ref="F30" si="8">IF(SUM(F31:F33)=0,"NO",SUM(F31:F33))</f>
        <v>202.71312182399305</v>
      </c>
      <c r="G30" s="3029">
        <f t="shared" ref="G30" si="9">IF(SUM(G31:G33)=0,"NO",SUM(G31:G33))</f>
        <v>1141.1101654380452</v>
      </c>
      <c r="H30" s="3029">
        <f t="shared" ref="H30" si="10">IF(SUM(H31:H33)=0,"NO",SUM(H31:H33))</f>
        <v>167.47755871073329</v>
      </c>
      <c r="I30" s="3030">
        <f t="shared" ref="I30" si="11">IF(SUM(I31:I33)=0,"NO",SUM(I31:I33))</f>
        <v>6.7774127618779438</v>
      </c>
      <c r="J30" s="3043">
        <f t="shared" si="1"/>
        <v>16510.458390163709</v>
      </c>
    </row>
    <row r="31" spans="2:10" ht="18" customHeight="1" x14ac:dyDescent="0.2">
      <c r="B31" s="20" t="s">
        <v>94</v>
      </c>
      <c r="C31" s="3032">
        <f>'Table1.A(a)s4'!H17</f>
        <v>3742.1315132242171</v>
      </c>
      <c r="D31" s="3032">
        <f>'Table1.A(a)s4'!I17</f>
        <v>6.0089246428571434E-2</v>
      </c>
      <c r="E31" s="3032">
        <f>'Table1.A(a)s4'!J17</f>
        <v>7.6035327380952381E-2</v>
      </c>
      <c r="F31" s="3033">
        <v>6.9641038135281379</v>
      </c>
      <c r="G31" s="3033">
        <v>2.1004842733766229</v>
      </c>
      <c r="H31" s="3033">
        <v>0.49785023583333332</v>
      </c>
      <c r="I31" s="3034">
        <v>3.0746553940620789</v>
      </c>
      <c r="J31" s="3035">
        <f t="shared" si="1"/>
        <v>3763.9633738801695</v>
      </c>
    </row>
    <row r="32" spans="2:10" ht="18" customHeight="1" x14ac:dyDescent="0.2">
      <c r="B32" s="20" t="s">
        <v>95</v>
      </c>
      <c r="C32" s="3032">
        <f>'Table1.A(a)s4'!H38</f>
        <v>6265.910533076757</v>
      </c>
      <c r="D32" s="3032">
        <f>'Table1.A(a)s4'!I38</f>
        <v>102.36234117754844</v>
      </c>
      <c r="E32" s="3032">
        <f>'Table1.A(a)s4'!J38</f>
        <v>0.29580796674644039</v>
      </c>
      <c r="F32" s="3033">
        <v>8.6392084866553684</v>
      </c>
      <c r="G32" s="3033">
        <v>1081.1152049741925</v>
      </c>
      <c r="H32" s="3033">
        <v>141.10618466537613</v>
      </c>
      <c r="I32" s="3034">
        <v>0.89580220992112769</v>
      </c>
      <c r="J32" s="3035">
        <f t="shared" si="1"/>
        <v>9210.4451972359202</v>
      </c>
    </row>
    <row r="33" spans="2:10" ht="18" customHeight="1" thickBot="1" x14ac:dyDescent="0.25">
      <c r="B33" s="20" t="s">
        <v>96</v>
      </c>
      <c r="C33" s="3032">
        <f>'Table1.A(a)s4'!H59</f>
        <v>3481.8500000000008</v>
      </c>
      <c r="D33" s="3032">
        <f>'Table1.A(a)s4'!I59</f>
        <v>0.18373333333333333</v>
      </c>
      <c r="E33" s="3032">
        <f>'Table1.A(a)s4'!J59</f>
        <v>0.18511428571428576</v>
      </c>
      <c r="F33" s="3033">
        <v>187.10980952380953</v>
      </c>
      <c r="G33" s="3033">
        <v>57.894476190476205</v>
      </c>
      <c r="H33" s="3033">
        <v>25.873523809523807</v>
      </c>
      <c r="I33" s="3034">
        <v>2.8069551578947372</v>
      </c>
      <c r="J33" s="3035">
        <f t="shared" si="1"/>
        <v>3536.0498190476196</v>
      </c>
    </row>
    <row r="34" spans="2:10" ht="18" customHeight="1" x14ac:dyDescent="0.2">
      <c r="B34" s="25" t="s">
        <v>2116</v>
      </c>
      <c r="C34" s="3029">
        <f>IF(SUM(C35:C36)=0,"NO",SUM(C35:C36))</f>
        <v>459.36215426147743</v>
      </c>
      <c r="D34" s="3029">
        <f t="shared" ref="D34:E34" si="12">IF(SUM(D35:D36)=0,"NO",SUM(D35:D36))</f>
        <v>2.2554749017587167E-2</v>
      </c>
      <c r="E34" s="3029">
        <f t="shared" si="12"/>
        <v>1.2536893154623004E-2</v>
      </c>
      <c r="F34" s="3029">
        <f t="shared" ref="F34:I34" si="13">IF(SUM(F35:F36)=0,"NO",SUM(F35:F36))</f>
        <v>3.9987175916414803</v>
      </c>
      <c r="G34" s="3029">
        <f t="shared" si="13"/>
        <v>4.5581342897408232</v>
      </c>
      <c r="H34" s="3029">
        <f t="shared" si="13"/>
        <v>0.43162313574947136</v>
      </c>
      <c r="I34" s="3030">
        <f t="shared" si="13"/>
        <v>0.16137113898216571</v>
      </c>
      <c r="J34" s="3031">
        <f t="shared" si="1"/>
        <v>463.31596391994498</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459.36215426147743</v>
      </c>
      <c r="D36" s="3044">
        <f>'Table1.A(a)s4'!I108</f>
        <v>2.2554749017587167E-2</v>
      </c>
      <c r="E36" s="3044">
        <f>'Table1.A(a)s4'!J108</f>
        <v>1.2536893154623004E-2</v>
      </c>
      <c r="F36" s="3040">
        <v>3.9987175916414803</v>
      </c>
      <c r="G36" s="3040">
        <v>4.5581342897408232</v>
      </c>
      <c r="H36" s="3040">
        <v>0.43162313574947136</v>
      </c>
      <c r="I36" s="3041">
        <v>0.16137113898216571</v>
      </c>
      <c r="J36" s="3042">
        <f t="shared" si="1"/>
        <v>463.31596391994498</v>
      </c>
    </row>
    <row r="37" spans="2:10" ht="18" customHeight="1" thickBot="1" x14ac:dyDescent="0.25">
      <c r="B37" s="18" t="s">
        <v>99</v>
      </c>
      <c r="C37" s="3029">
        <f>IF(SUM(C38,C42)=0,"NO",SUM(C38,C42))</f>
        <v>7303.7005051634515</v>
      </c>
      <c r="D37" s="3029">
        <f t="shared" ref="D37:I37" si="14">IF(SUM(D38,D42)=0,"NO",SUM(D38,D42))</f>
        <v>1223.7266805391591</v>
      </c>
      <c r="E37" s="3029">
        <f t="shared" si="14"/>
        <v>0.1273892297325899</v>
      </c>
      <c r="F37" s="3029">
        <f t="shared" si="14"/>
        <v>3.9127109413965946</v>
      </c>
      <c r="G37" s="3029">
        <f t="shared" si="14"/>
        <v>22.695223460100248</v>
      </c>
      <c r="H37" s="3029">
        <f t="shared" si="14"/>
        <v>178.86675657917053</v>
      </c>
      <c r="I37" s="3030" t="str">
        <f t="shared" si="14"/>
        <v>NO</v>
      </c>
      <c r="J37" s="3031">
        <f t="shared" si="1"/>
        <v>41601.805706139043</v>
      </c>
    </row>
    <row r="38" spans="2:10" ht="18" customHeight="1" x14ac:dyDescent="0.2">
      <c r="B38" s="26" t="s">
        <v>100</v>
      </c>
      <c r="C38" s="3029">
        <f>IF(SUM(C39:C41)=0,"NO",SUM(C39:C41))</f>
        <v>1300.9915961012321</v>
      </c>
      <c r="D38" s="3029">
        <f t="shared" ref="D38" si="15">IF(SUM(D39:D41)=0,"NO",SUM(D39:D41))</f>
        <v>923.41465424178057</v>
      </c>
      <c r="E38" s="3029">
        <f t="shared" ref="E38" si="16">IF(SUM(E39:E41)=0,"NO",SUM(E39:E41))</f>
        <v>1.4128143447441426E-6</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27156.602289266892</v>
      </c>
    </row>
    <row r="39" spans="2:10" ht="18" customHeight="1" x14ac:dyDescent="0.2">
      <c r="B39" s="20" t="s">
        <v>101</v>
      </c>
      <c r="C39" s="3032">
        <f>'Table1.B.1'!G10</f>
        <v>1300.9915961012321</v>
      </c>
      <c r="D39" s="3032">
        <f>SUM('Table1.B.1'!F10,'Table1.B.1'!H10)</f>
        <v>923.41465424178057</v>
      </c>
      <c r="E39" s="3033">
        <v>1.4128143447441426E-6</v>
      </c>
      <c r="F39" s="3033" t="s">
        <v>2146</v>
      </c>
      <c r="G39" s="3033" t="s">
        <v>2146</v>
      </c>
      <c r="H39" s="3033" t="s">
        <v>2146</v>
      </c>
      <c r="I39" s="2931"/>
      <c r="J39" s="3035">
        <f t="shared" si="1"/>
        <v>27156.602289266892</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6002.7089090622194</v>
      </c>
      <c r="D42" s="3029">
        <f t="shared" ref="D42:I42" si="21">IF(SUM(D43:D46)=0,"NO",SUM(D43:D46))</f>
        <v>300.31202629737868</v>
      </c>
      <c r="E42" s="3029">
        <f t="shared" si="21"/>
        <v>0.12738781691824516</v>
      </c>
      <c r="F42" s="3029">
        <f t="shared" si="21"/>
        <v>3.9127109413965946</v>
      </c>
      <c r="G42" s="3029">
        <f t="shared" si="21"/>
        <v>22.695223460100248</v>
      </c>
      <c r="H42" s="3029">
        <f t="shared" si="21"/>
        <v>178.86675657917053</v>
      </c>
      <c r="I42" s="3030" t="str">
        <f t="shared" si="21"/>
        <v>NO</v>
      </c>
      <c r="J42" s="3031">
        <f t="shared" ref="J42:J59" si="22">IF(SUM(C42:E42)=0,"NO",SUM(C42,IFERROR(28*D42,0),IFERROR(265*E42,0)))</f>
        <v>14445.203416872157</v>
      </c>
    </row>
    <row r="43" spans="2:10" ht="18" customHeight="1" x14ac:dyDescent="0.2">
      <c r="B43" s="20" t="s">
        <v>103</v>
      </c>
      <c r="C43" s="3032">
        <f>'Table1.B.2'!I10</f>
        <v>407.41628773680156</v>
      </c>
      <c r="D43" s="3032">
        <f>'Table1.B.2'!J10</f>
        <v>3.2886722568559166</v>
      </c>
      <c r="E43" s="3032">
        <f>'Table1.B.2'!K10</f>
        <v>1.2259889336266237E-2</v>
      </c>
      <c r="F43" s="3033">
        <v>0.22656000000000004</v>
      </c>
      <c r="G43" s="3033">
        <v>1.3140480000000001</v>
      </c>
      <c r="H43" s="3033">
        <v>88.678518999999994</v>
      </c>
      <c r="I43" s="3034" t="s">
        <v>2146</v>
      </c>
      <c r="J43" s="3035">
        <f t="shared" si="22"/>
        <v>502.74798160287776</v>
      </c>
    </row>
    <row r="44" spans="2:10" ht="18" customHeight="1" x14ac:dyDescent="0.2">
      <c r="B44" s="20" t="s">
        <v>104</v>
      </c>
      <c r="C44" s="3032">
        <f>SUM('Table1.B.2'!I21,'Table1.B.2'!L21)</f>
        <v>28.32862640650589</v>
      </c>
      <c r="D44" s="3032">
        <f>'Table1.B.2'!J21</f>
        <v>177.70969914228468</v>
      </c>
      <c r="E44" s="3032">
        <f>'Table1.B.2'!K21</f>
        <v>5.1081044800236881E-4</v>
      </c>
      <c r="F44" s="3033">
        <v>9.4594527407846091E-3</v>
      </c>
      <c r="G44" s="3033">
        <v>5.4864825896550729E-2</v>
      </c>
      <c r="H44" s="3033">
        <v>53.419322692612447</v>
      </c>
      <c r="I44" s="3034" t="s">
        <v>2146</v>
      </c>
      <c r="J44" s="3035">
        <f t="shared" si="22"/>
        <v>5004.3355671591971</v>
      </c>
    </row>
    <row r="45" spans="2:10" ht="18" customHeight="1" x14ac:dyDescent="0.2">
      <c r="B45" s="20" t="s">
        <v>105</v>
      </c>
      <c r="C45" s="3032">
        <f>'Table1.B.2'!I35</f>
        <v>5566.9639949189122</v>
      </c>
      <c r="D45" s="3032">
        <f>'Table1.B.2'!J35</f>
        <v>119.31365489823807</v>
      </c>
      <c r="E45" s="3032">
        <f>'Table1.B.2'!K35</f>
        <v>0.11461711713397656</v>
      </c>
      <c r="F45" s="3033">
        <v>3.67669148865581</v>
      </c>
      <c r="G45" s="3033">
        <v>21.326310634203697</v>
      </c>
      <c r="H45" s="3033">
        <v>36.7689148865581</v>
      </c>
      <c r="I45" s="3034" t="s">
        <v>2146</v>
      </c>
      <c r="J45" s="3035">
        <f t="shared" si="22"/>
        <v>8938.1198681100832</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6645.570999999999</v>
      </c>
      <c r="D52" s="3032">
        <f t="shared" ref="D52:I52" si="23">IF(SUM(D53:D54)=0,"NO",SUM(D53:D54))</f>
        <v>0.18212162833333337</v>
      </c>
      <c r="E52" s="3032">
        <f t="shared" si="23"/>
        <v>7.4823900764035098E-2</v>
      </c>
      <c r="F52" s="3032">
        <f t="shared" si="23"/>
        <v>72.208007532192994</v>
      </c>
      <c r="G52" s="3032">
        <f t="shared" si="23"/>
        <v>9.2798040886842106</v>
      </c>
      <c r="H52" s="3032">
        <f t="shared" si="23"/>
        <v>5.182342999622807</v>
      </c>
      <c r="I52" s="3055">
        <f t="shared" si="23"/>
        <v>26.766367611336033</v>
      </c>
      <c r="J52" s="3035">
        <f t="shared" si="22"/>
        <v>6670.4987392958019</v>
      </c>
    </row>
    <row r="53" spans="2:10" ht="18" customHeight="1" x14ac:dyDescent="0.2">
      <c r="B53" s="164" t="s">
        <v>111</v>
      </c>
      <c r="C53" s="3032">
        <f>Table1.D!G10</f>
        <v>4837.1999999999989</v>
      </c>
      <c r="D53" s="3032">
        <f>Table1.D!H10</f>
        <v>8.521628333333333E-3</v>
      </c>
      <c r="E53" s="3032">
        <f>Table1.D!I10</f>
        <v>2.5223900764035089E-2</v>
      </c>
      <c r="F53" s="3033">
        <v>24.527407532192981</v>
      </c>
      <c r="G53" s="3033">
        <v>7.644774088684211</v>
      </c>
      <c r="H53" s="3033">
        <v>3.6976329996228072</v>
      </c>
      <c r="I53" s="3034">
        <v>0.56990000000000007</v>
      </c>
      <c r="J53" s="3035">
        <f t="shared" si="22"/>
        <v>4844.1229392958012</v>
      </c>
    </row>
    <row r="54" spans="2:10" ht="18" customHeight="1" x14ac:dyDescent="0.2">
      <c r="B54" s="164" t="s">
        <v>112</v>
      </c>
      <c r="C54" s="3032">
        <f>Table1.D!G14</f>
        <v>1808.3709999999999</v>
      </c>
      <c r="D54" s="3032">
        <f>Table1.D!H14</f>
        <v>0.17360000000000003</v>
      </c>
      <c r="E54" s="3032">
        <f>Table1.D!I14</f>
        <v>4.9600000000000005E-2</v>
      </c>
      <c r="F54" s="3033">
        <v>47.680600000000005</v>
      </c>
      <c r="G54" s="3033">
        <v>1.6350300000000002</v>
      </c>
      <c r="H54" s="3033">
        <v>1.48471</v>
      </c>
      <c r="I54" s="3034">
        <v>26.196467611336033</v>
      </c>
      <c r="J54" s="3035">
        <f t="shared" si="22"/>
        <v>1826.3757999999998</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13705.0345</v>
      </c>
      <c r="D56" s="3056"/>
      <c r="E56" s="3056"/>
      <c r="F56" s="3056"/>
      <c r="G56" s="3056"/>
      <c r="H56" s="3056"/>
      <c r="I56" s="2971"/>
      <c r="J56" s="3039">
        <f t="shared" si="22"/>
        <v>13705.0345</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133891.02823933199</v>
      </c>
      <c r="D10" s="3549" t="s">
        <v>2146</v>
      </c>
      <c r="E10" s="3549">
        <v>44.291217951999997</v>
      </c>
      <c r="F10" s="3549">
        <v>708.62267737800005</v>
      </c>
      <c r="G10" s="3549" t="s">
        <v>2146</v>
      </c>
      <c r="H10" s="3549">
        <v>1.634141455</v>
      </c>
      <c r="I10" s="3549" t="s">
        <v>2146</v>
      </c>
      <c r="J10" s="3549">
        <v>31.009627113000001</v>
      </c>
      <c r="K10" s="3549" t="s">
        <v>2146</v>
      </c>
      <c r="L10" s="3549" t="s">
        <v>2146</v>
      </c>
      <c r="M10" s="3550">
        <f>IF(SUM(C10:L10)=0,"NO",SUM(C10:L10))</f>
        <v>134676.58590323001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14.099970731000001</v>
      </c>
      <c r="D12" s="3549" t="s">
        <v>2146</v>
      </c>
      <c r="E12" s="3549">
        <v>39640.154770497997</v>
      </c>
      <c r="F12" s="3549" t="s">
        <v>2153</v>
      </c>
      <c r="G12" s="3549" t="s">
        <v>2146</v>
      </c>
      <c r="H12" s="3549" t="s">
        <v>2153</v>
      </c>
      <c r="I12" s="3549" t="s">
        <v>2146</v>
      </c>
      <c r="J12" s="3549" t="s">
        <v>2153</v>
      </c>
      <c r="K12" s="3549" t="s">
        <v>2146</v>
      </c>
      <c r="L12" s="3549" t="s">
        <v>2146</v>
      </c>
      <c r="M12" s="3550">
        <f t="shared" si="0"/>
        <v>39654.254741228993</v>
      </c>
    </row>
    <row r="13" spans="2:13" ht="18" customHeight="1" x14ac:dyDescent="0.2">
      <c r="B13" s="2277" t="s">
        <v>1961</v>
      </c>
      <c r="C13" s="3549">
        <v>558.68172062400004</v>
      </c>
      <c r="D13" s="3549" t="s">
        <v>2146</v>
      </c>
      <c r="E13" s="3549" t="s">
        <v>2153</v>
      </c>
      <c r="F13" s="3549">
        <v>518711.95302835503</v>
      </c>
      <c r="G13" s="3549" t="s">
        <v>2146</v>
      </c>
      <c r="H13" s="3549" t="s">
        <v>2153</v>
      </c>
      <c r="I13" s="3549" t="s">
        <v>2146</v>
      </c>
      <c r="J13" s="3549" t="s">
        <v>2153</v>
      </c>
      <c r="K13" s="3549" t="s">
        <v>2146</v>
      </c>
      <c r="L13" s="3549" t="s">
        <v>2146</v>
      </c>
      <c r="M13" s="3550">
        <f t="shared" si="0"/>
        <v>519270.63474897901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7.5598627760000001</v>
      </c>
      <c r="D15" s="3549" t="s">
        <v>2146</v>
      </c>
      <c r="E15" s="3549">
        <v>0.63304705100000003</v>
      </c>
      <c r="F15" s="3549">
        <v>2.443871627</v>
      </c>
      <c r="G15" s="3549" t="s">
        <v>2146</v>
      </c>
      <c r="H15" s="3549">
        <v>13379.768459585001</v>
      </c>
      <c r="I15" s="3549" t="s">
        <v>2146</v>
      </c>
      <c r="J15" s="3549" t="s">
        <v>2146</v>
      </c>
      <c r="K15" s="3549" t="s">
        <v>2146</v>
      </c>
      <c r="L15" s="3549" t="s">
        <v>2146</v>
      </c>
      <c r="M15" s="3550">
        <f t="shared" si="0"/>
        <v>13390.405241039001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5.489880189</v>
      </c>
      <c r="D17" s="3549" t="s">
        <v>2146</v>
      </c>
      <c r="E17" s="3549" t="s">
        <v>2146</v>
      </c>
      <c r="F17" s="3549" t="s">
        <v>2146</v>
      </c>
      <c r="G17" s="3549" t="s">
        <v>2146</v>
      </c>
      <c r="H17" s="3549" t="s">
        <v>2146</v>
      </c>
      <c r="I17" s="3549" t="s">
        <v>2146</v>
      </c>
      <c r="J17" s="3549">
        <v>1139.0006395129999</v>
      </c>
      <c r="K17" s="3549" t="s">
        <v>2146</v>
      </c>
      <c r="L17" s="3549" t="s">
        <v>2146</v>
      </c>
      <c r="M17" s="3550">
        <f t="shared" si="0"/>
        <v>1144.4905197019998</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134476.85967365201</v>
      </c>
      <c r="D20" s="3551" t="str">
        <f t="shared" ref="D20:L20" si="1">IF(SUM(D10:D19)=0,"NO",SUM(D10:D19))</f>
        <v>NO</v>
      </c>
      <c r="E20" s="3551">
        <f t="shared" si="1"/>
        <v>39685.079035500996</v>
      </c>
      <c r="F20" s="3551">
        <f t="shared" si="1"/>
        <v>519423.01957736001</v>
      </c>
      <c r="G20" s="3551" t="str">
        <f t="shared" si="1"/>
        <v>NO</v>
      </c>
      <c r="H20" s="3551">
        <f t="shared" si="1"/>
        <v>13381.402601040001</v>
      </c>
      <c r="I20" s="3551" t="str">
        <f t="shared" si="1"/>
        <v>NO</v>
      </c>
      <c r="J20" s="3551">
        <f t="shared" si="1"/>
        <v>1170.010266626</v>
      </c>
      <c r="K20" s="3551">
        <f t="shared" si="1"/>
        <v>60692.328845821001</v>
      </c>
      <c r="L20" s="3551" t="str">
        <f t="shared" si="1"/>
        <v>NO</v>
      </c>
      <c r="M20" s="3550">
        <f t="shared" si="0"/>
        <v>768828.7</v>
      </c>
    </row>
    <row r="21" spans="2:13" ht="18" customHeight="1" thickBot="1" x14ac:dyDescent="0.25">
      <c r="B21" s="2279" t="s">
        <v>1968</v>
      </c>
      <c r="C21" s="3552">
        <f>IF(SUM(C20)=0,"NO",C20-M10)</f>
        <v>-199.72622957799467</v>
      </c>
      <c r="D21" s="3552" t="str">
        <f>IF(SUM(D20)=0,"NO",D20-M11)</f>
        <v>NO</v>
      </c>
      <c r="E21" s="3552">
        <f>IF(SUM(E20)=0,"NO",E20-M12)</f>
        <v>30.824294272002589</v>
      </c>
      <c r="F21" s="3552">
        <f>IF(SUM(F20)=0,"NO",F20-M13)</f>
        <v>152.38482838100754</v>
      </c>
      <c r="G21" s="3552" t="str">
        <f>IF(SUM(G20)=0,"NO",G20-M14)</f>
        <v>NO</v>
      </c>
      <c r="H21" s="3552">
        <f>IF(SUM(H20)=0,"NO",H20-M15)</f>
        <v>-9.0026399990001664</v>
      </c>
      <c r="I21" s="3552" t="str">
        <f>IF(SUM(I20)=0,"NO",I20-M16)</f>
        <v>NO</v>
      </c>
      <c r="J21" s="3552">
        <f>IF(SUM(J20)=0,"NO",J20-M17)</f>
        <v>25.519746924000174</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134579.433707191</v>
      </c>
      <c r="E10" s="3556">
        <f t="shared" ref="E10:U10" si="0">IF(SUM(E11,E16)=0,"IE",SUM(E11,E16))</f>
        <v>134476.85967365233</v>
      </c>
      <c r="F10" s="3557">
        <f t="shared" si="0"/>
        <v>102.57403353864815</v>
      </c>
      <c r="G10" s="3558">
        <f t="shared" ref="G10:K11" si="1">IFERROR(IF(SUM($D10)=0,"NA",N10/$D10),"NA")</f>
        <v>4.7235854667008428E-2</v>
      </c>
      <c r="H10" s="3078">
        <f t="shared" si="1"/>
        <v>-1.3290856685297633E-2</v>
      </c>
      <c r="I10" s="3078">
        <f t="shared" si="1"/>
        <v>3.3944997981710801E-2</v>
      </c>
      <c r="J10" s="3078">
        <f t="shared" si="1"/>
        <v>8.8496220853560795E-3</v>
      </c>
      <c r="K10" s="3078">
        <f t="shared" si="1"/>
        <v>4.7282038350602643E-3</v>
      </c>
      <c r="L10" s="3078">
        <f>IFERROR(IF(SUM(E10)=0,"NA",S10/E10),"NA")</f>
        <v>-1.4247101253254246E-2</v>
      </c>
      <c r="M10" s="3128">
        <f>IFERROR(IF(SUM(F10)=0,"NA",T10/F10),"NA")</f>
        <v>-0.39044293340831648</v>
      </c>
      <c r="N10" s="3559">
        <f t="shared" si="0"/>
        <v>6356.9745717611695</v>
      </c>
      <c r="O10" s="3560">
        <f t="shared" si="0"/>
        <v>-1788.675966190789</v>
      </c>
      <c r="P10" s="3560">
        <f t="shared" si="0"/>
        <v>4568.2986055703805</v>
      </c>
      <c r="Q10" s="3560">
        <f t="shared" si="0"/>
        <v>1190.9771287698718</v>
      </c>
      <c r="R10" s="3560">
        <f t="shared" si="0"/>
        <v>636.31899457457905</v>
      </c>
      <c r="S10" s="3560">
        <f t="shared" si="0"/>
        <v>-1915.9054359901875</v>
      </c>
      <c r="T10" s="3561">
        <f t="shared" si="0"/>
        <v>-40.049306546352824</v>
      </c>
      <c r="U10" s="3562">
        <f t="shared" si="0"/>
        <v>-16278.679950053735</v>
      </c>
      <c r="W10" s="2396"/>
    </row>
    <row r="11" spans="2:23" ht="18" customHeight="1" x14ac:dyDescent="0.2">
      <c r="B11" s="502" t="s">
        <v>982</v>
      </c>
      <c r="C11" s="2256"/>
      <c r="D11" s="3563">
        <f>IF(SUM(D12:D15)=0,"IE",SUM(D12:D15))</f>
        <v>130126.355811744</v>
      </c>
      <c r="E11" s="3564">
        <f t="shared" ref="E11:U11" si="2">IF(SUM(E12:E15)=0,"IE",SUM(E12:E15))</f>
        <v>130126.355811744</v>
      </c>
      <c r="F11" s="3565" t="str">
        <f t="shared" si="2"/>
        <v>IE</v>
      </c>
      <c r="G11" s="3558">
        <f t="shared" si="1"/>
        <v>2.0517039345176496E-2</v>
      </c>
      <c r="H11" s="3078">
        <f t="shared" si="1"/>
        <v>-1.374535138551025E-2</v>
      </c>
      <c r="I11" s="3078">
        <f t="shared" si="1"/>
        <v>6.7716879596662468E-3</v>
      </c>
      <c r="J11" s="3078">
        <f t="shared" si="1"/>
        <v>5.9894961376534255E-3</v>
      </c>
      <c r="K11" s="3078">
        <f t="shared" si="1"/>
        <v>3.2458496859857204E-3</v>
      </c>
      <c r="L11" s="3078">
        <f t="shared" ref="L11:L28" si="3">IFERROR(IF(SUM(E11)=0,"NA",S11/E11),"NA")</f>
        <v>5.734474430102661E-4</v>
      </c>
      <c r="M11" s="3128" t="str">
        <f t="shared" ref="M11:M28" si="4">IFERROR(IF(SUM(F11)=0,"NA",T11/F11),"NA")</f>
        <v>NA</v>
      </c>
      <c r="N11" s="3109">
        <f t="shared" si="2"/>
        <v>2669.8075620339878</v>
      </c>
      <c r="O11" s="3109">
        <f t="shared" si="2"/>
        <v>-1788.632485148355</v>
      </c>
      <c r="P11" s="3109">
        <f t="shared" si="2"/>
        <v>881.17507688563273</v>
      </c>
      <c r="Q11" s="3109">
        <f t="shared" si="2"/>
        <v>779.39130554135602</v>
      </c>
      <c r="R11" s="3566">
        <f t="shared" si="2"/>
        <v>422.37059115001534</v>
      </c>
      <c r="S11" s="3566">
        <f t="shared" si="2"/>
        <v>74.620626008488671</v>
      </c>
      <c r="T11" s="3566" t="str">
        <f t="shared" si="2"/>
        <v>IE</v>
      </c>
      <c r="U11" s="3567">
        <f t="shared" si="2"/>
        <v>-7911.0445318134753</v>
      </c>
      <c r="W11" s="2397"/>
    </row>
    <row r="12" spans="2:23" ht="18" customHeight="1" x14ac:dyDescent="0.2">
      <c r="B12" s="500"/>
      <c r="C12" s="508" t="s">
        <v>2220</v>
      </c>
      <c r="D12" s="3568">
        <f>IF(SUM(E12:F12)=0,E12,SUM(E12:F12))</f>
        <v>12305.301564974296</v>
      </c>
      <c r="E12" s="3569">
        <v>12305.301564974296</v>
      </c>
      <c r="F12" s="3554" t="s">
        <v>2153</v>
      </c>
      <c r="G12" s="3558">
        <f>IFERROR(IF(SUM($D12)=0,"NA",N12/$D12),"NA")</f>
        <v>0.13100349195651223</v>
      </c>
      <c r="H12" s="3078" t="str">
        <f>IFERROR(IF(SUM($D12)=0,"NA",O12/$D12),"NA")</f>
        <v>NA</v>
      </c>
      <c r="I12" s="3078">
        <f>IFERROR(IF(SUM($D12)=0,"NA",P12/$D12),"NA")</f>
        <v>0.13100349195651223</v>
      </c>
      <c r="J12" s="3078">
        <f>IFERROR(IF(SUM($D12)=0,"NA",Q12/$D12),"NA")</f>
        <v>8.5705549942303061E-2</v>
      </c>
      <c r="K12" s="3078">
        <f>IFERROR(IF(SUM($D12)=0,"NA",R12/$D12),"NA")</f>
        <v>3.4746715236503217E-2</v>
      </c>
      <c r="L12" s="3078">
        <f t="shared" si="3"/>
        <v>-3.1707551585224508E-2</v>
      </c>
      <c r="M12" s="3128" t="str">
        <f t="shared" si="4"/>
        <v>NA</v>
      </c>
      <c r="N12" s="2905">
        <v>1612.0374745895676</v>
      </c>
      <c r="O12" s="2905" t="s">
        <v>2153</v>
      </c>
      <c r="P12" s="3109">
        <f>IF(SUM(N12:O12)=0,N12,SUM(N12:O12))</f>
        <v>1612.0374745895676</v>
      </c>
      <c r="Q12" s="2905">
        <v>1054.6326378320045</v>
      </c>
      <c r="R12" s="2906">
        <v>427.56880937745922</v>
      </c>
      <c r="S12" s="2906">
        <v>-390.17098414316638</v>
      </c>
      <c r="T12" s="2906" t="s">
        <v>2153</v>
      </c>
      <c r="U12" s="3570">
        <f>IF(SUM(P12:T12)=0,P12,SUM(P12:T12)*-44/12)</f>
        <v>-9914.9157714048397</v>
      </c>
      <c r="W12" s="2398"/>
    </row>
    <row r="13" spans="2:23" ht="18" customHeight="1" x14ac:dyDescent="0.2">
      <c r="B13" s="500"/>
      <c r="C13" s="508" t="s">
        <v>2221</v>
      </c>
      <c r="D13" s="3568">
        <f t="shared" ref="D13:D15" si="5">IF(SUM(E13:F13)=0,E13,SUM(E13:F13))</f>
        <v>682.24894237664307</v>
      </c>
      <c r="E13" s="3569">
        <v>682.24894237664307</v>
      </c>
      <c r="F13" s="3554" t="s">
        <v>2153</v>
      </c>
      <c r="G13" s="3558">
        <f t="shared" ref="G13:K28" si="6">IFERROR(IF(SUM($D13)=0,"NA",N13/$D13),"NA")</f>
        <v>1.5504166027134221</v>
      </c>
      <c r="H13" s="3078" t="str">
        <f t="shared" si="6"/>
        <v>NA</v>
      </c>
      <c r="I13" s="3078">
        <f t="shared" si="6"/>
        <v>1.5504166027134221</v>
      </c>
      <c r="J13" s="3078">
        <f t="shared" si="6"/>
        <v>0.3344232044557382</v>
      </c>
      <c r="K13" s="3078">
        <f t="shared" si="6"/>
        <v>0.31797815733064239</v>
      </c>
      <c r="L13" s="3078">
        <f t="shared" si="3"/>
        <v>0.68126395115034377</v>
      </c>
      <c r="M13" s="3128" t="str">
        <f t="shared" si="4"/>
        <v>NA</v>
      </c>
      <c r="N13" s="2905">
        <v>1057.7700874444201</v>
      </c>
      <c r="O13" s="2905" t="s">
        <v>2153</v>
      </c>
      <c r="P13" s="3109">
        <f t="shared" ref="P13:P15" si="7">IF(SUM(N13:O13)=0,N13,SUM(N13:O13))</f>
        <v>1057.7700874444201</v>
      </c>
      <c r="Q13" s="2905">
        <v>228.15987754613525</v>
      </c>
      <c r="R13" s="2906">
        <v>216.94026153770457</v>
      </c>
      <c r="S13" s="2906">
        <v>464.79161015165505</v>
      </c>
      <c r="T13" s="2906" t="s">
        <v>2153</v>
      </c>
      <c r="U13" s="3570">
        <f t="shared" ref="U13:U15" si="8">IF(SUM(P13:T13)=0,P13,SUM(P13:T13)*-44/12)</f>
        <v>-7214.7600678263552</v>
      </c>
      <c r="W13" s="2398"/>
    </row>
    <row r="14" spans="2:23" ht="18" customHeight="1" x14ac:dyDescent="0.2">
      <c r="B14" s="500"/>
      <c r="C14" s="508" t="s">
        <v>2222</v>
      </c>
      <c r="D14" s="3568">
        <f t="shared" si="5"/>
        <v>117138.80530439306</v>
      </c>
      <c r="E14" s="3569">
        <v>117138.80530439306</v>
      </c>
      <c r="F14" s="3554" t="s">
        <v>2153</v>
      </c>
      <c r="G14" s="3558" t="str">
        <f t="shared" si="6"/>
        <v>NA</v>
      </c>
      <c r="H14" s="3078">
        <f t="shared" si="6"/>
        <v>-3.4193132872601447E-3</v>
      </c>
      <c r="I14" s="3078">
        <f t="shared" si="6"/>
        <v>-3.4193132872601447E-3</v>
      </c>
      <c r="J14" s="3078">
        <f t="shared" si="6"/>
        <v>-6.1974408257516687E-3</v>
      </c>
      <c r="K14" s="3078">
        <f t="shared" si="6"/>
        <v>-1.8963696888311835E-3</v>
      </c>
      <c r="L14" s="3078" t="str">
        <f t="shared" si="3"/>
        <v>NA</v>
      </c>
      <c r="M14" s="3128" t="str">
        <f t="shared" si="4"/>
        <v>NA</v>
      </c>
      <c r="N14" s="2905" t="s">
        <v>2153</v>
      </c>
      <c r="O14" s="2905">
        <v>-400.5342734310903</v>
      </c>
      <c r="P14" s="3109">
        <f t="shared" si="7"/>
        <v>-400.5342734310903</v>
      </c>
      <c r="Q14" s="2905">
        <v>-725.96081427322167</v>
      </c>
      <c r="R14" s="2906">
        <v>-222.13847976514845</v>
      </c>
      <c r="S14" s="2906" t="s">
        <v>2147</v>
      </c>
      <c r="T14" s="2906" t="s">
        <v>2147</v>
      </c>
      <c r="U14" s="3570">
        <f t="shared" si="8"/>
        <v>4944.9897473880219</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-1388.0982117172648</v>
      </c>
      <c r="P15" s="3109">
        <f t="shared" si="7"/>
        <v>-1388.0982117172648</v>
      </c>
      <c r="Q15" s="2905">
        <v>222.55960443643789</v>
      </c>
      <c r="R15" s="2906" t="s">
        <v>2147</v>
      </c>
      <c r="S15" s="2906" t="s">
        <v>2147</v>
      </c>
      <c r="T15" s="2906" t="s">
        <v>2147</v>
      </c>
      <c r="U15" s="3570">
        <f t="shared" si="8"/>
        <v>4273.6415600296987</v>
      </c>
      <c r="W15" s="2398"/>
    </row>
    <row r="16" spans="2:23" ht="18" customHeight="1" x14ac:dyDescent="0.2">
      <c r="B16" s="485" t="s">
        <v>1041</v>
      </c>
      <c r="C16" s="504"/>
      <c r="D16" s="3568">
        <f>IF(SUM(D17,D19,D23,D25,D27)=0,"IE",SUM(D17,D19,D23,D25,D27))</f>
        <v>4453.077895446997</v>
      </c>
      <c r="E16" s="3571">
        <f t="shared" ref="E16:T16" si="9">IF(SUM(E17,E19,E23,E25,E27)=0,"IE",SUM(E17,E19,E23,E25,E27))</f>
        <v>4350.5038619083489</v>
      </c>
      <c r="F16" s="3572">
        <f t="shared" si="9"/>
        <v>102.57403353864815</v>
      </c>
      <c r="G16" s="3558">
        <f t="shared" si="6"/>
        <v>0.82800415719138587</v>
      </c>
      <c r="H16" s="3078">
        <f t="shared" si="6"/>
        <v>-9.7642672001101518E-6</v>
      </c>
      <c r="I16" s="3078">
        <f t="shared" si="6"/>
        <v>0.82799439292418586</v>
      </c>
      <c r="J16" s="3078">
        <f t="shared" si="6"/>
        <v>9.2427267811626954E-2</v>
      </c>
      <c r="K16" s="3078">
        <f t="shared" si="6"/>
        <v>4.8045061965637979E-2</v>
      </c>
      <c r="L16" s="3078">
        <f t="shared" si="3"/>
        <v>-0.45753920124680264</v>
      </c>
      <c r="M16" s="3128">
        <f t="shared" si="4"/>
        <v>-0.39044293340831648</v>
      </c>
      <c r="N16" s="3078">
        <f t="shared" si="9"/>
        <v>3687.1670097271813</v>
      </c>
      <c r="O16" s="3078">
        <f t="shared" si="9"/>
        <v>-4.3481042434048656E-2</v>
      </c>
      <c r="P16" s="3078">
        <f t="shared" si="9"/>
        <v>3687.1235286847473</v>
      </c>
      <c r="Q16" s="3078">
        <f t="shared" si="9"/>
        <v>411.58582322851572</v>
      </c>
      <c r="R16" s="3573">
        <f t="shared" si="9"/>
        <v>213.94840342456374</v>
      </c>
      <c r="S16" s="3573">
        <f t="shared" si="9"/>
        <v>-1990.5260619986761</v>
      </c>
      <c r="T16" s="3573">
        <f t="shared" si="9"/>
        <v>-40.049306546352824</v>
      </c>
      <c r="U16" s="3570">
        <f>IF(SUM(U17,U19,U23,U25,U27)=0,"IE",SUM(U17,U19,U23,U25,U27))</f>
        <v>-8367.6354182402592</v>
      </c>
      <c r="W16" s="2019"/>
    </row>
    <row r="17" spans="2:23" ht="18" customHeight="1" x14ac:dyDescent="0.2">
      <c r="B17" s="487" t="s">
        <v>1042</v>
      </c>
      <c r="C17" s="504"/>
      <c r="D17" s="3568">
        <f>D18</f>
        <v>43.850999999999999</v>
      </c>
      <c r="E17" s="3571">
        <f t="shared" ref="E17:U17" si="10">E18</f>
        <v>43.850999999999999</v>
      </c>
      <c r="F17" s="3572" t="str">
        <f t="shared" si="10"/>
        <v>NO</v>
      </c>
      <c r="G17" s="3558">
        <f t="shared" si="6"/>
        <v>1.3338350322683632</v>
      </c>
      <c r="H17" s="3078" t="str">
        <f t="shared" si="6"/>
        <v>NA</v>
      </c>
      <c r="I17" s="3078">
        <f t="shared" si="6"/>
        <v>1.3338350322683632</v>
      </c>
      <c r="J17" s="3078">
        <f t="shared" si="6"/>
        <v>-0.13114866251624818</v>
      </c>
      <c r="K17" s="3078">
        <f t="shared" si="6"/>
        <v>-3.7787051606576819E-2</v>
      </c>
      <c r="L17" s="3078">
        <f t="shared" si="3"/>
        <v>-0.48452714875373426</v>
      </c>
      <c r="M17" s="3128" t="str">
        <f t="shared" si="4"/>
        <v>NA</v>
      </c>
      <c r="N17" s="3078">
        <f t="shared" si="10"/>
        <v>58.489999999999995</v>
      </c>
      <c r="O17" s="3078" t="str">
        <f t="shared" si="10"/>
        <v>IE</v>
      </c>
      <c r="P17" s="3078">
        <f t="shared" si="10"/>
        <v>58.489999999999995</v>
      </c>
      <c r="Q17" s="3078">
        <f t="shared" si="10"/>
        <v>-5.7509999999999994</v>
      </c>
      <c r="R17" s="3573">
        <f t="shared" si="10"/>
        <v>-1.657</v>
      </c>
      <c r="S17" s="3573">
        <f t="shared" si="10"/>
        <v>-21.247</v>
      </c>
      <c r="T17" s="3573" t="str">
        <f t="shared" si="10"/>
        <v>NO</v>
      </c>
      <c r="U17" s="3570">
        <f t="shared" si="10"/>
        <v>-109.39499999999998</v>
      </c>
      <c r="W17" s="2019"/>
    </row>
    <row r="18" spans="2:23" ht="18" customHeight="1" x14ac:dyDescent="0.2">
      <c r="B18" s="488"/>
      <c r="C18" s="508" t="s">
        <v>278</v>
      </c>
      <c r="D18" s="3568">
        <f>IF(SUM(E18:F18)=0,E18,SUM(E18:F18))</f>
        <v>43.850999999999999</v>
      </c>
      <c r="E18" s="3569">
        <v>43.850999999999999</v>
      </c>
      <c r="F18" s="3554" t="s">
        <v>2146</v>
      </c>
      <c r="G18" s="3558">
        <f t="shared" si="6"/>
        <v>1.3338350322683632</v>
      </c>
      <c r="H18" s="3078" t="str">
        <f t="shared" si="6"/>
        <v>NA</v>
      </c>
      <c r="I18" s="3078">
        <f t="shared" si="6"/>
        <v>1.3338350322683632</v>
      </c>
      <c r="J18" s="3078">
        <f t="shared" si="6"/>
        <v>-0.13114866251624818</v>
      </c>
      <c r="K18" s="3078">
        <f t="shared" si="6"/>
        <v>-3.7787051606576819E-2</v>
      </c>
      <c r="L18" s="3078">
        <f t="shared" si="3"/>
        <v>-0.48452714875373426</v>
      </c>
      <c r="M18" s="3128" t="str">
        <f t="shared" si="4"/>
        <v>NA</v>
      </c>
      <c r="N18" s="2905">
        <v>58.489999999999995</v>
      </c>
      <c r="O18" s="2905" t="s">
        <v>2153</v>
      </c>
      <c r="P18" s="3109">
        <f>IF(SUM(N18:O18)=0,N18,SUM(N18:O18))</f>
        <v>58.489999999999995</v>
      </c>
      <c r="Q18" s="2905">
        <v>-5.7509999999999994</v>
      </c>
      <c r="R18" s="2906">
        <v>-1.657</v>
      </c>
      <c r="S18" s="2906">
        <v>-21.247</v>
      </c>
      <c r="T18" s="2906" t="s">
        <v>2146</v>
      </c>
      <c r="U18" s="3570">
        <f t="shared" ref="U18" si="11">IF(SUM(P18:T18)=0,P18,SUM(P18:T18)*-44/12)</f>
        <v>-109.39499999999998</v>
      </c>
      <c r="W18" s="2398"/>
    </row>
    <row r="19" spans="2:23" ht="18" customHeight="1" x14ac:dyDescent="0.2">
      <c r="B19" s="487" t="s">
        <v>1043</v>
      </c>
      <c r="C19" s="504"/>
      <c r="D19" s="3563">
        <f>IF(SUM(D20:D22)=0,"IE",SUM(D20:D22))</f>
        <v>4286.8378619083496</v>
      </c>
      <c r="E19" s="3571">
        <f t="shared" ref="E19:U19" si="12">IF(SUM(E20:E22)=0,"IE",SUM(E20:E22))</f>
        <v>4286.8378619083496</v>
      </c>
      <c r="F19" s="3572" t="str">
        <f t="shared" si="12"/>
        <v>IE</v>
      </c>
      <c r="G19" s="3558">
        <f t="shared" si="6"/>
        <v>0.63389168046719557</v>
      </c>
      <c r="H19" s="3078">
        <f t="shared" si="6"/>
        <v>-1.0142917421815534E-5</v>
      </c>
      <c r="I19" s="3078">
        <f t="shared" si="6"/>
        <v>0.63388153754977372</v>
      </c>
      <c r="J19" s="3078">
        <f t="shared" si="6"/>
        <v>0.11084542787947631</v>
      </c>
      <c r="K19" s="3078">
        <f t="shared" si="6"/>
        <v>4.5395072362013698E-2</v>
      </c>
      <c r="L19" s="3078">
        <f t="shared" si="3"/>
        <v>-0.45483667094670305</v>
      </c>
      <c r="M19" s="3128" t="str">
        <f t="shared" si="4"/>
        <v>NA</v>
      </c>
      <c r="N19" s="3078">
        <f t="shared" si="12"/>
        <v>2717.3908561754833</v>
      </c>
      <c r="O19" s="3078">
        <f t="shared" si="12"/>
        <v>-4.3481042434048656E-2</v>
      </c>
      <c r="P19" s="3078">
        <f t="shared" si="12"/>
        <v>2717.3473751330494</v>
      </c>
      <c r="Q19" s="3078">
        <f t="shared" si="12"/>
        <v>475.17637705317037</v>
      </c>
      <c r="R19" s="3573">
        <f t="shared" si="12"/>
        <v>194.60131494554963</v>
      </c>
      <c r="S19" s="3573">
        <f t="shared" si="12"/>
        <v>-1949.811061998676</v>
      </c>
      <c r="T19" s="3573" t="str">
        <f t="shared" si="12"/>
        <v>IE</v>
      </c>
      <c r="U19" s="3570">
        <f t="shared" si="12"/>
        <v>-5270.1513521546749</v>
      </c>
      <c r="W19" s="2019"/>
    </row>
    <row r="20" spans="2:23" ht="18" customHeight="1" x14ac:dyDescent="0.2">
      <c r="B20" s="496"/>
      <c r="C20" s="508" t="s">
        <v>2223</v>
      </c>
      <c r="D20" s="3568">
        <f>IF(SUM(E20:F20)=0,E20,SUM(E20:F20))</f>
        <v>1084.3300000000004</v>
      </c>
      <c r="E20" s="3569">
        <v>1084.3300000000004</v>
      </c>
      <c r="F20" s="3554" t="s">
        <v>2146</v>
      </c>
      <c r="G20" s="3558">
        <f t="shared" si="6"/>
        <v>1.2163778554499087</v>
      </c>
      <c r="H20" s="3078" t="str">
        <f t="shared" si="6"/>
        <v>NA</v>
      </c>
      <c r="I20" s="3078">
        <f t="shared" si="6"/>
        <v>1.2163778554499087</v>
      </c>
      <c r="J20" s="3078">
        <f t="shared" si="6"/>
        <v>-6.890891149373346E-2</v>
      </c>
      <c r="K20" s="3078">
        <f t="shared" si="6"/>
        <v>-1.622937666577514E-2</v>
      </c>
      <c r="L20" s="3078">
        <f t="shared" si="3"/>
        <v>-0.51280422011749194</v>
      </c>
      <c r="M20" s="3128" t="str">
        <f t="shared" si="4"/>
        <v>NA</v>
      </c>
      <c r="N20" s="2905">
        <v>1318.9549999999999</v>
      </c>
      <c r="O20" s="2905" t="s">
        <v>2153</v>
      </c>
      <c r="P20" s="3109">
        <f>IF(SUM(N20:O20)=0,N20,SUM(N20:O20))</f>
        <v>1318.9549999999999</v>
      </c>
      <c r="Q20" s="2905">
        <v>-74.720000000000027</v>
      </c>
      <c r="R20" s="2906">
        <v>-17.597999999999963</v>
      </c>
      <c r="S20" s="2906">
        <v>-556.04900000000021</v>
      </c>
      <c r="T20" s="2906" t="s">
        <v>2146</v>
      </c>
      <c r="U20" s="3570">
        <f t="shared" ref="U20:U22" si="13">IF(SUM(P20:T20)=0,P20,SUM(P20:T20)*-44/12)</f>
        <v>-2458.8226666666656</v>
      </c>
      <c r="W20" s="2398"/>
    </row>
    <row r="21" spans="2:23" ht="18" customHeight="1" x14ac:dyDescent="0.2">
      <c r="B21" s="500"/>
      <c r="C21" s="508" t="s">
        <v>2291</v>
      </c>
      <c r="D21" s="3568">
        <f>IF(SUM(E21:F21)=0,E21,SUM(E21:F21))</f>
        <v>3202.5078619083492</v>
      </c>
      <c r="E21" s="3569">
        <v>3202.5078619083492</v>
      </c>
      <c r="F21" s="3554" t="s">
        <v>2146</v>
      </c>
      <c r="G21" s="3558">
        <f t="shared" si="6"/>
        <v>0.43666898458202896</v>
      </c>
      <c r="H21" s="3078" t="str">
        <f t="shared" si="6"/>
        <v>NA</v>
      </c>
      <c r="I21" s="3078">
        <f t="shared" si="6"/>
        <v>0.43666898458202896</v>
      </c>
      <c r="J21" s="3078">
        <f t="shared" si="6"/>
        <v>0.17166211635426071</v>
      </c>
      <c r="K21" s="3078">
        <f t="shared" si="6"/>
        <v>6.6260357224884908E-2</v>
      </c>
      <c r="L21" s="3078">
        <f t="shared" si="3"/>
        <v>-0.43520956765681251</v>
      </c>
      <c r="M21" s="3128" t="str">
        <f t="shared" si="4"/>
        <v>NA</v>
      </c>
      <c r="N21" s="2905">
        <v>1398.4358561754834</v>
      </c>
      <c r="O21" s="2905" t="s">
        <v>2153</v>
      </c>
      <c r="P21" s="3109">
        <f t="shared" ref="P21:P28" si="14">IF(SUM(N21:O21)=0,N21,SUM(N21:O21))</f>
        <v>1398.4358561754834</v>
      </c>
      <c r="Q21" s="2905">
        <v>549.74927721634572</v>
      </c>
      <c r="R21" s="2906">
        <v>212.19931494554959</v>
      </c>
      <c r="S21" s="2906">
        <v>-1393.7620619986758</v>
      </c>
      <c r="T21" s="2906" t="s">
        <v>2146</v>
      </c>
      <c r="U21" s="3570">
        <f t="shared" si="13"/>
        <v>-2810.9487499085772</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-4.3481042434048656E-2</v>
      </c>
      <c r="P22" s="3109">
        <f t="shared" si="14"/>
        <v>-4.3481042434048656E-2</v>
      </c>
      <c r="Q22" s="2905">
        <v>0.14709983682470534</v>
      </c>
      <c r="R22" s="2906" t="s">
        <v>2147</v>
      </c>
      <c r="S22" s="2906" t="s">
        <v>2147</v>
      </c>
      <c r="T22" s="2906" t="s">
        <v>2147</v>
      </c>
      <c r="U22" s="3570">
        <f t="shared" si="13"/>
        <v>-0.3799355794324078</v>
      </c>
      <c r="W22" s="2398"/>
    </row>
    <row r="23" spans="2:23" ht="18" customHeight="1" x14ac:dyDescent="0.2">
      <c r="B23" s="487" t="s">
        <v>1044</v>
      </c>
      <c r="C23" s="504"/>
      <c r="D23" s="3568">
        <f>D24</f>
        <v>102.57403353864815</v>
      </c>
      <c r="E23" s="3571" t="str">
        <f t="shared" ref="E23" si="15">E24</f>
        <v>NO</v>
      </c>
      <c r="F23" s="3572">
        <f t="shared" ref="F23" si="16">F24</f>
        <v>102.57403353864815</v>
      </c>
      <c r="G23" s="3558">
        <f t="shared" si="6"/>
        <v>8.5904699576788346</v>
      </c>
      <c r="H23" s="3078" t="str">
        <f t="shared" si="6"/>
        <v>NA</v>
      </c>
      <c r="I23" s="3078">
        <f t="shared" si="6"/>
        <v>8.5904699576788346</v>
      </c>
      <c r="J23" s="3078">
        <f t="shared" si="6"/>
        <v>-0.53401969226466861</v>
      </c>
      <c r="K23" s="3078">
        <f t="shared" si="6"/>
        <v>0.21171136329382859</v>
      </c>
      <c r="L23" s="3078" t="str">
        <f t="shared" si="3"/>
        <v>NA</v>
      </c>
      <c r="M23" s="3128">
        <f t="shared" si="4"/>
        <v>-0.39044293340831648</v>
      </c>
      <c r="N23" s="3078">
        <f t="shared" ref="N23" si="17">N24</f>
        <v>881.15915355169818</v>
      </c>
      <c r="O23" s="3078" t="str">
        <f t="shared" ref="O23" si="18">O24</f>
        <v>IE</v>
      </c>
      <c r="P23" s="3078">
        <f t="shared" ref="P23" si="19">P24</f>
        <v>881.15915355169818</v>
      </c>
      <c r="Q23" s="3078">
        <f t="shared" ref="Q23" si="20">Q24</f>
        <v>-54.776553824654684</v>
      </c>
      <c r="R23" s="3573">
        <f t="shared" ref="R23" si="21">R24</f>
        <v>21.716088479014097</v>
      </c>
      <c r="S23" s="3573" t="str">
        <f t="shared" ref="S23" si="22">S24</f>
        <v>NO</v>
      </c>
      <c r="T23" s="3573">
        <f t="shared" ref="T23" si="23">T24</f>
        <v>-40.049306546352824</v>
      </c>
      <c r="U23" s="3570">
        <f t="shared" ref="U23" si="24">U24</f>
        <v>-2962.8477327522505</v>
      </c>
      <c r="W23" s="2019"/>
    </row>
    <row r="24" spans="2:23" ht="18" customHeight="1" x14ac:dyDescent="0.2">
      <c r="B24" s="488"/>
      <c r="C24" s="508" t="s">
        <v>278</v>
      </c>
      <c r="D24" s="3568">
        <f>IF(SUM(E24:F24)=0,E24,SUM(E24:F24))</f>
        <v>102.57403353864815</v>
      </c>
      <c r="E24" s="3569" t="s">
        <v>2146</v>
      </c>
      <c r="F24" s="3554">
        <v>102.57403353864815</v>
      </c>
      <c r="G24" s="3558">
        <f t="shared" si="6"/>
        <v>8.5904699576788346</v>
      </c>
      <c r="H24" s="3078" t="str">
        <f t="shared" si="6"/>
        <v>NA</v>
      </c>
      <c r="I24" s="3078">
        <f t="shared" si="6"/>
        <v>8.5904699576788346</v>
      </c>
      <c r="J24" s="3078">
        <f t="shared" si="6"/>
        <v>-0.53401969226466861</v>
      </c>
      <c r="K24" s="3078">
        <f t="shared" si="6"/>
        <v>0.21171136329382859</v>
      </c>
      <c r="L24" s="3078" t="str">
        <f t="shared" si="3"/>
        <v>NA</v>
      </c>
      <c r="M24" s="3128">
        <f t="shared" si="4"/>
        <v>-0.39044293340831648</v>
      </c>
      <c r="N24" s="2905">
        <v>881.15915355169818</v>
      </c>
      <c r="O24" s="2905" t="s">
        <v>2153</v>
      </c>
      <c r="P24" s="3109">
        <f t="shared" si="14"/>
        <v>881.15915355169818</v>
      </c>
      <c r="Q24" s="2905">
        <v>-54.776553824654684</v>
      </c>
      <c r="R24" s="2906">
        <v>21.716088479014097</v>
      </c>
      <c r="S24" s="2906" t="s">
        <v>2146</v>
      </c>
      <c r="T24" s="2906">
        <v>-40.049306546352824</v>
      </c>
      <c r="U24" s="3570">
        <f t="shared" ref="U24" si="25">IF(SUM(P24:T24)=0,P24,SUM(P24:T24)*-44/12)</f>
        <v>-2962.8477327522505</v>
      </c>
      <c r="W24" s="2398"/>
    </row>
    <row r="25" spans="2:23" ht="18" customHeight="1" x14ac:dyDescent="0.2">
      <c r="B25" s="487" t="s">
        <v>1045</v>
      </c>
      <c r="C25" s="504"/>
      <c r="D25" s="3568">
        <f>D26</f>
        <v>19.815000000000001</v>
      </c>
      <c r="E25" s="3571">
        <f t="shared" ref="E25" si="26">E26</f>
        <v>19.815000000000001</v>
      </c>
      <c r="F25" s="3572" t="str">
        <f t="shared" ref="F25" si="27">F26</f>
        <v>NO</v>
      </c>
      <c r="G25" s="3558">
        <f t="shared" si="6"/>
        <v>1.5204138279081505</v>
      </c>
      <c r="H25" s="3078" t="str">
        <f t="shared" si="6"/>
        <v>NA</v>
      </c>
      <c r="I25" s="3078">
        <f t="shared" si="6"/>
        <v>1.5204138279081505</v>
      </c>
      <c r="J25" s="3078">
        <f t="shared" si="6"/>
        <v>-0.15457986373959121</v>
      </c>
      <c r="K25" s="3078">
        <f t="shared" si="6"/>
        <v>-3.5932374463790051E-2</v>
      </c>
      <c r="L25" s="3078">
        <f t="shared" si="3"/>
        <v>-0.98248801413070896</v>
      </c>
      <c r="M25" s="3128" t="str">
        <f t="shared" si="4"/>
        <v>NA</v>
      </c>
      <c r="N25" s="3078">
        <f t="shared" ref="N25" si="28">N26</f>
        <v>30.127000000000002</v>
      </c>
      <c r="O25" s="3078" t="str">
        <f t="shared" ref="O25" si="29">O26</f>
        <v>IE</v>
      </c>
      <c r="P25" s="3078">
        <f t="shared" ref="P25" si="30">P26</f>
        <v>30.127000000000002</v>
      </c>
      <c r="Q25" s="3078">
        <f t="shared" ref="Q25" si="31">Q26</f>
        <v>-3.0630000000000002</v>
      </c>
      <c r="R25" s="3573">
        <f t="shared" ref="R25" si="32">R26</f>
        <v>-0.71199999999999997</v>
      </c>
      <c r="S25" s="3573">
        <f t="shared" ref="S25" si="33">S26</f>
        <v>-19.468</v>
      </c>
      <c r="T25" s="3573" t="str">
        <f t="shared" ref="T25" si="34">T26</f>
        <v>NO</v>
      </c>
      <c r="U25" s="3570">
        <f t="shared" ref="U25" si="35">U26</f>
        <v>-25.241333333333348</v>
      </c>
      <c r="W25" s="2019"/>
    </row>
    <row r="26" spans="2:23" ht="18" customHeight="1" x14ac:dyDescent="0.2">
      <c r="B26" s="488"/>
      <c r="C26" s="508" t="s">
        <v>278</v>
      </c>
      <c r="D26" s="3568">
        <f>IF(SUM(E26:F26)=0,E26,SUM(E26:F26))</f>
        <v>19.815000000000001</v>
      </c>
      <c r="E26" s="3569">
        <v>19.815000000000001</v>
      </c>
      <c r="F26" s="3554" t="s">
        <v>2146</v>
      </c>
      <c r="G26" s="3558">
        <f t="shared" si="6"/>
        <v>1.5204138279081505</v>
      </c>
      <c r="H26" s="3078" t="str">
        <f t="shared" si="6"/>
        <v>NA</v>
      </c>
      <c r="I26" s="3078">
        <f t="shared" si="6"/>
        <v>1.5204138279081505</v>
      </c>
      <c r="J26" s="3078">
        <f t="shared" si="6"/>
        <v>-0.15457986373959121</v>
      </c>
      <c r="K26" s="3078">
        <f t="shared" si="6"/>
        <v>-3.5932374463790051E-2</v>
      </c>
      <c r="L26" s="3078">
        <f t="shared" si="3"/>
        <v>-0.98248801413070896</v>
      </c>
      <c r="M26" s="3128" t="str">
        <f t="shared" si="4"/>
        <v>NA</v>
      </c>
      <c r="N26" s="2905">
        <v>30.127000000000002</v>
      </c>
      <c r="O26" s="2905" t="s">
        <v>2153</v>
      </c>
      <c r="P26" s="3109">
        <f t="shared" si="14"/>
        <v>30.127000000000002</v>
      </c>
      <c r="Q26" s="2905">
        <v>-3.0630000000000002</v>
      </c>
      <c r="R26" s="2906">
        <v>-0.71199999999999997</v>
      </c>
      <c r="S26" s="2906">
        <v>-19.468</v>
      </c>
      <c r="T26" s="2906" t="s">
        <v>2146</v>
      </c>
      <c r="U26" s="3570">
        <f t="shared" ref="U26" si="36">IF(SUM(P26:T26)=0,P26,SUM(P26:T26)*-44/12)</f>
        <v>-25.241333333333348</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39685.079035500814</v>
      </c>
      <c r="E10" s="3583">
        <f t="shared" ref="E10:F10" si="0">IF(SUM(E11,E13)=0,"IE",SUM(E11,E13))</f>
        <v>39682.079035500814</v>
      </c>
      <c r="F10" s="3584">
        <f t="shared" si="0"/>
        <v>3</v>
      </c>
      <c r="G10" s="3558">
        <f>IFERROR(IF(SUM($D10)=0,"NA",M10/$D10),"NA")</f>
        <v>4.0852026229540452E-4</v>
      </c>
      <c r="H10" s="3583">
        <f t="shared" ref="H10:J10" si="1">IFERROR(IF(SUM($D10)=0,"NA",N10/$D10),"NA")</f>
        <v>-3.5048815166923028E-2</v>
      </c>
      <c r="I10" s="3583">
        <f t="shared" si="1"/>
        <v>-3.4640294904627625E-2</v>
      </c>
      <c r="J10" s="3583">
        <f t="shared" si="1"/>
        <v>-1.9537594956189945E-2</v>
      </c>
      <c r="K10" s="3585">
        <f>IFERROR(IF(SUM(E10)=0,"NA",Q10/E10),"NA")</f>
        <v>-0.12898868661238055</v>
      </c>
      <c r="L10" s="3584">
        <f>IFERROR(IF(SUM(F10)=0,"NA",R10/F10),"NA")</f>
        <v>-12.475</v>
      </c>
      <c r="M10" s="3586">
        <f>IF(SUM(M11,M13)=0,"IE",SUM(M11,M13))</f>
        <v>16.212158896796652</v>
      </c>
      <c r="N10" s="3583">
        <f t="shared" ref="N10:S10" si="2">IF(SUM(N11,N13)=0,"IE",SUM(N11,N13))</f>
        <v>-1390.915</v>
      </c>
      <c r="O10" s="3587">
        <f t="shared" si="2"/>
        <v>-1374.7028411032034</v>
      </c>
      <c r="P10" s="3583">
        <f t="shared" si="2"/>
        <v>-775.351</v>
      </c>
      <c r="Q10" s="3585">
        <f t="shared" si="2"/>
        <v>-5118.5392568379311</v>
      </c>
      <c r="R10" s="3585">
        <f t="shared" si="2"/>
        <v>-37.424999999999997</v>
      </c>
      <c r="S10" s="3588">
        <f t="shared" si="2"/>
        <v>26788.73302578416</v>
      </c>
      <c r="U10" s="2261"/>
    </row>
    <row r="11" spans="2:21" ht="18" customHeight="1" x14ac:dyDescent="0.2">
      <c r="B11" s="499" t="s">
        <v>985</v>
      </c>
      <c r="C11" s="2256"/>
      <c r="D11" s="3589">
        <f>D12</f>
        <v>37662.124094473002</v>
      </c>
      <c r="E11" s="3078">
        <f t="shared" ref="E11" si="3">E12</f>
        <v>37662.124094473002</v>
      </c>
      <c r="F11" s="3078" t="str">
        <f t="shared" ref="F11" si="4">F12</f>
        <v>IE</v>
      </c>
      <c r="G11" s="3558">
        <f t="shared" ref="G11:G23" si="5">IFERROR(IF(SUM($D11)=0,"NA",M11/$D11),"NA")</f>
        <v>4.3046321169059665E-4</v>
      </c>
      <c r="H11" s="3078" t="str">
        <f t="shared" ref="H11:H23" si="6">IFERROR(IF(SUM($D11)=0,"NA",N11/$D11),"NA")</f>
        <v>NA</v>
      </c>
      <c r="I11" s="3078">
        <f t="shared" ref="I11:I23" si="7">IFERROR(IF(SUM($D11)=0,"NA",O11/$D11),"NA")</f>
        <v>4.3046321169059665E-4</v>
      </c>
      <c r="J11" s="3078" t="str">
        <f t="shared" ref="J11:J23" si="8">IFERROR(IF(SUM($D11)=0,"NA",P11/$D11),"NA")</f>
        <v>NA</v>
      </c>
      <c r="K11" s="3573">
        <f t="shared" ref="K11:K23" si="9">IFERROR(IF(SUM(E11)=0,"NA",Q11/E11),"NA")</f>
        <v>-0.1184286226412913</v>
      </c>
      <c r="L11" s="3128" t="str">
        <f t="shared" ref="L11:L23" si="10">IFERROR(IF(SUM(F11)=0,"NA",R11/F11),"NA")</f>
        <v>NA</v>
      </c>
      <c r="M11" s="3590">
        <f t="shared" ref="M11" si="11">M12</f>
        <v>16.212158896796652</v>
      </c>
      <c r="N11" s="3591" t="str">
        <f t="shared" ref="N11" si="12">N12</f>
        <v>IE</v>
      </c>
      <c r="O11" s="3592">
        <f t="shared" ref="O11" si="13">O12</f>
        <v>16.212158896796652</v>
      </c>
      <c r="P11" s="3591" t="str">
        <f t="shared" ref="P11" si="14">P12</f>
        <v>NA</v>
      </c>
      <c r="Q11" s="3593">
        <f t="shared" ref="Q11" si="15">Q12</f>
        <v>-4460.2734822538278</v>
      </c>
      <c r="R11" s="3593" t="str">
        <f t="shared" ref="R11" si="16">R12</f>
        <v>IE</v>
      </c>
      <c r="S11" s="3594">
        <f t="shared" ref="S11" si="17">S12</f>
        <v>16294.891518975781</v>
      </c>
      <c r="U11" s="2258"/>
    </row>
    <row r="12" spans="2:21" ht="18" customHeight="1" x14ac:dyDescent="0.2">
      <c r="B12" s="501"/>
      <c r="C12" s="508" t="s">
        <v>278</v>
      </c>
      <c r="D12" s="3568">
        <f>IF(SUM(E12:F12)=0,E12,SUM(E12:F12))</f>
        <v>37662.124094473002</v>
      </c>
      <c r="E12" s="3569">
        <v>37662.124094473002</v>
      </c>
      <c r="F12" s="3554" t="s">
        <v>2153</v>
      </c>
      <c r="G12" s="3558">
        <f t="shared" si="5"/>
        <v>4.3046321169059665E-4</v>
      </c>
      <c r="H12" s="3078" t="str">
        <f t="shared" si="6"/>
        <v>NA</v>
      </c>
      <c r="I12" s="3078">
        <f t="shared" si="7"/>
        <v>4.3046321169059665E-4</v>
      </c>
      <c r="J12" s="3078" t="str">
        <f t="shared" si="8"/>
        <v>NA</v>
      </c>
      <c r="K12" s="3573">
        <f t="shared" si="9"/>
        <v>-0.1184286226412913</v>
      </c>
      <c r="L12" s="3128" t="str">
        <f t="shared" si="10"/>
        <v>NA</v>
      </c>
      <c r="M12" s="2905">
        <v>16.212158896796652</v>
      </c>
      <c r="N12" s="2905" t="s">
        <v>2153</v>
      </c>
      <c r="O12" s="3109">
        <f>IF(SUM(M12:N12)=0,M12,SUM(M12:N12))</f>
        <v>16.212158896796652</v>
      </c>
      <c r="P12" s="2905" t="s">
        <v>2147</v>
      </c>
      <c r="Q12" s="2906">
        <v>-4460.2734822538278</v>
      </c>
      <c r="R12" s="2906" t="s">
        <v>2153</v>
      </c>
      <c r="S12" s="3594">
        <f>IF(SUM(O12:R12)=0,Q12,SUM(O12:R12)*-44/12)</f>
        <v>16294.891518975781</v>
      </c>
      <c r="U12" s="2398"/>
    </row>
    <row r="13" spans="2:21" ht="18" customHeight="1" x14ac:dyDescent="0.2">
      <c r="B13" s="485" t="s">
        <v>1054</v>
      </c>
      <c r="C13" s="504"/>
      <c r="D13" s="3589">
        <f>IF(SUM(D14,D16,D18,D20,D22)=0,"IE",SUM(D14,D16,D18,D20,D22))</f>
        <v>2022.9549410278123</v>
      </c>
      <c r="E13" s="3591">
        <f t="shared" ref="E13:F13" si="18">IF(SUM(E14,E16,E18,E20,E22)=0,"IE",SUM(E14,E16,E18,E20,E22))</f>
        <v>2019.9549410278123</v>
      </c>
      <c r="F13" s="3595">
        <f t="shared" si="18"/>
        <v>3</v>
      </c>
      <c r="G13" s="3558" t="str">
        <f t="shared" si="5"/>
        <v>NA</v>
      </c>
      <c r="H13" s="3078">
        <f t="shared" si="6"/>
        <v>-0.68756598171846139</v>
      </c>
      <c r="I13" s="3078">
        <f t="shared" si="7"/>
        <v>-0.68756598171846139</v>
      </c>
      <c r="J13" s="3078">
        <f t="shared" si="8"/>
        <v>-0.38327645578010933</v>
      </c>
      <c r="K13" s="3573">
        <f t="shared" si="9"/>
        <v>-0.3258814150820406</v>
      </c>
      <c r="L13" s="3128">
        <f t="shared" si="10"/>
        <v>-12.475</v>
      </c>
      <c r="M13" s="3590" t="str">
        <f>IF(SUM(M14,M16,M18,M20,M22)=0,"IE",SUM(M14,M16,M18,M20,M22))</f>
        <v>IE</v>
      </c>
      <c r="N13" s="3591">
        <f t="shared" ref="N13" si="19">IF(SUM(N14,N16,N18,N20,N22)=0,"IE",SUM(N14,N16,N18,N20,N22))</f>
        <v>-1390.915</v>
      </c>
      <c r="O13" s="3592">
        <f t="shared" ref="O13" si="20">IF(SUM(O14,O16,O18,O20,O22)=0,"IE",SUM(O14,O16,O18,O20,O22))</f>
        <v>-1390.915</v>
      </c>
      <c r="P13" s="3592">
        <f t="shared" ref="P13" si="21">IF(SUM(P14,P16,P18,P20,P22)=0,"IE",SUM(P14,P16,P18,P20,P22))</f>
        <v>-775.351</v>
      </c>
      <c r="Q13" s="3592">
        <f t="shared" ref="Q13" si="22">IF(SUM(Q14,Q16,Q18,Q20,Q22)=0,"IE",SUM(Q14,Q16,Q18,Q20,Q22))</f>
        <v>-658.26577458410338</v>
      </c>
      <c r="R13" s="3592">
        <f t="shared" ref="R13" si="23">IF(SUM(R14,R16,R18,R20,R22)=0,"IE",SUM(R14,R16,R18,R20,R22))</f>
        <v>-37.424999999999997</v>
      </c>
      <c r="S13" s="3594">
        <f t="shared" ref="S13" si="24">IF(SUM(S14,S16,S18,S20,S22)=0,"IE",SUM(S14,S16,S18,S20,S22))</f>
        <v>10493.841506808378</v>
      </c>
      <c r="U13" s="503"/>
    </row>
    <row r="14" spans="2:21" ht="18" customHeight="1" x14ac:dyDescent="0.2">
      <c r="B14" s="487" t="s">
        <v>1055</v>
      </c>
      <c r="C14" s="504"/>
      <c r="D14" s="3589">
        <f>D15</f>
        <v>2010.2940000000001</v>
      </c>
      <c r="E14" s="3078">
        <f t="shared" ref="E14" si="25">E15</f>
        <v>2010.2940000000001</v>
      </c>
      <c r="F14" s="3078" t="str">
        <f t="shared" ref="F14" si="26">F15</f>
        <v>IE</v>
      </c>
      <c r="G14" s="3558" t="str">
        <f t="shared" si="5"/>
        <v>NA</v>
      </c>
      <c r="H14" s="3078">
        <f t="shared" si="6"/>
        <v>-0.69189630969400495</v>
      </c>
      <c r="I14" s="3078">
        <f t="shared" si="7"/>
        <v>-0.69189630969400495</v>
      </c>
      <c r="J14" s="3078">
        <f t="shared" si="8"/>
        <v>-0.38569035175949384</v>
      </c>
      <c r="K14" s="3573">
        <f t="shared" si="9"/>
        <v>-0.31340788959226862</v>
      </c>
      <c r="L14" s="3128" t="str">
        <f t="shared" si="10"/>
        <v>NA</v>
      </c>
      <c r="M14" s="3590" t="str">
        <f t="shared" ref="M14" si="27">M15</f>
        <v>IE</v>
      </c>
      <c r="N14" s="3591">
        <f t="shared" ref="N14" si="28">N15</f>
        <v>-1390.915</v>
      </c>
      <c r="O14" s="3592">
        <f t="shared" ref="O14" si="29">O15</f>
        <v>-1390.915</v>
      </c>
      <c r="P14" s="3591">
        <f t="shared" ref="P14" si="30">P15</f>
        <v>-775.351</v>
      </c>
      <c r="Q14" s="3593">
        <f t="shared" ref="Q14" si="31">Q15</f>
        <v>-630.04200000000003</v>
      </c>
      <c r="R14" s="3593" t="str">
        <f t="shared" ref="R14" si="32">R15</f>
        <v>IE</v>
      </c>
      <c r="S14" s="3594">
        <f t="shared" ref="S14" si="33">S15</f>
        <v>10253.129333333332</v>
      </c>
      <c r="U14" s="503"/>
    </row>
    <row r="15" spans="2:21" ht="18" customHeight="1" x14ac:dyDescent="0.2">
      <c r="B15" s="501"/>
      <c r="C15" s="508" t="s">
        <v>278</v>
      </c>
      <c r="D15" s="3568">
        <f>IF(SUM(E15:F15)=0,E15,SUM(E15:F15))</f>
        <v>2010.2940000000001</v>
      </c>
      <c r="E15" s="3569">
        <v>2010.2940000000001</v>
      </c>
      <c r="F15" s="3554" t="s">
        <v>2153</v>
      </c>
      <c r="G15" s="3558" t="str">
        <f t="shared" si="5"/>
        <v>NA</v>
      </c>
      <c r="H15" s="3078">
        <f t="shared" si="6"/>
        <v>-0.69189630969400495</v>
      </c>
      <c r="I15" s="3078">
        <f t="shared" si="7"/>
        <v>-0.69189630969400495</v>
      </c>
      <c r="J15" s="3078">
        <f t="shared" si="8"/>
        <v>-0.38569035175949384</v>
      </c>
      <c r="K15" s="3573">
        <f t="shared" si="9"/>
        <v>-0.31340788959226862</v>
      </c>
      <c r="L15" s="3128" t="str">
        <f t="shared" si="10"/>
        <v>NA</v>
      </c>
      <c r="M15" s="2905" t="s">
        <v>2153</v>
      </c>
      <c r="N15" s="2905">
        <v>-1390.915</v>
      </c>
      <c r="O15" s="3109">
        <f>IF(SUM(M15:N15)=0,M15,SUM(M15:N15))</f>
        <v>-1390.915</v>
      </c>
      <c r="P15" s="2905">
        <v>-775.351</v>
      </c>
      <c r="Q15" s="2906">
        <v>-630.04200000000003</v>
      </c>
      <c r="R15" s="2906" t="s">
        <v>2153</v>
      </c>
      <c r="S15" s="3594">
        <f>IF(SUM(O15:R15)=0,Q15,SUM(O15:R15)*-44/12)</f>
        <v>10253.129333333332</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519423.01957735996</v>
      </c>
      <c r="E10" s="3583">
        <f t="shared" ref="E10:F10" si="0">IF(SUM(E11,E15)=0,"IE",SUM(E11,E15))</f>
        <v>519422.01957735996</v>
      </c>
      <c r="F10" s="3584">
        <f t="shared" si="0"/>
        <v>1</v>
      </c>
      <c r="G10" s="3558">
        <f>IFERROR(IF(SUM($D10)=0,"NA",M10/$D10),"NA")</f>
        <v>2.8139876064685754E-4</v>
      </c>
      <c r="H10" s="3583">
        <f t="shared" ref="H10:J10" si="1">IFERROR(IF(SUM($D10)=0,"NA",N10/$D10),"NA")</f>
        <v>-4.1097102487781464E-2</v>
      </c>
      <c r="I10" s="3583">
        <f t="shared" si="1"/>
        <v>-4.0815703727134611E-2</v>
      </c>
      <c r="J10" s="3583">
        <f t="shared" si="1"/>
        <v>-4.4132898617174681E-3</v>
      </c>
      <c r="K10" s="3585">
        <f>IFERROR(IF(SUM(E10)=0,"NA",Q10/E10),"NA")</f>
        <v>2.641010438566353E-3</v>
      </c>
      <c r="L10" s="3584">
        <f>IFERROR(IF(SUM(F10)=0,"NA",R10/F10),"NA")</f>
        <v>-8.7249999999999996</v>
      </c>
      <c r="M10" s="3586">
        <f>IF(SUM(M11,M15)=0,"IE",SUM(M11,M15))</f>
        <v>146.16499396051751</v>
      </c>
      <c r="N10" s="3583">
        <f t="shared" ref="N10:S10" si="2">IF(SUM(N11,N15)=0,"IE",SUM(N11,N15))</f>
        <v>-21346.781070083682</v>
      </c>
      <c r="O10" s="3587">
        <f t="shared" si="2"/>
        <v>-21200.616076123166</v>
      </c>
      <c r="P10" s="3583">
        <f t="shared" si="2"/>
        <v>-2292.3643462434366</v>
      </c>
      <c r="Q10" s="3585">
        <f t="shared" si="2"/>
        <v>1371.7989757250243</v>
      </c>
      <c r="R10" s="3585">
        <f t="shared" si="2"/>
        <v>-8.7249999999999996</v>
      </c>
      <c r="S10" s="3588">
        <f t="shared" si="2"/>
        <v>81142.990304352454</v>
      </c>
      <c r="U10" s="2261"/>
    </row>
    <row r="11" spans="2:21" ht="18" customHeight="1" x14ac:dyDescent="0.2">
      <c r="B11" s="493" t="s">
        <v>988</v>
      </c>
      <c r="C11" s="483"/>
      <c r="D11" s="3599">
        <f>IF(SUM(D12:D14)=0,"IE",SUM(D12:D14))</f>
        <v>511384.43993966997</v>
      </c>
      <c r="E11" s="3564">
        <f t="shared" ref="E11:F11" si="3">IF(SUM(E12:E14)=0,"IE",SUM(E12:E14))</f>
        <v>511384.43993966997</v>
      </c>
      <c r="F11" s="3565" t="str">
        <f t="shared" si="3"/>
        <v>IE</v>
      </c>
      <c r="G11" s="3599">
        <f t="shared" ref="G11:G26" si="4">IFERROR(IF(SUM($D11)=0,"NA",M11/$D11),"NA")</f>
        <v>2.6848601932073784E-4</v>
      </c>
      <c r="H11" s="3109">
        <f t="shared" ref="H11:H26" si="5">IFERROR(IF(SUM($D11)=0,"NA",N11/$D11),"NA")</f>
        <v>-6.111375123553568E-4</v>
      </c>
      <c r="I11" s="3109">
        <f t="shared" ref="I11:I26" si="6">IFERROR(IF(SUM($D11)=0,"NA",O11/$D11),"NA")</f>
        <v>-3.4265149303461891E-4</v>
      </c>
      <c r="J11" s="3109">
        <f t="shared" ref="J11:J26" si="7">IFERROR(IF(SUM($D11)=0,"NA",P11/$D11),"NA")</f>
        <v>1.0263838364092939E-3</v>
      </c>
      <c r="K11" s="3566">
        <f t="shared" ref="K11:K26" si="8">IFERROR(IF(SUM(E11)=0,"NA",Q11/E11),"NA")</f>
        <v>6.9094467177606535E-3</v>
      </c>
      <c r="L11" s="3249" t="str">
        <f t="shared" ref="L11:L26" si="9">IFERROR(IF(SUM(F11)=0,"NA",R11/F11),"NA")</f>
        <v>NA</v>
      </c>
      <c r="M11" s="3109">
        <f>IF(SUM(M12:M14)=0,"IE",SUM(M12:M14))</f>
        <v>137.29957262196695</v>
      </c>
      <c r="N11" s="3109">
        <f t="shared" ref="N11:O11" si="10">IF(SUM(N12:N14)=0,"IE",SUM(N12:N14))</f>
        <v>-312.52621448196726</v>
      </c>
      <c r="O11" s="3109">
        <f t="shared" si="10"/>
        <v>-175.22664186000031</v>
      </c>
      <c r="P11" s="3109">
        <f t="shared" ref="P11" si="11">IF(SUM(P12:P14)=0,"IE",SUM(P12:P14))</f>
        <v>524.87672334529657</v>
      </c>
      <c r="Q11" s="3566">
        <f t="shared" ref="Q11" si="12">IF(SUM(Q12:Q14)=0,"IE",SUM(Q12:Q14))</f>
        <v>3533.3835400550229</v>
      </c>
      <c r="R11" s="3566" t="str">
        <f t="shared" ref="R11" si="13">IF(SUM(R12:R14)=0,"IE",SUM(R12:R14))</f>
        <v>IE</v>
      </c>
      <c r="S11" s="3567">
        <f t="shared" ref="S11" si="14">IF(SUM(S12:S14)=0,"IE",SUM(S12:S14))</f>
        <v>-14237.789945647835</v>
      </c>
      <c r="U11" s="2397"/>
    </row>
    <row r="12" spans="2:21" ht="18" customHeight="1" x14ac:dyDescent="0.2">
      <c r="B12" s="499"/>
      <c r="C12" s="484" t="s">
        <v>2226</v>
      </c>
      <c r="D12" s="3600">
        <f>IF(SUM(E12:F12)=0,E12,SUM(E12:F12))</f>
        <v>70456.100045431303</v>
      </c>
      <c r="E12" s="3569">
        <v>70456.100045431303</v>
      </c>
      <c r="F12" s="3554" t="s">
        <v>2153</v>
      </c>
      <c r="G12" s="3558">
        <f t="shared" si="4"/>
        <v>1.948725128603965E-3</v>
      </c>
      <c r="H12" s="3078" t="str">
        <f t="shared" si="5"/>
        <v>NA</v>
      </c>
      <c r="I12" s="3078">
        <f t="shared" si="6"/>
        <v>1.948725128603965E-3</v>
      </c>
      <c r="J12" s="3078">
        <f t="shared" si="7"/>
        <v>3.8974502572079305E-4</v>
      </c>
      <c r="K12" s="3573">
        <f t="shared" si="8"/>
        <v>1.5589801028831722E-3</v>
      </c>
      <c r="L12" s="3128" t="str">
        <f t="shared" si="9"/>
        <v>NA</v>
      </c>
      <c r="M12" s="2905">
        <v>137.29957262196695</v>
      </c>
      <c r="N12" s="2905" t="s">
        <v>2153</v>
      </c>
      <c r="O12" s="3109">
        <f>IF(SUM(M12:N12)=0,M12,SUM(M12:N12))</f>
        <v>137.29957262196695</v>
      </c>
      <c r="P12" s="2905">
        <v>27.45991452439339</v>
      </c>
      <c r="Q12" s="2906">
        <v>109.83965809757356</v>
      </c>
      <c r="R12" s="2906" t="s">
        <v>2153</v>
      </c>
      <c r="S12" s="3570">
        <f>IF(SUM(O12:R12)=0,Q12,SUM(O12:R12)*-44/12)</f>
        <v>-1006.8635325610909</v>
      </c>
      <c r="U12" s="2398"/>
    </row>
    <row r="13" spans="2:21" ht="18" customHeight="1" x14ac:dyDescent="0.2">
      <c r="B13" s="499"/>
      <c r="C13" s="484" t="s">
        <v>2227</v>
      </c>
      <c r="D13" s="3600">
        <f>IF(SUM(E13:F13)=0,E13,SUM(E13:F13))</f>
        <v>440928.33989423868</v>
      </c>
      <c r="E13" s="3569">
        <v>440928.33989423868</v>
      </c>
      <c r="F13" s="3554" t="s">
        <v>2153</v>
      </c>
      <c r="G13" s="3558" t="str">
        <f t="shared" si="4"/>
        <v>NA</v>
      </c>
      <c r="H13" s="3078" t="str">
        <f t="shared" si="5"/>
        <v>NA</v>
      </c>
      <c r="I13" s="3078" t="str">
        <f t="shared" si="6"/>
        <v>NA</v>
      </c>
      <c r="J13" s="3078" t="str">
        <f t="shared" si="7"/>
        <v>NA</v>
      </c>
      <c r="K13" s="3573">
        <f t="shared" si="8"/>
        <v>7.7643997271271388E-3</v>
      </c>
      <c r="L13" s="3128" t="str">
        <f t="shared" si="9"/>
        <v>NA</v>
      </c>
      <c r="M13" s="2905" t="s">
        <v>2147</v>
      </c>
      <c r="N13" s="2905" t="s">
        <v>2147</v>
      </c>
      <c r="O13" s="3109" t="str">
        <f>IF(SUM(M13:N13)=0,M13,SUM(M13:N13))</f>
        <v>NA</v>
      </c>
      <c r="P13" s="2905" t="s">
        <v>2147</v>
      </c>
      <c r="Q13" s="2906">
        <v>3423.5438819574492</v>
      </c>
      <c r="R13" s="2906" t="s">
        <v>2153</v>
      </c>
      <c r="S13" s="3570">
        <f>IF(SUM(O13:R13)=0,Q13,SUM(O13:R13)*-44/12)</f>
        <v>-12552.99423384398</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-312.52621448196726</v>
      </c>
      <c r="O14" s="3109">
        <f>IF(SUM(M14:N14)=0,M14,SUM(M14:N14))</f>
        <v>-312.52621448196726</v>
      </c>
      <c r="P14" s="2905">
        <v>497.41680882090321</v>
      </c>
      <c r="Q14" s="2906" t="s">
        <v>2147</v>
      </c>
      <c r="R14" s="2906" t="s">
        <v>2147</v>
      </c>
      <c r="S14" s="3570">
        <f>IF(SUM(O14:R14)=0,Q14,SUM(O14:R14)*-44/12)</f>
        <v>-677.93217924276519</v>
      </c>
      <c r="U14" s="2398"/>
    </row>
    <row r="15" spans="2:21" ht="18" customHeight="1" x14ac:dyDescent="0.2">
      <c r="B15" s="485" t="s">
        <v>1066</v>
      </c>
      <c r="C15" s="486"/>
      <c r="D15" s="3589">
        <f>IF(SUM(D16,D19,D21,D23,D25)=0,"IE",SUM(D16,D19,D21,D23,D25))</f>
        <v>8038.5796376900016</v>
      </c>
      <c r="E15" s="3591">
        <f t="shared" ref="E15:F15" si="15">IF(SUM(E16,E19,E21,E23,E25)=0,"IE",SUM(E16,E19,E21,E23,E25))</f>
        <v>8037.5796376900016</v>
      </c>
      <c r="F15" s="3595">
        <f t="shared" si="15"/>
        <v>1</v>
      </c>
      <c r="G15" s="3558">
        <f t="shared" si="4"/>
        <v>1.1028591788758053E-3</v>
      </c>
      <c r="H15" s="3078">
        <f t="shared" si="5"/>
        <v>-2.6166631175711288</v>
      </c>
      <c r="I15" s="3078">
        <f t="shared" si="6"/>
        <v>-2.6155602583922533</v>
      </c>
      <c r="J15" s="3078">
        <f t="shared" si="7"/>
        <v>-0.35046503195411605</v>
      </c>
      <c r="K15" s="3573">
        <f t="shared" si="8"/>
        <v>-0.26893476167798663</v>
      </c>
      <c r="L15" s="3128">
        <f t="shared" si="9"/>
        <v>-8.7249999999999996</v>
      </c>
      <c r="M15" s="3590">
        <f>IF(SUM(M16,M19,M21,M23,M25)=0,"IE",SUM(M16,M19,M21,M23,M25))</f>
        <v>8.8654213385505631</v>
      </c>
      <c r="N15" s="3591">
        <f t="shared" ref="N15:S15" si="16">IF(SUM(N16,N19,N21,N23,N25)=0,"IE",SUM(N16,N19,N21,N23,N25))</f>
        <v>-21034.254855601714</v>
      </c>
      <c r="O15" s="3592">
        <f t="shared" si="16"/>
        <v>-21025.389434263165</v>
      </c>
      <c r="P15" s="3592">
        <f t="shared" si="16"/>
        <v>-2817.2410695887329</v>
      </c>
      <c r="Q15" s="3592">
        <f t="shared" si="16"/>
        <v>-2161.5845643299986</v>
      </c>
      <c r="R15" s="3592">
        <f t="shared" si="16"/>
        <v>-8.7249999999999996</v>
      </c>
      <c r="S15" s="3594">
        <f t="shared" si="16"/>
        <v>95380.780250000287</v>
      </c>
      <c r="U15" s="2019"/>
    </row>
    <row r="16" spans="2:21" ht="18" customHeight="1" x14ac:dyDescent="0.2">
      <c r="B16" s="500" t="s">
        <v>1067</v>
      </c>
      <c r="C16" s="486"/>
      <c r="D16" s="3599">
        <f>IF(SUM(D17:D18)=0,"IE",SUM(D17:D18))</f>
        <v>7989.702205153455</v>
      </c>
      <c r="E16" s="3564">
        <f t="shared" ref="E16:F16" si="17">IF(SUM(E17:E18)=0,"IE",SUM(E17:E18))</f>
        <v>7989.702205153455</v>
      </c>
      <c r="F16" s="3565" t="str">
        <f t="shared" si="17"/>
        <v>IE</v>
      </c>
      <c r="G16" s="3558">
        <f t="shared" si="4"/>
        <v>1.1096059791605574E-3</v>
      </c>
      <c r="H16" s="3078">
        <f t="shared" si="5"/>
        <v>-2.6326706947893959</v>
      </c>
      <c r="I16" s="3078">
        <f t="shared" si="6"/>
        <v>-2.6315610888102352</v>
      </c>
      <c r="J16" s="3078">
        <f t="shared" si="7"/>
        <v>-0.3526090206180123</v>
      </c>
      <c r="K16" s="3573">
        <f t="shared" si="8"/>
        <v>-0.25572802525632587</v>
      </c>
      <c r="L16" s="3128" t="str">
        <f t="shared" si="9"/>
        <v>NA</v>
      </c>
      <c r="M16" s="3506">
        <f>IF(SUM(M17:M18)=0,"IE",SUM(M17:M18))</f>
        <v>8.8654213385505631</v>
      </c>
      <c r="N16" s="3506">
        <f t="shared" ref="N16:O16" si="18">IF(SUM(N17:N18)=0,"IE",SUM(N17:N18))</f>
        <v>-21034.254855601714</v>
      </c>
      <c r="O16" s="3506">
        <f t="shared" si="18"/>
        <v>-21025.389434263165</v>
      </c>
      <c r="P16" s="3506">
        <f t="shared" ref="P16" si="19">IF(SUM(P17:P18)=0,"IE",SUM(P17:P18))</f>
        <v>-2817.2410695887329</v>
      </c>
      <c r="Q16" s="3601">
        <f t="shared" ref="Q16" si="20">IF(SUM(Q17:Q18)=0,"IE",SUM(Q17:Q18))</f>
        <v>-2043.1907673100054</v>
      </c>
      <c r="R16" s="3601" t="str">
        <f t="shared" ref="R16" si="21">IF(SUM(R17:R18)=0,"IE",SUM(R17:R18))</f>
        <v>IE</v>
      </c>
      <c r="S16" s="3287">
        <f t="shared" ref="S16" si="22">IF(SUM(S17:S18)=0,"IE",SUM(S17:S18))</f>
        <v>94914.677994260317</v>
      </c>
      <c r="U16" s="2400"/>
    </row>
    <row r="17" spans="2:21" ht="18" customHeight="1" x14ac:dyDescent="0.2">
      <c r="B17" s="500"/>
      <c r="C17" s="484" t="s">
        <v>2228</v>
      </c>
      <c r="D17" s="3600">
        <f>IF(SUM(E17:F17)=0,E17,SUM(E17:F17))</f>
        <v>7989.702205153455</v>
      </c>
      <c r="E17" s="3569">
        <v>7989.702205153455</v>
      </c>
      <c r="F17" s="3554" t="s">
        <v>2153</v>
      </c>
      <c r="G17" s="3558" t="str">
        <f t="shared" si="4"/>
        <v>NA</v>
      </c>
      <c r="H17" s="3078">
        <f t="shared" si="5"/>
        <v>-2.6326706947893959</v>
      </c>
      <c r="I17" s="3078">
        <f t="shared" si="6"/>
        <v>-2.6326706947893959</v>
      </c>
      <c r="J17" s="3078">
        <f t="shared" si="7"/>
        <v>-0.35296210888811358</v>
      </c>
      <c r="K17" s="3573">
        <f t="shared" si="8"/>
        <v>-0.25572802525632587</v>
      </c>
      <c r="L17" s="3128" t="str">
        <f t="shared" si="9"/>
        <v>NA</v>
      </c>
      <c r="M17" s="2905" t="s">
        <v>2153</v>
      </c>
      <c r="N17" s="2905">
        <v>-21034.254855601714</v>
      </c>
      <c r="O17" s="3109">
        <f>IF(SUM(M17:N17)=0,M17,SUM(M17:N17))</f>
        <v>-21034.254855601714</v>
      </c>
      <c r="P17" s="2905">
        <v>-2820.0621397189748</v>
      </c>
      <c r="Q17" s="2906">
        <v>-2043.1907673100054</v>
      </c>
      <c r="R17" s="2906" t="s">
        <v>2153</v>
      </c>
      <c r="S17" s="3570">
        <f>IF(SUM(O17:R17)=0,Q17,SUM(O17:R17)*-44/12)</f>
        <v>94957.52846297923</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8.8654213385505631</v>
      </c>
      <c r="N18" s="2905" t="s">
        <v>2153</v>
      </c>
      <c r="O18" s="3109">
        <f>IF(SUM(M18:N18)=0,M18,SUM(M18:N18))</f>
        <v>8.8654213385505631</v>
      </c>
      <c r="P18" s="2905">
        <v>2.8210701302419903</v>
      </c>
      <c r="Q18" s="2906" t="s">
        <v>2147</v>
      </c>
      <c r="R18" s="2906" t="s">
        <v>2147</v>
      </c>
      <c r="S18" s="3570">
        <f>IF(SUM(O18:R18)=0,Q18,SUM(O18:R18)*-44/12)</f>
        <v>-42.850468718906029</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13381.402601039999</v>
      </c>
      <c r="E10" s="3583">
        <f>IF(SUM(E11,E23)=0,"IE",SUM(E11,E23))</f>
        <v>13282.078418307965</v>
      </c>
      <c r="F10" s="3584">
        <f>IF(SUM(F11,F23)=0,"IE",SUM(F11,F23))</f>
        <v>99.324182732035851</v>
      </c>
      <c r="G10" s="3608" t="str">
        <f>IFERROR(IF(SUM($D10)=0,"NA",M10/$D10),"NA")</f>
        <v>NA</v>
      </c>
      <c r="H10" s="3609">
        <f t="shared" ref="H10:J10" si="0">IFERROR(IF(SUM($D10)=0,"NA",N10/$D10),"NA")</f>
        <v>-3.8845738090377523E-2</v>
      </c>
      <c r="I10" s="3610">
        <f t="shared" si="0"/>
        <v>-3.8845738090377523E-2</v>
      </c>
      <c r="J10" s="3609">
        <f t="shared" si="0"/>
        <v>3.0399070741085883E-3</v>
      </c>
      <c r="K10" s="3609">
        <f>IFERROR(IF(SUM(E10)=0,"NA",Q10/E10),"NA")</f>
        <v>-3.8725086734712538E-3</v>
      </c>
      <c r="L10" s="3611" t="str">
        <f>IFERROR(IF(SUM(F10)=0,"NA",R10/F10),"NA")</f>
        <v>NA</v>
      </c>
      <c r="M10" s="3610" t="str">
        <f t="shared" ref="M10:S10" si="1">IF(SUM(M11,M23)=0,"IE",SUM(M11,M23))</f>
        <v>IE</v>
      </c>
      <c r="N10" s="3609">
        <f t="shared" si="1"/>
        <v>-519.81046072189633</v>
      </c>
      <c r="O10" s="3610">
        <f t="shared" si="1"/>
        <v>-519.81046072189633</v>
      </c>
      <c r="P10" s="3609">
        <f t="shared" si="1"/>
        <v>40.678220428396557</v>
      </c>
      <c r="Q10" s="3612">
        <f t="shared" si="1"/>
        <v>-51.434963876622945</v>
      </c>
      <c r="R10" s="3612" t="str">
        <f t="shared" si="1"/>
        <v>IE</v>
      </c>
      <c r="S10" s="3588">
        <f t="shared" si="1"/>
        <v>1945.4130819571167</v>
      </c>
      <c r="U10" s="2401"/>
    </row>
    <row r="11" spans="1:23" ht="18" customHeight="1" x14ac:dyDescent="0.2">
      <c r="B11" s="501" t="s">
        <v>990</v>
      </c>
      <c r="C11" s="483"/>
      <c r="D11" s="3613">
        <f>IF(SUM(D12,D14,D17)=0,"IE",SUM(D12,D14,D17))</f>
        <v>13347.44960104</v>
      </c>
      <c r="E11" s="3614">
        <f t="shared" ref="E11:S11" si="2">IF(SUM(E12,E14,E17)=0,"IE",SUM(E12,E14,E17))</f>
        <v>13248.125418307965</v>
      </c>
      <c r="F11" s="3615">
        <f t="shared" si="2"/>
        <v>99.324182732035851</v>
      </c>
      <c r="G11" s="3616" t="str">
        <f t="shared" ref="G11:G56" si="3">IFERROR(IF(SUM($D11)=0,"NA",M11/$D11),"NA")</f>
        <v>NA</v>
      </c>
      <c r="H11" s="3617">
        <f t="shared" ref="H11:H56" si="4">IFERROR(IF(SUM($D11)=0,"NA",N11/$D11),"NA")</f>
        <v>-6.438268230299261E-3</v>
      </c>
      <c r="I11" s="3618">
        <f t="shared" ref="I11:I56" si="5">IFERROR(IF(SUM($D11)=0,"NA",O11/$D11),"NA")</f>
        <v>-6.438268230299261E-3</v>
      </c>
      <c r="J11" s="3617">
        <f t="shared" ref="J11:J56" si="6">IFERROR(IF(SUM($D11)=0,"NA",P11/$D11),"NA")</f>
        <v>3.0476399345405292E-3</v>
      </c>
      <c r="K11" s="3617">
        <f t="shared" ref="K11:K56" si="7">IFERROR(IF(SUM(E11)=0,"NA",Q11/E11),"NA")</f>
        <v>-3.8824333445351814E-3</v>
      </c>
      <c r="L11" s="3619" t="str">
        <f t="shared" ref="L11:L56" si="8">IFERROR(IF(SUM(F11)=0,"NA",R11/F11),"NA")</f>
        <v>NA</v>
      </c>
      <c r="M11" s="3618" t="str">
        <f t="shared" si="2"/>
        <v>IE</v>
      </c>
      <c r="N11" s="3617">
        <f t="shared" si="2"/>
        <v>-85.934460721896372</v>
      </c>
      <c r="O11" s="3618">
        <f t="shared" si="2"/>
        <v>-85.934460721896372</v>
      </c>
      <c r="P11" s="3617">
        <f t="shared" si="2"/>
        <v>40.678220428396557</v>
      </c>
      <c r="Q11" s="3620">
        <f t="shared" si="2"/>
        <v>-51.434963876622945</v>
      </c>
      <c r="R11" s="3620" t="str">
        <f t="shared" si="2"/>
        <v>IE</v>
      </c>
      <c r="S11" s="3621">
        <f t="shared" si="2"/>
        <v>354.53441529045017</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638.37949347714039</v>
      </c>
      <c r="E14" s="3564">
        <f>IF(SUM(E15:E16)=0,"IE",SUM(E15:E16))</f>
        <v>638.37949347714039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305.58940000000001</v>
      </c>
      <c r="E15" s="3569">
        <v>305.58940000000001</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12709.07010756286</v>
      </c>
      <c r="E17" s="3564">
        <f>IF(SUM(E18:E21)=0,"IE",SUM(E18:E21))</f>
        <v>12609.745924830824</v>
      </c>
      <c r="F17" s="3565">
        <f>IF(SUM(F18:F21)=0,"IE",SUM(F18:F21))</f>
        <v>99.324182732035851</v>
      </c>
      <c r="G17" s="3622" t="str">
        <f t="shared" si="3"/>
        <v>NA</v>
      </c>
      <c r="H17" s="3591">
        <f t="shared" si="4"/>
        <v>-6.7616639136138567E-3</v>
      </c>
      <c r="I17" s="3623">
        <f t="shared" si="5"/>
        <v>-6.7616639136138567E-3</v>
      </c>
      <c r="J17" s="3591">
        <f t="shared" si="6"/>
        <v>3.2007235843470507E-3</v>
      </c>
      <c r="K17" s="3591">
        <f t="shared" si="7"/>
        <v>-4.0789849520550918E-3</v>
      </c>
      <c r="L17" s="3595" t="str">
        <f t="shared" si="8"/>
        <v>NA</v>
      </c>
      <c r="M17" s="3564" t="str">
        <f t="shared" ref="M17:S17" si="16">IF(SUM(M18:M21)=0,"IE",SUM(M18:M21))</f>
        <v>IE</v>
      </c>
      <c r="N17" s="3617">
        <f t="shared" si="16"/>
        <v>-85.934460721896372</v>
      </c>
      <c r="O17" s="3618">
        <f t="shared" si="16"/>
        <v>-85.934460721896372</v>
      </c>
      <c r="P17" s="3617">
        <f t="shared" si="16"/>
        <v>40.678220428396557</v>
      </c>
      <c r="Q17" s="3620">
        <f t="shared" si="16"/>
        <v>-51.434963876622945</v>
      </c>
      <c r="R17" s="3620" t="str">
        <f t="shared" si="16"/>
        <v>IE</v>
      </c>
      <c r="S17" s="3634">
        <f t="shared" si="16"/>
        <v>354.53441529045017</v>
      </c>
      <c r="U17" s="2402"/>
    </row>
    <row r="18" spans="1:23" ht="18" customHeight="1" x14ac:dyDescent="0.2">
      <c r="A18" s="2502"/>
      <c r="B18" s="2682"/>
      <c r="C18" s="2503" t="s">
        <v>2231</v>
      </c>
      <c r="D18" s="3600">
        <f>IF(SUM(E18:F18)=0,E18,SUM(E18:F18))</f>
        <v>1716.6986404464237</v>
      </c>
      <c r="E18" s="3569">
        <v>1716.6986404464237</v>
      </c>
      <c r="F18" s="3635" t="s">
        <v>2153</v>
      </c>
      <c r="G18" s="3630" t="str">
        <f t="shared" si="3"/>
        <v>NA</v>
      </c>
      <c r="H18" s="3631">
        <f t="shared" si="4"/>
        <v>-3.7451946038158004E-2</v>
      </c>
      <c r="I18" s="3632">
        <f t="shared" si="5"/>
        <v>-3.7451946038158004E-2</v>
      </c>
      <c r="J18" s="3631">
        <f t="shared" si="6"/>
        <v>-7.4903892076316021E-3</v>
      </c>
      <c r="K18" s="3631">
        <f t="shared" si="7"/>
        <v>-2.9961556830526408E-2</v>
      </c>
      <c r="L18" s="3633" t="str">
        <f t="shared" si="8"/>
        <v>NA</v>
      </c>
      <c r="M18" s="3624" t="s">
        <v>2153</v>
      </c>
      <c r="N18" s="3625">
        <v>-64.293704845778677</v>
      </c>
      <c r="O18" s="3109">
        <f>IF(SUM(M18:N18)=0,M18,SUM(M18:N18))</f>
        <v>-64.293704845778677</v>
      </c>
      <c r="P18" s="3625">
        <v>-12.858740969155736</v>
      </c>
      <c r="Q18" s="3626">
        <v>-51.434963876622945</v>
      </c>
      <c r="R18" s="3636" t="s">
        <v>2153</v>
      </c>
      <c r="S18" s="3570">
        <f>IF(SUM(O18:R18)=0,Q18,SUM(O18:R18)*-44/12)</f>
        <v>471.48716886904367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-21.640755876117694</v>
      </c>
      <c r="O19" s="3109">
        <f t="shared" ref="O19:O22" si="18">IF(SUM(M19:N19)=0,M19,SUM(M19:N19))</f>
        <v>-21.640755876117694</v>
      </c>
      <c r="P19" s="3625">
        <v>53.53696139755229</v>
      </c>
      <c r="Q19" s="3628" t="s">
        <v>2147</v>
      </c>
      <c r="R19" s="3627" t="s">
        <v>2147</v>
      </c>
      <c r="S19" s="3570">
        <f t="shared" ref="S19:S22" si="19">IF(SUM(O19:R19)=0,Q19,SUM(O19:R19)*-44/12)</f>
        <v>-116.95275357859352</v>
      </c>
      <c r="T19" s="2502"/>
      <c r="U19" s="2684"/>
      <c r="V19" s="2502"/>
      <c r="W19" s="2502"/>
    </row>
    <row r="20" spans="1:23" ht="18" customHeight="1" x14ac:dyDescent="0.2">
      <c r="A20" s="2502"/>
      <c r="B20" s="2682"/>
      <c r="C20" s="2683" t="s">
        <v>2234</v>
      </c>
      <c r="D20" s="3600">
        <f t="shared" si="17"/>
        <v>10893.0472843844</v>
      </c>
      <c r="E20" s="3607">
        <v>10893.0472843844</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99.324182732035851</v>
      </c>
      <c r="E21" s="3564" t="str">
        <f t="shared" ref="E21:F21" si="20">E22</f>
        <v>IE</v>
      </c>
      <c r="F21" s="3565">
        <f t="shared" si="20"/>
        <v>99.324182732035851</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99.324182732035851</v>
      </c>
      <c r="E22" s="3569" t="s">
        <v>2153</v>
      </c>
      <c r="F22" s="3554">
        <v>99.324182732035851</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33.953000000000003</v>
      </c>
      <c r="E23" s="3591">
        <f t="shared" ref="E23:F23" si="22">IF(SUM(E24,E35,E46)=0,"IE",SUM(E24,E35,E46))</f>
        <v>33.953000000000003</v>
      </c>
      <c r="F23" s="3595" t="str">
        <f t="shared" si="22"/>
        <v>IE</v>
      </c>
      <c r="G23" s="3622" t="str">
        <f t="shared" si="3"/>
        <v>NA</v>
      </c>
      <c r="H23" s="3591">
        <f t="shared" si="4"/>
        <v>-12.778723529585013</v>
      </c>
      <c r="I23" s="3623">
        <f t="shared" si="5"/>
        <v>-12.778723529585013</v>
      </c>
      <c r="J23" s="3591" t="str">
        <f t="shared" si="6"/>
        <v>NA</v>
      </c>
      <c r="K23" s="3591" t="str">
        <f t="shared" si="7"/>
        <v>NA</v>
      </c>
      <c r="L23" s="3595" t="str">
        <f t="shared" si="8"/>
        <v>NA</v>
      </c>
      <c r="M23" s="3591" t="str">
        <f t="shared" ref="M23" si="23">IF(SUM(M24,M35,M46)=0,"IE",SUM(M24,M35,M46))</f>
        <v>IE</v>
      </c>
      <c r="N23" s="3591">
        <f t="shared" ref="N23" si="24">IF(SUM(N24,N35,N46)=0,"IE",SUM(N24,N35,N46))</f>
        <v>-433.87599999999998</v>
      </c>
      <c r="O23" s="3623">
        <f t="shared" ref="O23" si="25">IF(SUM(O24,O35,O46)=0,"IE",SUM(O24,O35,O46))</f>
        <v>-433.87599999999998</v>
      </c>
      <c r="P23" s="3591" t="str">
        <f>IF(SUM(P24,P35,P46)=0,"NO",SUM(P24,P35,P46))</f>
        <v>NO</v>
      </c>
      <c r="Q23" s="3590" t="str">
        <f>IF(SUM(Q24,Q35,Q46)=0,"NO",SUM(Q24,Q35,Q46))</f>
        <v>NO</v>
      </c>
      <c r="R23" s="3590" t="str">
        <f>IF(SUM(R24,R35,R46)=0,"NO",SUM(R24,R35,R46))</f>
        <v>NO</v>
      </c>
      <c r="S23" s="3594">
        <f t="shared" ref="S23" si="26">IF(SUM(S24,S35,S46)=0,"IE",SUM(S24,S35,S46))</f>
        <v>1590.8786666666665</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33.953000000000003</v>
      </c>
      <c r="E35" s="3591">
        <f>IF(SUM(E36,E38,E40,E42,E44)=0,"IE",SUM(E36,E38,E40,E42,E44))</f>
        <v>33.953000000000003</v>
      </c>
      <c r="F35" s="3595" t="str">
        <f>IF(SUM(F36,F38,F40,F42,F44)=0,"IE",SUM(F36,F38,F40,F42,F44))</f>
        <v>IE</v>
      </c>
      <c r="G35" s="3622" t="str">
        <f t="shared" si="3"/>
        <v>NA</v>
      </c>
      <c r="H35" s="3591">
        <f t="shared" si="4"/>
        <v>-12.778723529585013</v>
      </c>
      <c r="I35" s="3623">
        <f t="shared" si="5"/>
        <v>-12.778723529585013</v>
      </c>
      <c r="J35" s="3591" t="str">
        <f t="shared" si="6"/>
        <v>NA</v>
      </c>
      <c r="K35" s="3591" t="str">
        <f t="shared" si="7"/>
        <v>NA</v>
      </c>
      <c r="L35" s="3595" t="str">
        <f t="shared" si="8"/>
        <v>NA</v>
      </c>
      <c r="M35" s="3591" t="str">
        <f t="shared" ref="M35:S35" si="48">IF(SUM(M36,M38,M40,M42,M44)=0,"IE",SUM(M36,M38,M40,M42,M44))</f>
        <v>IE</v>
      </c>
      <c r="N35" s="3591">
        <f t="shared" si="48"/>
        <v>-433.87599999999998</v>
      </c>
      <c r="O35" s="3623">
        <f t="shared" si="48"/>
        <v>-433.87599999999998</v>
      </c>
      <c r="P35" s="3591" t="str">
        <f>IF(SUM(P36,P38,P40,P42,P44)=0,"NO",SUM(P36,P38,P40,P42,P44))</f>
        <v>NO</v>
      </c>
      <c r="Q35" s="3590" t="str">
        <f>IF(SUM(Q36,Q38,Q40,Q42,Q44)=0,"NO",SUM(Q36,Q38,Q40,Q42,Q44))</f>
        <v>NO</v>
      </c>
      <c r="R35" s="3590" t="str">
        <f>IF(SUM(R36,R38,R40,R42,R44)=0,"NO",SUM(R36,R38,R40,R42,R44))</f>
        <v>NO</v>
      </c>
      <c r="S35" s="3594">
        <f t="shared" si="48"/>
        <v>1590.8786666666665</v>
      </c>
      <c r="U35" s="503"/>
    </row>
    <row r="36" spans="2:21" ht="18" customHeight="1" x14ac:dyDescent="0.2">
      <c r="B36" s="505" t="s">
        <v>1087</v>
      </c>
      <c r="C36" s="486"/>
      <c r="D36" s="3600">
        <f>D37</f>
        <v>33.953000000000003</v>
      </c>
      <c r="E36" s="3564">
        <f t="shared" ref="E36:F36" si="49">E37</f>
        <v>33.953000000000003</v>
      </c>
      <c r="F36" s="3565" t="str">
        <f t="shared" si="49"/>
        <v>IE</v>
      </c>
      <c r="G36" s="3558" t="str">
        <f t="shared" si="3"/>
        <v>NA</v>
      </c>
      <c r="H36" s="3078">
        <f t="shared" si="4"/>
        <v>-12.778723529585013</v>
      </c>
      <c r="I36" s="3078">
        <f t="shared" si="5"/>
        <v>-12.778723529585013</v>
      </c>
      <c r="J36" s="3078" t="str">
        <f t="shared" si="6"/>
        <v>NA</v>
      </c>
      <c r="K36" s="3573" t="str">
        <f t="shared" si="7"/>
        <v>NA</v>
      </c>
      <c r="L36" s="3128" t="str">
        <f t="shared" si="8"/>
        <v>NA</v>
      </c>
      <c r="M36" s="3505" t="str">
        <f t="shared" ref="M36:S36" si="50">M37</f>
        <v>IE</v>
      </c>
      <c r="N36" s="3506">
        <f t="shared" si="50"/>
        <v>-433.87599999999998</v>
      </c>
      <c r="O36" s="3506">
        <f t="shared" si="50"/>
        <v>-433.87599999999998</v>
      </c>
      <c r="P36" s="3506" t="str">
        <f t="shared" si="50"/>
        <v>NA</v>
      </c>
      <c r="Q36" s="3601" t="str">
        <f t="shared" si="50"/>
        <v>NA</v>
      </c>
      <c r="R36" s="3601" t="str">
        <f t="shared" si="50"/>
        <v>NA</v>
      </c>
      <c r="S36" s="3287">
        <f t="shared" si="50"/>
        <v>1590.8786666666665</v>
      </c>
      <c r="U36" s="2402"/>
    </row>
    <row r="37" spans="2:21" ht="18" customHeight="1" x14ac:dyDescent="0.2">
      <c r="B37" s="1479"/>
      <c r="C37" s="885" t="s">
        <v>278</v>
      </c>
      <c r="D37" s="3600">
        <f>IF(SUM(E37:F37)=0,E37,SUM(E37:F37))</f>
        <v>33.953000000000003</v>
      </c>
      <c r="E37" s="3569">
        <v>33.953000000000003</v>
      </c>
      <c r="F37" s="3554" t="s">
        <v>2153</v>
      </c>
      <c r="G37" s="3622" t="str">
        <f t="shared" si="3"/>
        <v>NA</v>
      </c>
      <c r="H37" s="3591">
        <f t="shared" si="4"/>
        <v>-12.778723529585013</v>
      </c>
      <c r="I37" s="3623">
        <f t="shared" si="5"/>
        <v>-12.778723529585013</v>
      </c>
      <c r="J37" s="3591" t="str">
        <f t="shared" si="6"/>
        <v>NA</v>
      </c>
      <c r="K37" s="3591" t="str">
        <f t="shared" si="7"/>
        <v>NA</v>
      </c>
      <c r="L37" s="3595" t="str">
        <f t="shared" si="8"/>
        <v>NA</v>
      </c>
      <c r="M37" s="3624" t="s">
        <v>2153</v>
      </c>
      <c r="N37" s="3625">
        <v>-433.87599999999998</v>
      </c>
      <c r="O37" s="3109">
        <f t="shared" ref="O37" si="51">IF(SUM(M37:N37)=0,M37,SUM(M37:N37))</f>
        <v>-433.87599999999998</v>
      </c>
      <c r="P37" s="3625" t="s">
        <v>2147</v>
      </c>
      <c r="Q37" s="3626" t="s">
        <v>2147</v>
      </c>
      <c r="R37" s="3626" t="s">
        <v>2147</v>
      </c>
      <c r="S37" s="3570">
        <f t="shared" ref="S37" si="52">IF(SUM(O37:R37)=0,Q37,SUM(O37:R37)*-44/12)</f>
        <v>1590.8786666666665</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1170.0102666261953</v>
      </c>
      <c r="E10" s="3583">
        <f t="shared" ref="E10:F10" si="0">IF(SUM(E11,E13)=0,"IE",SUM(E11,E13))</f>
        <v>1116.388225723</v>
      </c>
      <c r="F10" s="3584">
        <f t="shared" si="0"/>
        <v>53.622040903195334</v>
      </c>
      <c r="G10" s="3582">
        <f>IFERROR(IF(SUM($D10)=0,"NA",M10/$D10),"NA")</f>
        <v>2.3210699229935954E-3</v>
      </c>
      <c r="H10" s="3583">
        <f t="shared" ref="H10:J10" si="1">IFERROR(IF(SUM($D10)=0,"NA",N10/$D10),"NA")</f>
        <v>-1.5428878437721156</v>
      </c>
      <c r="I10" s="3583">
        <f t="shared" si="1"/>
        <v>-1.5405667738491222</v>
      </c>
      <c r="J10" s="3583">
        <f t="shared" si="1"/>
        <v>6.9615112112020094E-2</v>
      </c>
      <c r="K10" s="3585">
        <f>IFERROR(IF(SUM(E10)=0,"NA",Q10/E10),"NA")</f>
        <v>-0.11463168147044318</v>
      </c>
      <c r="L10" s="3584">
        <f>IFERROR(IF(SUM(F10)=0,"NA",R10/F10),"NA")</f>
        <v>1.9267413887116409</v>
      </c>
      <c r="M10" s="3586">
        <f>IF(SUM(M11,M13)=0,"IE",SUM(M11,M13))</f>
        <v>2.7156756394597794</v>
      </c>
      <c r="N10" s="3583">
        <f t="shared" ref="N10:S10" si="2">IF(SUM(N11,N13)=0,"IE",SUM(N11,N13))</f>
        <v>-1805.1946174661286</v>
      </c>
      <c r="O10" s="3587">
        <f t="shared" si="2"/>
        <v>-1802.4789418266689</v>
      </c>
      <c r="P10" s="3583">
        <f t="shared" si="2"/>
        <v>81.450395883397107</v>
      </c>
      <c r="Q10" s="3585">
        <f t="shared" si="2"/>
        <v>-127.97345948843216</v>
      </c>
      <c r="R10" s="3585">
        <f t="shared" si="2"/>
        <v>103.31580555537499</v>
      </c>
      <c r="S10" s="3588">
        <f t="shared" si="2"/>
        <v>6400.8493995465396</v>
      </c>
      <c r="U10" s="2261"/>
    </row>
    <row r="11" spans="2:21" ht="18" customHeight="1" x14ac:dyDescent="0.2">
      <c r="B11" s="493" t="s">
        <v>993</v>
      </c>
      <c r="C11" s="2256"/>
      <c r="D11" s="3589">
        <f>D12</f>
        <v>932.05322572299997</v>
      </c>
      <c r="E11" s="3078">
        <f t="shared" ref="E11:F11" si="3">E12</f>
        <v>932.05322572299997</v>
      </c>
      <c r="F11" s="3078" t="str">
        <f t="shared" si="3"/>
        <v>IE</v>
      </c>
      <c r="G11" s="3558">
        <f t="shared" ref="G11:G24" si="4">IFERROR(IF(SUM($D11)=0,"NA",M11/$D11),"NA")</f>
        <v>2.9136486678142349E-3</v>
      </c>
      <c r="H11" s="3078" t="str">
        <f t="shared" ref="H11:H24" si="5">IFERROR(IF(SUM($D11)=0,"NA",N11/$D11),"NA")</f>
        <v>NA</v>
      </c>
      <c r="I11" s="3078">
        <f t="shared" ref="I11:I24" si="6">IFERROR(IF(SUM($D11)=0,"NA",O11/$D11),"NA")</f>
        <v>2.9136486678142349E-3</v>
      </c>
      <c r="J11" s="3078">
        <f t="shared" ref="J11:J24" si="7">IFERROR(IF(SUM($D11)=0,"NA",P11/$D11),"NA")</f>
        <v>5.8272973356284722E-4</v>
      </c>
      <c r="K11" s="3573">
        <f t="shared" ref="K11:K24" si="8">IFERROR(IF(SUM(E11)=0,"NA",Q11/E11),"NA")</f>
        <v>2.3309189342513889E-3</v>
      </c>
      <c r="L11" s="3128" t="str">
        <f t="shared" ref="L11:L24" si="9">IFERROR(IF(SUM(F11)=0,"NA",R11/F11),"NA")</f>
        <v>NA</v>
      </c>
      <c r="M11" s="3590">
        <f t="shared" ref="M11:S11" si="10">M12</f>
        <v>2.7156756394597794</v>
      </c>
      <c r="N11" s="3591" t="str">
        <f t="shared" si="10"/>
        <v>IE</v>
      </c>
      <c r="O11" s="3592">
        <f t="shared" si="10"/>
        <v>2.7156756394597794</v>
      </c>
      <c r="P11" s="3591">
        <f t="shared" si="10"/>
        <v>0.54313512789195606</v>
      </c>
      <c r="Q11" s="3593">
        <f t="shared" si="10"/>
        <v>2.1725405115678242</v>
      </c>
      <c r="R11" s="3593" t="str">
        <f t="shared" si="10"/>
        <v>IE</v>
      </c>
      <c r="S11" s="3594">
        <f t="shared" si="10"/>
        <v>-19.914954689371719</v>
      </c>
      <c r="U11" s="2397"/>
    </row>
    <row r="12" spans="2:21" ht="18" customHeight="1" x14ac:dyDescent="0.2">
      <c r="B12" s="501"/>
      <c r="C12" s="885" t="s">
        <v>278</v>
      </c>
      <c r="D12" s="3600">
        <f>IF(SUM(E12:F12)=0,E12,SUM(E12:F12))</f>
        <v>932.05322572299997</v>
      </c>
      <c r="E12" s="3569">
        <v>932.05322572299997</v>
      </c>
      <c r="F12" s="3554" t="s">
        <v>2153</v>
      </c>
      <c r="G12" s="3558">
        <f t="shared" si="4"/>
        <v>2.9136486678142349E-3</v>
      </c>
      <c r="H12" s="3078" t="str">
        <f t="shared" si="5"/>
        <v>NA</v>
      </c>
      <c r="I12" s="3078">
        <f t="shared" si="6"/>
        <v>2.9136486678142349E-3</v>
      </c>
      <c r="J12" s="3078">
        <f t="shared" si="7"/>
        <v>5.8272973356284722E-4</v>
      </c>
      <c r="K12" s="3573">
        <f t="shared" si="8"/>
        <v>2.3309189342513889E-3</v>
      </c>
      <c r="L12" s="3128" t="str">
        <f t="shared" si="9"/>
        <v>NA</v>
      </c>
      <c r="M12" s="2905">
        <v>2.7156756394597794</v>
      </c>
      <c r="N12" s="2905" t="s">
        <v>2153</v>
      </c>
      <c r="O12" s="3109">
        <f>IF(SUM(M12:N12)=0,M12,SUM(M12:N12))</f>
        <v>2.7156756394597794</v>
      </c>
      <c r="P12" s="2905">
        <v>0.54313512789195606</v>
      </c>
      <c r="Q12" s="2906">
        <v>2.1725405115678242</v>
      </c>
      <c r="R12" s="2906" t="s">
        <v>2153</v>
      </c>
      <c r="S12" s="3570">
        <f>IF(SUM(O12:R12)=0,Q12,SUM(O12:R12)*-44/12)</f>
        <v>-19.914954689371719</v>
      </c>
      <c r="U12" s="2398"/>
    </row>
    <row r="13" spans="2:21" ht="18" customHeight="1" x14ac:dyDescent="0.2">
      <c r="B13" s="493" t="s">
        <v>994</v>
      </c>
      <c r="C13" s="504"/>
      <c r="D13" s="3589">
        <f>IF(SUM(D14,D17,D19,D21,D23)=0,"IE",SUM(D14,D17,D19,D21,D23))</f>
        <v>237.95704090319535</v>
      </c>
      <c r="E13" s="3591">
        <f t="shared" ref="E13:S13" si="11">IF(SUM(E14,E17,E19,E21,E23)=0,"IE",SUM(E14,E17,E19,E21,E23))</f>
        <v>184.33500000000001</v>
      </c>
      <c r="F13" s="3595">
        <f t="shared" si="11"/>
        <v>53.622040903195334</v>
      </c>
      <c r="G13" s="3558" t="str">
        <f t="shared" si="4"/>
        <v>NA</v>
      </c>
      <c r="H13" s="3078">
        <f t="shared" si="5"/>
        <v>-7.5862206498042228</v>
      </c>
      <c r="I13" s="3078">
        <f t="shared" si="6"/>
        <v>-7.5862206498042228</v>
      </c>
      <c r="J13" s="3078">
        <f t="shared" si="7"/>
        <v>0.34000784531700196</v>
      </c>
      <c r="K13" s="3573">
        <f t="shared" si="8"/>
        <v>-0.70602978273252492</v>
      </c>
      <c r="L13" s="3128">
        <f t="shared" si="9"/>
        <v>1.9267413887116409</v>
      </c>
      <c r="M13" s="3078" t="str">
        <f t="shared" si="11"/>
        <v>IE</v>
      </c>
      <c r="N13" s="3078">
        <f t="shared" si="11"/>
        <v>-1805.1946174661286</v>
      </c>
      <c r="O13" s="3078">
        <f t="shared" si="11"/>
        <v>-1805.1946174661286</v>
      </c>
      <c r="P13" s="3078">
        <f t="shared" si="11"/>
        <v>80.907260755505149</v>
      </c>
      <c r="Q13" s="3573">
        <f t="shared" si="11"/>
        <v>-130.14599999999999</v>
      </c>
      <c r="R13" s="3573">
        <f t="shared" si="11"/>
        <v>103.31580555537499</v>
      </c>
      <c r="S13" s="3570">
        <f t="shared" si="11"/>
        <v>6420.764354235911</v>
      </c>
      <c r="U13" s="2019"/>
    </row>
    <row r="14" spans="2:21" ht="18" customHeight="1" x14ac:dyDescent="0.2">
      <c r="B14" s="495" t="s">
        <v>1101</v>
      </c>
      <c r="C14" s="504"/>
      <c r="D14" s="3599">
        <f>IF(SUM(D15:D16)=0,"IE",SUM(D15:D16))</f>
        <v>237.95704090319535</v>
      </c>
      <c r="E14" s="3564">
        <f t="shared" ref="E14:F14" si="12">IF(SUM(E15:E16)=0,"IE",SUM(E15:E16))</f>
        <v>184.33500000000001</v>
      </c>
      <c r="F14" s="3565">
        <f t="shared" si="12"/>
        <v>53.622040903195334</v>
      </c>
      <c r="G14" s="3558" t="str">
        <f t="shared" si="4"/>
        <v>NA</v>
      </c>
      <c r="H14" s="3078">
        <f t="shared" si="5"/>
        <v>-7.5862206498042228</v>
      </c>
      <c r="I14" s="3078">
        <f t="shared" si="6"/>
        <v>-7.5862206498042228</v>
      </c>
      <c r="J14" s="3078">
        <f t="shared" si="7"/>
        <v>0.34000784531700196</v>
      </c>
      <c r="K14" s="3573">
        <f t="shared" si="8"/>
        <v>-0.70602978273252492</v>
      </c>
      <c r="L14" s="3128">
        <f t="shared" si="9"/>
        <v>1.9267413887116409</v>
      </c>
      <c r="M14" s="3506" t="str">
        <f>IF(SUM(M15:M16)=0,"IE",SUM(M15:M16))</f>
        <v>IE</v>
      </c>
      <c r="N14" s="3506">
        <f t="shared" ref="N14:S14" si="13">IF(SUM(N15:N16)=0,"IE",SUM(N15:N16))</f>
        <v>-1805.1946174661286</v>
      </c>
      <c r="O14" s="3506">
        <f t="shared" si="13"/>
        <v>-1805.1946174661286</v>
      </c>
      <c r="P14" s="3506">
        <f t="shared" si="13"/>
        <v>80.907260755505149</v>
      </c>
      <c r="Q14" s="3601">
        <f t="shared" si="13"/>
        <v>-130.14599999999999</v>
      </c>
      <c r="R14" s="3601">
        <f t="shared" si="13"/>
        <v>103.31580555537499</v>
      </c>
      <c r="S14" s="3287">
        <f t="shared" si="13"/>
        <v>6420.764354235911</v>
      </c>
      <c r="U14" s="2019"/>
    </row>
    <row r="15" spans="2:21" ht="18" customHeight="1" x14ac:dyDescent="0.2">
      <c r="B15" s="496"/>
      <c r="C15" s="508" t="s">
        <v>2235</v>
      </c>
      <c r="D15" s="3600">
        <f>IF(SUM(E15:F15)=0,E15,SUM(E15:F15))</f>
        <v>53.622040903195334</v>
      </c>
      <c r="E15" s="3569" t="s">
        <v>2146</v>
      </c>
      <c r="F15" s="3554">
        <v>53.622040903195334</v>
      </c>
      <c r="G15" s="3558" t="str">
        <f t="shared" si="4"/>
        <v>NA</v>
      </c>
      <c r="H15" s="3078">
        <f t="shared" si="5"/>
        <v>-20.094565580063922</v>
      </c>
      <c r="I15" s="3078">
        <f t="shared" si="6"/>
        <v>-20.094565580063922</v>
      </c>
      <c r="J15" s="3078">
        <f t="shared" si="7"/>
        <v>3.1761801282978808</v>
      </c>
      <c r="K15" s="3573" t="str">
        <f t="shared" si="8"/>
        <v>NA</v>
      </c>
      <c r="L15" s="3128">
        <f t="shared" si="9"/>
        <v>1.9267413887116409</v>
      </c>
      <c r="M15" s="2905" t="s">
        <v>2153</v>
      </c>
      <c r="N15" s="2905">
        <v>-1077.5116174661287</v>
      </c>
      <c r="O15" s="3109">
        <f>IF(SUM(M15:N15)=0,M15,SUM(M15:N15))</f>
        <v>-1077.5116174661287</v>
      </c>
      <c r="P15" s="2905">
        <v>170.31326075550515</v>
      </c>
      <c r="Q15" s="2906" t="s">
        <v>2146</v>
      </c>
      <c r="R15" s="2906">
        <v>103.31580555537499</v>
      </c>
      <c r="S15" s="3570">
        <f>IF(SUM(O15:R15)=0,Q15,SUM(O15:R15)*-44/12)</f>
        <v>2947.5693542359113</v>
      </c>
      <c r="U15" s="2019"/>
    </row>
    <row r="16" spans="2:21" ht="18" customHeight="1" x14ac:dyDescent="0.2">
      <c r="B16" s="494"/>
      <c r="C16" s="508" t="s">
        <v>2236</v>
      </c>
      <c r="D16" s="3600">
        <f>IF(SUM(E16:F16)=0,E16,SUM(E16:F16))</f>
        <v>184.33500000000001</v>
      </c>
      <c r="E16" s="3569">
        <v>184.33500000000001</v>
      </c>
      <c r="F16" s="3554" t="s">
        <v>2153</v>
      </c>
      <c r="G16" s="3558" t="str">
        <f t="shared" si="4"/>
        <v>NA</v>
      </c>
      <c r="H16" s="3078">
        <f t="shared" si="5"/>
        <v>-3.9476116852469687</v>
      </c>
      <c r="I16" s="3078">
        <f t="shared" si="6"/>
        <v>-3.9476116852469687</v>
      </c>
      <c r="J16" s="3078">
        <f t="shared" si="7"/>
        <v>-0.48501912279274151</v>
      </c>
      <c r="K16" s="3573">
        <f t="shared" si="8"/>
        <v>-0.70602978273252492</v>
      </c>
      <c r="L16" s="3128" t="str">
        <f t="shared" si="9"/>
        <v>NA</v>
      </c>
      <c r="M16" s="2905" t="s">
        <v>2153</v>
      </c>
      <c r="N16" s="2905">
        <v>-727.68299999999999</v>
      </c>
      <c r="O16" s="3109">
        <f>IF(SUM(M16:N16)=0,M16,SUM(M16:N16))</f>
        <v>-727.68299999999999</v>
      </c>
      <c r="P16" s="2905">
        <v>-89.406000000000006</v>
      </c>
      <c r="Q16" s="2906">
        <v>-130.14599999999999</v>
      </c>
      <c r="R16" s="2906" t="s">
        <v>2153</v>
      </c>
      <c r="S16" s="3570">
        <f>IF(SUM(O16:R16)=0,Q16,SUM(O16:R16)*-44/12)</f>
        <v>3473.1949999999997</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75.660876196600015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75.660876196600015</v>
      </c>
    </row>
    <row r="270" spans="2:10" ht="18" customHeight="1" x14ac:dyDescent="0.2">
      <c r="B270" s="2827" t="s">
        <v>1187</v>
      </c>
      <c r="C270" s="2828"/>
      <c r="D270" s="2808"/>
      <c r="E270" s="2809"/>
      <c r="F270" s="2810"/>
      <c r="G270" s="2811"/>
      <c r="H270" s="2819" t="s">
        <v>2154</v>
      </c>
      <c r="I270" s="2815" t="s">
        <v>2154</v>
      </c>
      <c r="J270" s="3741">
        <f>J277</f>
        <v>49.17584932913627</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484.94821731419347</v>
      </c>
      <c r="E277" s="2755" t="s">
        <v>2147</v>
      </c>
      <c r="F277" s="2753" t="s">
        <v>2147</v>
      </c>
      <c r="G277" s="3735">
        <f>IF(SUM(D277)=0,"NA",J277*1000/D277)</f>
        <v>101.40433055200961</v>
      </c>
      <c r="H277" s="2778" t="str">
        <f t="shared" ref="H277:J277" si="1">H302</f>
        <v>NE</v>
      </c>
      <c r="I277" s="2777" t="str">
        <f t="shared" si="1"/>
        <v>NE</v>
      </c>
      <c r="J277" s="3734">
        <f t="shared" si="1"/>
        <v>49.17584932913627</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252.13490074286844</v>
      </c>
      <c r="E281" s="2755" t="str">
        <f t="shared" si="2"/>
        <v>NA</v>
      </c>
      <c r="F281" s="2753" t="str">
        <f t="shared" si="2"/>
        <v>NA</v>
      </c>
      <c r="G281" s="3735">
        <f t="shared" si="2"/>
        <v>121.14391912552887</v>
      </c>
      <c r="H281" s="2780" t="str">
        <f t="shared" ref="H281" si="3">H306</f>
        <v>NA</v>
      </c>
      <c r="I281" s="2758" t="str">
        <f t="shared" ref="I281:J281" si="4">I306</f>
        <v>NA</v>
      </c>
      <c r="J281" s="3744">
        <f t="shared" si="4"/>
        <v>30.544610024317301</v>
      </c>
    </row>
    <row r="282" spans="2:10" ht="18" customHeight="1" outlineLevel="1" x14ac:dyDescent="0.2">
      <c r="B282" s="2847" t="str">
        <f>B307</f>
        <v>Other Constructed Water Bodies</v>
      </c>
      <c r="C282" s="2835" t="str">
        <f t="shared" si="2"/>
        <v>Other Constructed Water Bodies</v>
      </c>
      <c r="D282" s="3729">
        <f t="shared" si="2"/>
        <v>232.81331657132503</v>
      </c>
      <c r="E282" s="2755" t="str">
        <f t="shared" si="2"/>
        <v>NA</v>
      </c>
      <c r="F282" s="2753" t="str">
        <f t="shared" si="2"/>
        <v>NA</v>
      </c>
      <c r="G282" s="3735">
        <f t="shared" si="2"/>
        <v>80.026519011901428</v>
      </c>
      <c r="H282" s="2845" t="str">
        <f t="shared" ref="H282" si="5">H307</f>
        <v>NA</v>
      </c>
      <c r="I282" s="2846" t="str">
        <f t="shared" ref="I282:J282" si="6">I307</f>
        <v>NA</v>
      </c>
      <c r="J282" s="3744">
        <f t="shared" si="6"/>
        <v>18.631239304818969</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49.17584932913627</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484.94821731419347</v>
      </c>
      <c r="E302" s="2755" t="s">
        <v>2147</v>
      </c>
      <c r="F302" s="2753" t="s">
        <v>2147</v>
      </c>
      <c r="G302" s="3735">
        <f>IF(SUM(D302)=0,"NA",J302*1000/D302)</f>
        <v>101.40433055200961</v>
      </c>
      <c r="H302" s="2778" t="s">
        <v>2154</v>
      </c>
      <c r="I302" s="2777" t="s">
        <v>2154</v>
      </c>
      <c r="J302" s="3734">
        <f t="shared" ref="J302" si="7">IF(SUM(J306:J307)=0,"NO",SUM(J306:J307))</f>
        <v>49.17584932913627</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252.13490074286844</v>
      </c>
      <c r="E306" s="2755" t="s">
        <v>2147</v>
      </c>
      <c r="F306" s="2753" t="s">
        <v>2147</v>
      </c>
      <c r="G306" s="3735">
        <f>IF(SUM(D306)=0,"NA",J306*1000/D306)</f>
        <v>121.14391912552887</v>
      </c>
      <c r="H306" s="2780" t="s">
        <v>2147</v>
      </c>
      <c r="I306" s="2758" t="s">
        <v>2147</v>
      </c>
      <c r="J306" s="3744">
        <v>30.544610024317301</v>
      </c>
    </row>
    <row r="307" spans="2:10" ht="18" customHeight="1" outlineLevel="2" x14ac:dyDescent="0.2">
      <c r="B307" s="2847" t="s">
        <v>2245</v>
      </c>
      <c r="C307" s="2835" t="s">
        <v>2245</v>
      </c>
      <c r="D307" s="3732">
        <v>232.81331657132503</v>
      </c>
      <c r="E307" s="2755" t="s">
        <v>2147</v>
      </c>
      <c r="F307" s="2753" t="s">
        <v>2147</v>
      </c>
      <c r="G307" s="3735">
        <f>IF(SUM(D307)=0,"NA",J307*1000/D307)</f>
        <v>80.026519011901428</v>
      </c>
      <c r="H307" s="2780" t="s">
        <v>2147</v>
      </c>
      <c r="I307" s="2758" t="s">
        <v>2147</v>
      </c>
      <c r="J307" s="3744">
        <v>18.631239304818969</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26.485026867463738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149.70195249940789</v>
      </c>
      <c r="E327" s="2776" t="str">
        <f t="shared" ref="E327:J327" si="8">E331</f>
        <v>NA</v>
      </c>
      <c r="F327" s="2777" t="str">
        <f t="shared" si="8"/>
        <v>NA</v>
      </c>
      <c r="G327" s="3737">
        <f t="shared" si="8"/>
        <v>176.91837965552583</v>
      </c>
      <c r="H327" s="2778" t="str">
        <f t="shared" si="8"/>
        <v>IE</v>
      </c>
      <c r="I327" s="2777" t="str">
        <f t="shared" si="8"/>
        <v>NA</v>
      </c>
      <c r="J327" s="3734">
        <f t="shared" si="8"/>
        <v>26.485026867463738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149.70195249940789</v>
      </c>
      <c r="E331" s="2755" t="str">
        <f t="shared" si="9"/>
        <v>NA</v>
      </c>
      <c r="F331" s="2753" t="str">
        <f t="shared" si="9"/>
        <v>NA</v>
      </c>
      <c r="G331" s="3735">
        <f t="shared" si="9"/>
        <v>176.91837965552583</v>
      </c>
      <c r="H331" s="2765" t="str">
        <f t="shared" si="9"/>
        <v>IE</v>
      </c>
      <c r="I331" s="2758" t="str">
        <f t="shared" si="9"/>
        <v>NA</v>
      </c>
      <c r="J331" s="3744">
        <f t="shared" si="9"/>
        <v>26.485026867463738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26.485026867463738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149.70195249940789</v>
      </c>
      <c r="E411" s="2776" t="str">
        <f t="shared" ref="E411:J411" si="10">E415</f>
        <v>NA</v>
      </c>
      <c r="F411" s="2777" t="str">
        <f t="shared" si="10"/>
        <v>NA</v>
      </c>
      <c r="G411" s="3737">
        <f t="shared" si="10"/>
        <v>176.91837965552583</v>
      </c>
      <c r="H411" s="2778" t="str">
        <f t="shared" si="10"/>
        <v>IE</v>
      </c>
      <c r="I411" s="2777" t="str">
        <f t="shared" si="10"/>
        <v>NA</v>
      </c>
      <c r="J411" s="3734">
        <f t="shared" si="10"/>
        <v>26.485026867463738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149.70195249940789</v>
      </c>
      <c r="E415" s="2755" t="str">
        <f>E427</f>
        <v>NA</v>
      </c>
      <c r="F415" s="2753" t="str">
        <f>F427</f>
        <v>NA</v>
      </c>
      <c r="G415" s="3735">
        <f t="shared" ref="G415:J415" si="11">G427</f>
        <v>176.91837965552583</v>
      </c>
      <c r="H415" s="2780" t="str">
        <f t="shared" si="11"/>
        <v>IE</v>
      </c>
      <c r="I415" s="2758" t="str">
        <f t="shared" si="11"/>
        <v>NA</v>
      </c>
      <c r="J415" s="3744">
        <f t="shared" si="11"/>
        <v>26.485026867463738</v>
      </c>
    </row>
    <row r="416" spans="2:10" ht="18" customHeight="1" outlineLevel="2" x14ac:dyDescent="0.2">
      <c r="B416" s="2842" t="s">
        <v>1199</v>
      </c>
      <c r="C416" s="2828"/>
      <c r="D416" s="3731"/>
      <c r="E416" s="2809"/>
      <c r="F416" s="2810"/>
      <c r="G416" s="3738"/>
      <c r="H416" s="2819" t="s">
        <v>2154</v>
      </c>
      <c r="I416" s="2815" t="s">
        <v>2154</v>
      </c>
      <c r="J416" s="3741">
        <f>J423</f>
        <v>26.485026867463738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149.70195249940789</v>
      </c>
      <c r="E423" s="2776" t="str">
        <f t="shared" ref="E423:J423" si="12">E427</f>
        <v>NA</v>
      </c>
      <c r="F423" s="2777" t="str">
        <f t="shared" si="12"/>
        <v>NA</v>
      </c>
      <c r="G423" s="3737">
        <f t="shared" si="12"/>
        <v>176.91837965552583</v>
      </c>
      <c r="H423" s="2778" t="str">
        <f t="shared" si="12"/>
        <v>IE</v>
      </c>
      <c r="I423" s="2777" t="str">
        <f t="shared" si="12"/>
        <v>NA</v>
      </c>
      <c r="J423" s="3734">
        <f t="shared" si="12"/>
        <v>26.485026867463738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149.70195249940789</v>
      </c>
      <c r="E427" s="2755" t="s">
        <v>2147</v>
      </c>
      <c r="F427" s="2753" t="s">
        <v>2147</v>
      </c>
      <c r="G427" s="3735">
        <f>IF(SUM(D427)=0,"NA",J427*1000/D427)</f>
        <v>176.91837965552583</v>
      </c>
      <c r="H427" s="2780" t="s">
        <v>2153</v>
      </c>
      <c r="I427" s="2758" t="s">
        <v>2147</v>
      </c>
      <c r="J427" s="3744">
        <v>26.485026867463738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656977.68404419883</v>
      </c>
      <c r="D10" s="4332">
        <f>IF(SUM(D11,D20,D28,D37,D46,D55)=0,"NO",SUM(D11,D20,D28,D37,D46,D55))</f>
        <v>65303.536660635247</v>
      </c>
      <c r="E10" s="4333">
        <f t="shared" ref="E10:E12" si="0">IF(SUM(C10)=0,"NA",G10/C10*1000/(44/28))</f>
        <v>1.86972794922076E-3</v>
      </c>
      <c r="F10" s="4332">
        <f t="shared" ref="F10:F11" si="1">IF(SUM(D10)=0,"NA",H10/D10*1000/(44/28))</f>
        <v>7.5000000000000006E-3</v>
      </c>
      <c r="G10" s="4331">
        <f>IF(SUM(G11,G20,G28,G37,G46,G55)=0,"NO",SUM(G11,G20,G28,G37,G46,G55))</f>
        <v>1.9302949880842009</v>
      </c>
      <c r="H10" s="4334">
        <f>IF(SUM(H11,H20,H28,H37,H46,H55)=0,"NO",SUM(H11,H20,H28,H37,H46,H55))</f>
        <v>0.76964882492891551</v>
      </c>
      <c r="I10" s="4335">
        <f t="shared" ref="I10:I11" si="2">IF(SUM(G10:H10)=0,"NO",SUM(G10:H10))</f>
        <v>2.6999438130131166</v>
      </c>
    </row>
    <row r="11" spans="2:10" ht="18" customHeight="1" x14ac:dyDescent="0.2">
      <c r="B11" s="2848" t="s">
        <v>1901</v>
      </c>
      <c r="C11" s="4336">
        <f>IF(SUM(C12:C13)=0,"NO",SUM(C12:C13))</f>
        <v>134476.85967365233</v>
      </c>
      <c r="D11" s="4337">
        <f>IF(SUM(D12:D13)=0,"NO",SUM(D12:D13))</f>
        <v>25448.913050450508</v>
      </c>
      <c r="E11" s="4336">
        <f t="shared" si="0"/>
        <v>2.6408724521657522E-3</v>
      </c>
      <c r="F11" s="4337">
        <f t="shared" si="1"/>
        <v>7.4999999999999997E-3</v>
      </c>
      <c r="G11" s="4336">
        <f>IF(SUM(G12:G13)=0,"NO",SUM(G12:G13))</f>
        <v>0.55807122511785534</v>
      </c>
      <c r="H11" s="4338">
        <f>IF(SUM(H12:H13)=0,"NO",SUM(H12:H13))</f>
        <v>0.29993361809459523</v>
      </c>
      <c r="I11" s="4337">
        <f t="shared" si="2"/>
        <v>0.85800484321245052</v>
      </c>
    </row>
    <row r="12" spans="2:10" ht="18" customHeight="1" x14ac:dyDescent="0.2">
      <c r="B12" s="914" t="s">
        <v>1228</v>
      </c>
      <c r="C12" s="4339">
        <f>Table4.A!E11</f>
        <v>130126.355811744</v>
      </c>
      <c r="D12" s="4340">
        <f>H12/F12*1000/(44/28)</f>
        <v>12195.852983289311</v>
      </c>
      <c r="E12" s="4341">
        <f t="shared" si="0"/>
        <v>9.4452959074031945E-4</v>
      </c>
      <c r="F12" s="4342">
        <v>7.4999999999999997E-3</v>
      </c>
      <c r="G12" s="4339">
        <v>0.19314144708476474</v>
      </c>
      <c r="H12" s="4343">
        <v>0.14373683873162402</v>
      </c>
      <c r="I12" s="4344">
        <f>IF(SUM(G12:H12)=0,"NO",SUM(G12:H12))</f>
        <v>0.33687828581638879</v>
      </c>
    </row>
    <row r="13" spans="2:10" ht="18" customHeight="1" x14ac:dyDescent="0.2">
      <c r="B13" s="914" t="s">
        <v>1902</v>
      </c>
      <c r="C13" s="4345">
        <f>IF(SUM(C15:C19)=0,"NO",SUM(C15:C19))</f>
        <v>4350.5038619083489</v>
      </c>
      <c r="D13" s="4344">
        <f>IF(SUM(D15:D19)=0,"NO",SUM(D15:D19))</f>
        <v>13253.060067161196</v>
      </c>
      <c r="E13" s="4345">
        <f>IF(SUM(C13)=0,"NA",G13/C13*1000/(44/28))</f>
        <v>5.3379573478793636E-2</v>
      </c>
      <c r="F13" s="4344">
        <f>IF(SUM(D13)=0,"NA",H13/D13*1000/(44/28))</f>
        <v>7.4999999999999997E-3</v>
      </c>
      <c r="G13" s="4345">
        <f>IF(SUM(G15:G19)=0,"NO",SUM(G15:G19))</f>
        <v>0.36492977803309057</v>
      </c>
      <c r="H13" s="4346">
        <f>IF(SUM(H15:H19)=0,"NO",SUM(H15:H19))</f>
        <v>0.15619677936297122</v>
      </c>
      <c r="I13" s="4344">
        <f>IF(SUM(G13:H13)=0,"NO",SUM(G13:H13))</f>
        <v>0.52112655739606173</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43.850999999999999</v>
      </c>
      <c r="D15" s="4340">
        <f>H15/F15*1000/(44/28)</f>
        <v>104.74592990043894</v>
      </c>
      <c r="E15" s="4345">
        <f>IF(SUM(C15)=0,"NA",G15/C15*1000/(44/28))</f>
        <v>5.6528167354602324E-2</v>
      </c>
      <c r="F15" s="4342">
        <v>7.4999999999999997E-3</v>
      </c>
      <c r="G15" s="4350">
        <v>3.8952833333333334E-3</v>
      </c>
      <c r="H15" s="4351">
        <v>1.2345056023980302E-3</v>
      </c>
      <c r="I15" s="4344">
        <f>IF(SUM(G15:H15)=0,"NO",SUM(G15:H15))</f>
        <v>5.1297889357313636E-3</v>
      </c>
    </row>
    <row r="16" spans="2:10" ht="18" customHeight="1" x14ac:dyDescent="0.2">
      <c r="B16" s="528" t="s">
        <v>1230</v>
      </c>
      <c r="C16" s="4350">
        <f>Table4.A!E19</f>
        <v>4286.8378619083496</v>
      </c>
      <c r="D16" s="4340">
        <f>H16/F16*1000/(44/28)</f>
        <v>13053.741093916869</v>
      </c>
      <c r="E16" s="4345">
        <f t="shared" ref="E16:E21" si="3">IF(SUM(C16)=0,"NA",G16/C16*1000/(44/28))</f>
        <v>5.3064278277115351E-2</v>
      </c>
      <c r="F16" s="4342">
        <v>7.4999999999999997E-3</v>
      </c>
      <c r="G16" s="4350">
        <v>0.35746536136642393</v>
      </c>
      <c r="H16" s="4351">
        <v>0.15384766289259166</v>
      </c>
      <c r="I16" s="4344">
        <f t="shared" ref="I16:I21" si="4">IF(SUM(G16:H16)=0,"NO",SUM(G16:H16))</f>
        <v>0.51131302425901559</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19.815000000000001</v>
      </c>
      <c r="D18" s="4340">
        <f>H18/F18*1000/(44/28)</f>
        <v>94.573043343887122</v>
      </c>
      <c r="E18" s="4345">
        <f t="shared" si="3"/>
        <v>0.11462360164858272</v>
      </c>
      <c r="F18" s="4342">
        <v>7.4999999999999997E-3</v>
      </c>
      <c r="G18" s="4350">
        <v>3.5691333333333331E-3</v>
      </c>
      <c r="H18" s="4351">
        <v>1.114610867981527E-3</v>
      </c>
      <c r="I18" s="4344">
        <f t="shared" si="4"/>
        <v>4.6837442013148598E-3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2010.2940000000001</v>
      </c>
      <c r="D20" s="4360">
        <f>D21</f>
        <v>3697.3215802808222</v>
      </c>
      <c r="E20" s="4359">
        <f t="shared" si="3"/>
        <v>3.6564253785764667E-2</v>
      </c>
      <c r="F20" s="4360">
        <f t="shared" si="5"/>
        <v>7.4999999999999997E-3</v>
      </c>
      <c r="G20" s="4359">
        <f>G21</f>
        <v>0.11550769999999999</v>
      </c>
      <c r="H20" s="4361">
        <f>H21</f>
        <v>4.3575575767595402E-2</v>
      </c>
      <c r="I20" s="4360">
        <f t="shared" si="4"/>
        <v>0.1590832757675954</v>
      </c>
    </row>
    <row r="21" spans="2:9" ht="18" customHeight="1" x14ac:dyDescent="0.2">
      <c r="B21" s="914" t="s">
        <v>1904</v>
      </c>
      <c r="C21" s="4345">
        <f>IF(SUM(C23:C27)=0,"NO",SUM(C23:C27))</f>
        <v>2010.2940000000001</v>
      </c>
      <c r="D21" s="4344">
        <f>IF(SUM(D23:D27)=0,"NO",SUM(D23:D27))</f>
        <v>3697.3215802808222</v>
      </c>
      <c r="E21" s="4345">
        <f t="shared" si="3"/>
        <v>3.6564253785764667E-2</v>
      </c>
      <c r="F21" s="4344">
        <f t="shared" si="5"/>
        <v>7.4999999999999997E-3</v>
      </c>
      <c r="G21" s="4345">
        <f>IF(SUM(G23:G27)=0,"NO",SUM(G23:G27))</f>
        <v>0.11550769999999999</v>
      </c>
      <c r="H21" s="4346">
        <f>IF(SUM(H23:H27)=0,"NO",SUM(H23:H27))</f>
        <v>4.3575575767595402E-2</v>
      </c>
      <c r="I21" s="4344">
        <f t="shared" si="4"/>
        <v>0.1590832757675954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2010.2940000000001</v>
      </c>
      <c r="D23" s="4340">
        <f>H23/F23*1000/(44/28)</f>
        <v>3697.3215802808222</v>
      </c>
      <c r="E23" s="4345">
        <f>IF(SUM(C23)=0,"NA",G23/C23*1000/(44/28))</f>
        <v>3.6564253785764667E-2</v>
      </c>
      <c r="F23" s="4342">
        <v>7.4999999999999997E-3</v>
      </c>
      <c r="G23" s="4350">
        <v>0.11550769999999999</v>
      </c>
      <c r="H23" s="4351">
        <v>4.3575575767595402E-2</v>
      </c>
      <c r="I23" s="4344">
        <f>IF(SUM(G23:H23)=0,"NO",SUM(G23:H23))</f>
        <v>0.1590832757675954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519374.14214482345</v>
      </c>
      <c r="D28" s="4337">
        <f>IF(SUM(D29:D30)=0,"NO",SUM(D29:D30))</f>
        <v>35520.800366481533</v>
      </c>
      <c r="E28" s="4336">
        <f t="shared" si="6"/>
        <v>1.5100978994078125E-3</v>
      </c>
      <c r="F28" s="4337">
        <f t="shared" si="7"/>
        <v>7.5000000000000006E-3</v>
      </c>
      <c r="G28" s="4336">
        <f>IF(SUM(G29:G30)=0,"NO",SUM(G29:G30))</f>
        <v>1.2324805445222795</v>
      </c>
      <c r="H28" s="4338">
        <f>IF(SUM(H29:H30)=0,"NO",SUM(H29:H30))</f>
        <v>0.41863800431924669</v>
      </c>
      <c r="I28" s="4360">
        <f t="shared" si="8"/>
        <v>1.6511185488415263</v>
      </c>
    </row>
    <row r="29" spans="2:9" ht="18" customHeight="1" x14ac:dyDescent="0.2">
      <c r="B29" s="914" t="s">
        <v>1239</v>
      </c>
      <c r="C29" s="4339">
        <f>Table4.C!E11</f>
        <v>511384.43993966997</v>
      </c>
      <c r="D29" s="4340">
        <f>H29/F29*1000/(44/28)</f>
        <v>26820.923837580336</v>
      </c>
      <c r="E29" s="4341">
        <f t="shared" si="6"/>
        <v>1.0675597151634439E-3</v>
      </c>
      <c r="F29" s="4342">
        <v>7.4999999999999997E-3</v>
      </c>
      <c r="G29" s="4339">
        <v>0.85789538535016086</v>
      </c>
      <c r="H29" s="4343">
        <v>0.31610374522862539</v>
      </c>
      <c r="I29" s="4344">
        <f t="shared" si="8"/>
        <v>1.1739991305787862</v>
      </c>
    </row>
    <row r="30" spans="2:9" ht="18" customHeight="1" x14ac:dyDescent="0.2">
      <c r="B30" s="914" t="s">
        <v>1906</v>
      </c>
      <c r="C30" s="4345">
        <f>IF(SUM(C32:C36)=0,"NO",SUM(C32:C36))</f>
        <v>7989.702205153455</v>
      </c>
      <c r="D30" s="4344">
        <f>IF(SUM(D32:D36)=0,"NO",SUM(D32:D36))</f>
        <v>8699.8765289012008</v>
      </c>
      <c r="E30" s="4345">
        <f>IF(SUM(C30)=0,"NA",G30/C30*1000/(44/28))</f>
        <v>2.9834951027945426E-2</v>
      </c>
      <c r="F30" s="4344">
        <f>IF(SUM(D30)=0,"NA",H30/D30*1000/(44/28))</f>
        <v>7.4999999999999997E-3</v>
      </c>
      <c r="G30" s="4345">
        <f>IF(SUM(G32:G36)=0,"NO",SUM(G32:G36))</f>
        <v>0.37458515917211854</v>
      </c>
      <c r="H30" s="4346">
        <f>IF(SUM(H32:H36)=0,"NO",SUM(H32:H36))</f>
        <v>0.10253425909062128</v>
      </c>
      <c r="I30" s="4344">
        <f t="shared" si="8"/>
        <v>0.47711941826273985</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7989.702205153455</v>
      </c>
      <c r="D32" s="4340">
        <f>H32/F32*1000/(44/28)</f>
        <v>8699.8765289012008</v>
      </c>
      <c r="E32" s="4345">
        <f>IF(SUM(C32)=0,"NA",G32/C32*1000/(44/28))</f>
        <v>2.9834951027945426E-2</v>
      </c>
      <c r="F32" s="4342">
        <v>7.4999999999999997E-3</v>
      </c>
      <c r="G32" s="4350">
        <v>0.37458515917211854</v>
      </c>
      <c r="H32" s="4351">
        <v>0.10253425909062128</v>
      </c>
      <c r="I32" s="4344">
        <f t="shared" si="8"/>
        <v>0.47711941826273985</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1116.388225723</v>
      </c>
      <c r="D46" s="4337">
        <f>IF(SUM(D47:D48)=0,"NO",SUM(D47:D48))</f>
        <v>636.50166342238754</v>
      </c>
      <c r="E46" s="4336">
        <f t="shared" si="11"/>
        <v>1.3814730656296485E-2</v>
      </c>
      <c r="F46" s="4337">
        <f t="shared" si="12"/>
        <v>7.4999999999999997E-3</v>
      </c>
      <c r="G46" s="4336">
        <f>IF(SUM(G47:G48)=0,"NO",SUM(G47:G48))</f>
        <v>2.4235518444066236E-2</v>
      </c>
      <c r="H46" s="4338">
        <f>IF(SUM(H47:H48)=0,"NO",SUM(H47:H48))</f>
        <v>7.5016267474781384E-3</v>
      </c>
      <c r="I46" s="4337">
        <f t="shared" si="8"/>
        <v>3.1737145191544372E-2</v>
      </c>
    </row>
    <row r="47" spans="2:9" ht="18" customHeight="1" x14ac:dyDescent="0.2">
      <c r="B47" s="914" t="s">
        <v>1251</v>
      </c>
      <c r="C47" s="4339">
        <f>Table4.E!E11</f>
        <v>932.05322572299997</v>
      </c>
      <c r="D47" s="4340">
        <f>H47/F47*1000/(44/28)</f>
        <v>15.830429855219377</v>
      </c>
      <c r="E47" s="4341">
        <f t="shared" si="11"/>
        <v>2.5631867325886685E-4</v>
      </c>
      <c r="F47" s="4342">
        <v>7.4999999999999997E-3</v>
      </c>
      <c r="G47" s="4339">
        <v>3.7541844406623309E-4</v>
      </c>
      <c r="H47" s="4343">
        <v>1.8657292329365692E-4</v>
      </c>
      <c r="I47" s="4344">
        <f t="shared" si="8"/>
        <v>5.6199136735988998E-4</v>
      </c>
    </row>
    <row r="48" spans="2:9" ht="18" customHeight="1" x14ac:dyDescent="0.2">
      <c r="B48" s="914" t="s">
        <v>1910</v>
      </c>
      <c r="C48" s="4345">
        <f>IF(SUM(C50:C54)=0,"NO",SUM(C50:C54))</f>
        <v>184.33500000000001</v>
      </c>
      <c r="D48" s="4344">
        <f>IF(SUM(D50:D54)=0,"NO",SUM(D50:D54))</f>
        <v>620.6712335671682</v>
      </c>
      <c r="E48" s="4345">
        <f>IF(SUM(C48)=0,"NA",G48/C48*1000/(44/28))</f>
        <v>8.2370141318794596E-2</v>
      </c>
      <c r="F48" s="4344">
        <f>IF(SUM(D48)=0,"NA",H48/D48*1000/(44/28))</f>
        <v>7.4999999999999997E-3</v>
      </c>
      <c r="G48" s="4345">
        <f>IF(SUM(G50:G54)=0,"NO",SUM(G50:G54))</f>
        <v>2.3860100000000002E-2</v>
      </c>
      <c r="H48" s="4346">
        <f>IF(SUM(H50:H54)=0,"NO",SUM(H50:H54))</f>
        <v>7.3150538241844813E-3</v>
      </c>
      <c r="I48" s="4344">
        <f t="shared" si="8"/>
        <v>3.1175153824184482E-2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184.33500000000001</v>
      </c>
      <c r="D50" s="4340">
        <f>H50/F50*1000/(44/28)</f>
        <v>620.6712335671682</v>
      </c>
      <c r="E50" s="4345">
        <f>IF(SUM(C50)=0,"NA",G50/C50*1000/(44/28))</f>
        <v>8.2370141318794596E-2</v>
      </c>
      <c r="F50" s="4342">
        <v>7.4999999999999997E-3</v>
      </c>
      <c r="G50" s="4350">
        <v>2.3860100000000002E-2</v>
      </c>
      <c r="H50" s="4351">
        <v>7.3150538241844813E-3</v>
      </c>
      <c r="I50" s="4344">
        <f t="shared" si="8"/>
        <v>3.1175153824184482E-2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3592297.3047539266</v>
      </c>
      <c r="D10" s="3076" t="s">
        <v>1814</v>
      </c>
      <c r="E10" s="628"/>
      <c r="F10" s="628"/>
      <c r="G10" s="628"/>
      <c r="H10" s="1913">
        <f>IF(SUM(H11:H15)=0,"NO",SUM(H11:H15))</f>
        <v>258175.82649789355</v>
      </c>
      <c r="I10" s="1913">
        <f t="shared" ref="I10:K10" si="0">IF(SUM(I11:I16)=0,"NO",SUM(I11:I16))</f>
        <v>137.42769839021483</v>
      </c>
      <c r="J10" s="1913">
        <f t="shared" si="0"/>
        <v>6.7766706748586696</v>
      </c>
      <c r="K10" s="3085" t="str">
        <f t="shared" si="0"/>
        <v>NO</v>
      </c>
    </row>
    <row r="11" spans="2:11" ht="18" customHeight="1" x14ac:dyDescent="0.2">
      <c r="B11" s="282" t="s">
        <v>132</v>
      </c>
      <c r="C11" s="3086">
        <f>IF(SUM(C18,'Table1.A(a)s2'!C11,'Table1.A(a)s3'!C11,'Table1.A(a)s4'!C11,'Table1.A(a)s4'!C94)=0,"NO",SUM(C18,'Table1.A(a)s2'!C11,'Table1.A(a)s3'!C11,'Table1.A(a)s4'!C11,'Table1.A(a)s4'!C94))</f>
        <v>1256367.8984799304</v>
      </c>
      <c r="D11" s="3077" t="s">
        <v>2145</v>
      </c>
      <c r="E11" s="1913">
        <f>IFERROR(H11*1000/$C11,"NA")</f>
        <v>67.941217857449061</v>
      </c>
      <c r="F11" s="1913">
        <f t="shared" ref="F11:G16" si="1">IFERROR(I11*1000000/$C11,"NA")</f>
        <v>22.805136364850821</v>
      </c>
      <c r="G11" s="1913">
        <f t="shared" si="1"/>
        <v>3.3512566662792889</v>
      </c>
      <c r="H11" s="1913">
        <f>IF(SUM(H18,'Table1.A(a)s2'!H11,'Table1.A(a)s3'!H11,'Table1.A(a)s4'!H11,'Table1.A(a)s4'!H94)=0,"NO",SUM(H18,'Table1.A(a)s2'!H11,'Table1.A(a)s3'!H11,'Table1.A(a)s4'!H11,'Table1.A(a)s4'!H94))</f>
        <v>85359.16509973038</v>
      </c>
      <c r="I11" s="1913">
        <f>IF(SUM(I18,'Table1.A(a)s2'!I11,'Table1.A(a)s3'!I11,'Table1.A(a)s4'!I11,'Table1.A(a)s4'!I94)=0,"NO",SUM(I18,'Table1.A(a)s2'!I11,'Table1.A(a)s3'!I11,'Table1.A(a)s4'!I11,'Table1.A(a)s4'!I94))</f>
        <v>28.651641249255864</v>
      </c>
      <c r="J11" s="1913">
        <f>IF(SUM(J18,'Table1.A(a)s2'!J11,'Table1.A(a)s3'!J11,'Table1.A(a)s4'!J11,'Table1.A(a)s4'!J94)=0,"NO",SUM(J18,'Table1.A(a)s2'!J11,'Table1.A(a)s3'!J11,'Table1.A(a)s4'!J11,'Table1.A(a)s4'!J94))</f>
        <v>4.2104112950801671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1528850.3938162064</v>
      </c>
      <c r="D12" s="3077" t="s">
        <v>1814</v>
      </c>
      <c r="E12" s="1913">
        <f t="shared" ref="E12:E16" si="2">IFERROR(H12*1000/$C12,"NA")</f>
        <v>91.313047637465587</v>
      </c>
      <c r="F12" s="1913">
        <f t="shared" si="1"/>
        <v>0.68512819669965741</v>
      </c>
      <c r="G12" s="1913">
        <f t="shared" si="1"/>
        <v>0.90331841329538931</v>
      </c>
      <c r="H12" s="1913">
        <f>IF(SUM(H19,'Table1.A(a)s2'!H12,'Table1.A(a)s3'!H12,'Table1.A(a)s4'!H12,'Table1.A(a)s4'!H95)=0,"NO",SUM(H19,'Table1.A(a)s2'!H12,'Table1.A(a)s3'!H12,'Table1.A(a)s4'!H12,'Table1.A(a)s4'!H95))</f>
        <v>139603.98884109728</v>
      </c>
      <c r="I12" s="1913">
        <f>IF(SUM(I19,'Table1.A(a)s2'!I12,'Table1.A(a)s3'!I12,'Table1.A(a)s4'!I12,'Table1.A(a)s4'!I95)=0,"NO",SUM(I19,'Table1.A(a)s2'!I12,'Table1.A(a)s3'!I12,'Table1.A(a)s4'!I12,'Table1.A(a)s4'!I95))</f>
        <v>1.0474585133388585</v>
      </c>
      <c r="J12" s="1913">
        <f>IF(SUM(J19,'Table1.A(a)s2'!J12,'Table1.A(a)s3'!J12,'Table1.A(a)s4'!J12,'Table1.A(a)s4'!J95)=0,"NO",SUM(J19,'Table1.A(a)s2'!J12,'Table1.A(a)s3'!J12,'Table1.A(a)s4'!J12,'Table1.A(a)s4'!J95))</f>
        <v>1.3810387119080867</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638343.91539921972</v>
      </c>
      <c r="D13" s="3077" t="s">
        <v>2145</v>
      </c>
      <c r="E13" s="1913">
        <f t="shared" si="2"/>
        <v>51.467432168012309</v>
      </c>
      <c r="F13" s="1913">
        <f t="shared" si="1"/>
        <v>8.1220309028876549</v>
      </c>
      <c r="G13" s="1913">
        <f t="shared" si="1"/>
        <v>0.74021459799631406</v>
      </c>
      <c r="H13" s="1913">
        <f>IF(SUM(H20,'Table1.A(a)s2'!H13,'Table1.A(a)s3'!H13,'Table1.A(a)s4'!H13,'Table1.A(a)s4'!H96)=0,"NO",SUM(H20,'Table1.A(a)s2'!H13,'Table1.A(a)s3'!H13,'Table1.A(a)s4'!H13,'Table1.A(a)s4'!H96))</f>
        <v>32853.922165672731</v>
      </c>
      <c r="I13" s="1913">
        <f>IF(SUM(I20,'Table1.A(a)s2'!I13,'Table1.A(a)s3'!I13,'Table1.A(a)s4'!I13,'Table1.A(a)s4'!I96)=0,"NO",SUM(I20,'Table1.A(a)s2'!I13,'Table1.A(a)s3'!I13,'Table1.A(a)s4'!I13,'Table1.A(a)s4'!I96))</f>
        <v>5.1846490075427658</v>
      </c>
      <c r="J13" s="1913">
        <f>IF(SUM(J20,'Table1.A(a)s2'!J13,'Table1.A(a)s3'!J13,'Table1.A(a)s4'!J13,'Table1.A(a)s4'!J96)=0,"NO",SUM(J20,'Table1.A(a)s2'!J13,'Table1.A(a)s3'!J13,'Table1.A(a)s4'!J13,'Table1.A(a)s4'!J96))</f>
        <v>0.47251148472062654</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3989.7870585697983</v>
      </c>
      <c r="D14" s="3077" t="s">
        <v>2145</v>
      </c>
      <c r="E14" s="1913">
        <f t="shared" si="2"/>
        <v>89.917177565302438</v>
      </c>
      <c r="F14" s="1913">
        <f t="shared" si="1"/>
        <v>31.841298328723212</v>
      </c>
      <c r="G14" s="1913">
        <f t="shared" si="1"/>
        <v>0.99504057277260038</v>
      </c>
      <c r="H14" s="1913">
        <f>IF(SUM(H21,'Table1.A(a)s2'!H14,'Table1.A(a)s3'!H14,'Table1.A(a)s4'!H14,'Table1.A(a)s4'!H97)=0,"NO",SUM(H21,'Table1.A(a)s2'!H14,'Table1.A(a)s3'!H14,'Table1.A(a)s4'!H14,'Table1.A(a)s4'!H97))</f>
        <v>358.7503913931663</v>
      </c>
      <c r="I14" s="1913">
        <f>IF(SUM(I21,'Table1.A(a)s2'!I14,'Table1.A(a)s3'!I14,'Table1.A(a)s4'!I14,'Table1.A(a)s4'!I97)=0,"NO",SUM(I21,'Table1.A(a)s2'!I14,'Table1.A(a)s3'!I14,'Table1.A(a)s4'!I14,'Table1.A(a)s4'!I97))</f>
        <v>0.12704000000000001</v>
      </c>
      <c r="J14" s="1913">
        <f>IF(SUM(J21,'Table1.A(a)s2'!J14,'Table1.A(a)s3'!J14,'Table1.A(a)s4'!J14,'Table1.A(a)s4'!J97)=0,"NO",SUM(J21,'Table1.A(a)s2'!J14,'Table1.A(a)s3'!J14,'Table1.A(a)s4'!J14,'Table1.A(a)s4'!J97))</f>
        <v>3.9700000000000004E-3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164745.31</v>
      </c>
      <c r="D16" s="3079" t="s">
        <v>2145</v>
      </c>
      <c r="E16" s="2880">
        <f t="shared" si="2"/>
        <v>83.189224021005515</v>
      </c>
      <c r="F16" s="1913">
        <f t="shared" si="1"/>
        <v>621.66813501444949</v>
      </c>
      <c r="G16" s="1913">
        <f t="shared" si="1"/>
        <v>4.3020294972269006</v>
      </c>
      <c r="H16" s="2880">
        <f>IF(SUM(H23,'Table1.A(a)s2'!H16,'Table1.A(a)s3'!H15,'Table1.A(a)s4'!H16,'Table1.A(a)s4'!H99)=0,"NO",SUM(H23,'Table1.A(a)s2'!H16,'Table1.A(a)s3'!H15,'Table1.A(a)s4'!H16,'Table1.A(a)s4'!H99))</f>
        <v>13705.0345</v>
      </c>
      <c r="I16" s="2880">
        <f>IF(SUM(I23,'Table1.A(a)s2'!I16,'Table1.A(a)s3'!I15,'Table1.A(a)s4'!I16,'Table1.A(a)s4'!I99)=0,"NO",SUM(I23,'Table1.A(a)s2'!I16,'Table1.A(a)s3'!I15,'Table1.A(a)s4'!I16,'Table1.A(a)s4'!I99))</f>
        <v>102.41690962007735</v>
      </c>
      <c r="J16" s="2880">
        <f>IF(SUM(J23,'Table1.A(a)s2'!J16,'Table1.A(a)s3'!J15,'Table1.A(a)s4'!J16,'Table1.A(a)s4'!J99)=0,"NO",SUM(J23,'Table1.A(a)s2'!J16,'Table1.A(a)s3'!J15,'Table1.A(a)s4'!J16,'Table1.A(a)s4'!J99))</f>
        <v>0.7087391831497899</v>
      </c>
      <c r="K16" s="3066" t="str">
        <f>IF(SUM(K23,'Table1.A(a)s2'!K16,'Table1.A(a)s3'!K15,'Table1.A(a)s4'!K16,'Table1.A(a)s4'!K99)=0,"NO",SUM(K23,'Table1.A(a)s2'!K16,'Table1.A(a)s3'!K15,'Table1.A(a)s4'!K16,'Table1.A(a)s4'!K99))</f>
        <v>NO</v>
      </c>
    </row>
    <row r="17" spans="2:12" ht="18" customHeight="1" x14ac:dyDescent="0.2">
      <c r="B17" s="2184" t="s">
        <v>76</v>
      </c>
      <c r="C17" s="3067">
        <f>IF(SUM(C18:C23)=0,"NO",SUM(C18:C23))</f>
        <v>1763316.3161886649</v>
      </c>
      <c r="D17" s="3080" t="s">
        <v>1814</v>
      </c>
      <c r="E17" s="3081"/>
      <c r="F17" s="3081"/>
      <c r="G17" s="3081"/>
      <c r="H17" s="3067">
        <f>IF(SUM(H18:H22)=0,"NO",SUM(H18:H22))</f>
        <v>149114.46071351451</v>
      </c>
      <c r="I17" s="3067">
        <f t="shared" ref="I17" si="3">IF(SUM(I18:I23)=0,"NO",SUM(I18:I23))</f>
        <v>5.9263413265839846</v>
      </c>
      <c r="J17" s="3067">
        <f t="shared" ref="J17" si="4">IF(SUM(J18:J23)=0,"NO",SUM(J18:J23))</f>
        <v>1.6581035249510143</v>
      </c>
      <c r="K17" s="3068" t="str">
        <f t="shared" ref="K17" si="5">IF(SUM(K18:K23)=0,"NO",SUM(K18:K23))</f>
        <v>NO</v>
      </c>
    </row>
    <row r="18" spans="2:12" ht="18" customHeight="1" x14ac:dyDescent="0.2">
      <c r="B18" s="282" t="s">
        <v>132</v>
      </c>
      <c r="C18" s="3086">
        <f>IF(SUM(C25,C54,C61)=0,"NO",SUM(C25,C54,C61))</f>
        <v>121882.60162239992</v>
      </c>
      <c r="D18" s="3077" t="s">
        <v>1814</v>
      </c>
      <c r="E18" s="1913">
        <f>IFERROR(H18*1000/$C18,"NA")</f>
        <v>67.35364334604175</v>
      </c>
      <c r="F18" s="1913">
        <f t="shared" ref="F18:G23" si="6">IFERROR(I18*1000000/$C18,"NA")</f>
        <v>1.6172119083215997</v>
      </c>
      <c r="G18" s="1913">
        <f t="shared" si="6"/>
        <v>0.83860551599831645</v>
      </c>
      <c r="H18" s="3086">
        <f>IF(SUM(H25,H54,H61)=0,"NO",SUM(H25,H54,H61))</f>
        <v>8209.2372797628141</v>
      </c>
      <c r="I18" s="3086">
        <f>IF(SUM(I25,I54,I61)=0,"NO",SUM(I25,I54,I61))</f>
        <v>0.19710999476096266</v>
      </c>
      <c r="J18" s="3086">
        <f>IF(SUM(J25,J54,J61)=0,"NO",SUM(J25,J54,J61))</f>
        <v>0.10221142202476993</v>
      </c>
      <c r="K18" s="3069" t="str">
        <f>IF(SUM(K25,K54,K61)=0,"NO",SUM(K25,K54,K61))</f>
        <v>NO</v>
      </c>
      <c r="L18" s="19"/>
    </row>
    <row r="19" spans="2:12" ht="18" customHeight="1" x14ac:dyDescent="0.2">
      <c r="B19" s="282" t="s">
        <v>133</v>
      </c>
      <c r="C19" s="3086">
        <f t="shared" ref="C19:C23" si="7">IF(SUM(C26,C55,C62)=0,"NO",SUM(C26,C55,C62))</f>
        <v>1391977.4314906248</v>
      </c>
      <c r="D19" s="3077" t="s">
        <v>1814</v>
      </c>
      <c r="E19" s="1913">
        <f t="shared" ref="E19:E23" si="8">IFERROR(H19*1000/$C19,"NA")</f>
        <v>92.330081719167907</v>
      </c>
      <c r="F19" s="1913">
        <f t="shared" si="6"/>
        <v>0.65749064408399926</v>
      </c>
      <c r="G19" s="1913">
        <f t="shared" si="6"/>
        <v>0.92366354131305295</v>
      </c>
      <c r="H19" s="3086">
        <f t="shared" ref="H19:K23" si="9">IF(SUM(H26,H55,H62)=0,"NO",SUM(H26,H55,H62))</f>
        <v>128521.39000076684</v>
      </c>
      <c r="I19" s="3086">
        <f t="shared" si="9"/>
        <v>0.91521213798116186</v>
      </c>
      <c r="J19" s="3086">
        <f t="shared" si="9"/>
        <v>1.2857188037984781</v>
      </c>
      <c r="K19" s="3069" t="str">
        <f t="shared" si="9"/>
        <v>NO</v>
      </c>
      <c r="L19" s="19"/>
    </row>
    <row r="20" spans="2:12" ht="18" customHeight="1" x14ac:dyDescent="0.2">
      <c r="B20" s="282" t="s">
        <v>134</v>
      </c>
      <c r="C20" s="3086">
        <f t="shared" si="7"/>
        <v>240612.82134433964</v>
      </c>
      <c r="D20" s="3077" t="s">
        <v>1814</v>
      </c>
      <c r="E20" s="1913">
        <f t="shared" si="8"/>
        <v>51.467886722721389</v>
      </c>
      <c r="F20" s="1913">
        <f t="shared" si="6"/>
        <v>19.622285204490929</v>
      </c>
      <c r="G20" s="1913">
        <f t="shared" si="6"/>
        <v>0.87782889708729195</v>
      </c>
      <c r="H20" s="3086">
        <f t="shared" si="9"/>
        <v>12383.833432984871</v>
      </c>
      <c r="I20" s="3086">
        <f t="shared" si="9"/>
        <v>4.7213734042758553</v>
      </c>
      <c r="J20" s="3086">
        <f t="shared" si="9"/>
        <v>0.21121688758576329</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8843.4617313004528</v>
      </c>
      <c r="D23" s="3077" t="s">
        <v>1814</v>
      </c>
      <c r="E23" s="1913">
        <f t="shared" si="8"/>
        <v>94.999999999999986</v>
      </c>
      <c r="F23" s="1913">
        <f t="shared" si="6"/>
        <v>10.476190476190474</v>
      </c>
      <c r="G23" s="1913">
        <f t="shared" si="6"/>
        <v>6.6666666666666652</v>
      </c>
      <c r="H23" s="3086">
        <f t="shared" si="9"/>
        <v>840.12886447354288</v>
      </c>
      <c r="I23" s="3086">
        <f t="shared" si="9"/>
        <v>9.2645789566004735E-2</v>
      </c>
      <c r="J23" s="3086">
        <f t="shared" si="9"/>
        <v>5.8956411542003005E-2</v>
      </c>
      <c r="K23" s="3069" t="str">
        <f t="shared" si="9"/>
        <v>NO</v>
      </c>
      <c r="L23" s="19"/>
    </row>
    <row r="24" spans="2:12" ht="18" customHeight="1" x14ac:dyDescent="0.2">
      <c r="B24" s="1237" t="s">
        <v>138</v>
      </c>
      <c r="C24" s="3086">
        <f>IF(SUM(C25:C30)=0,"NO",SUM(C25:C30))</f>
        <v>1523370.2633537005</v>
      </c>
      <c r="D24" s="3077" t="s">
        <v>1814</v>
      </c>
      <c r="E24" s="628"/>
      <c r="F24" s="628"/>
      <c r="G24" s="628"/>
      <c r="H24" s="3086">
        <f>IF(SUM(H25:H29)=0,"NO",SUM(H25:H29))</f>
        <v>134116.20267728728</v>
      </c>
      <c r="I24" s="3086">
        <f t="shared" ref="I24" si="10">IF(SUM(I25:I30)=0,"NO",SUM(I25:I30))</f>
        <v>1.3218738387401294</v>
      </c>
      <c r="J24" s="3086">
        <f t="shared" ref="J24" si="11">IF(SUM(J25:J30)=0,"NO",SUM(J25:J30))</f>
        <v>1.4449649094800268</v>
      </c>
      <c r="K24" s="3069" t="str">
        <f t="shared" ref="K24" si="12">IF(SUM(K25:K30)=0,"NO",SUM(K25:K30))</f>
        <v>NO</v>
      </c>
      <c r="L24" s="19"/>
    </row>
    <row r="25" spans="2:12" ht="18" customHeight="1" x14ac:dyDescent="0.2">
      <c r="B25" s="160" t="s">
        <v>132</v>
      </c>
      <c r="C25" s="3074">
        <f>IF(SUM(C33,C40,C47)=0,"NO",SUM(C33,C40,C47))</f>
        <v>28726.801622400002</v>
      </c>
      <c r="D25" s="3082" t="s">
        <v>1814</v>
      </c>
      <c r="E25" s="3086">
        <f>IFERROR(H25*1000/$C25,"NA")</f>
        <v>72.606909017550493</v>
      </c>
      <c r="F25" s="1913">
        <f t="shared" ref="F25:G30" si="13">IFERROR(I25*1000000/$C25,"NA")</f>
        <v>3.2563481940352785</v>
      </c>
      <c r="G25" s="1913">
        <f t="shared" si="13"/>
        <v>0.36366564296836434</v>
      </c>
      <c r="H25" s="3086">
        <f>IF(SUM(H33,H40,H47)=0,"NO",SUM(H33,H40,H47))</f>
        <v>2085.7642717628191</v>
      </c>
      <c r="I25" s="3086">
        <f>IF(SUM(I33,I40,I47)=0,"NO",SUM(I33,I40,I47))</f>
        <v>9.3544468583511953E-2</v>
      </c>
      <c r="J25" s="3086">
        <f>IF(SUM(J33,J40,J47)=0,"NO",SUM(J33,J40,J47))</f>
        <v>1.0446950782434749E-2</v>
      </c>
      <c r="K25" s="3069" t="str">
        <f>IF(SUM(K33,K40,K47)=0,"NO",SUM(K33,K40,K47))</f>
        <v>NO</v>
      </c>
      <c r="L25" s="19"/>
    </row>
    <row r="26" spans="2:12" ht="18" customHeight="1" x14ac:dyDescent="0.2">
      <c r="B26" s="160" t="s">
        <v>133</v>
      </c>
      <c r="C26" s="3086">
        <f t="shared" ref="C26:C30" si="14">IF(SUM(C34,C41,C48)=0,"NO",SUM(C34,C41,C48))</f>
        <v>1353860</v>
      </c>
      <c r="D26" s="3082" t="s">
        <v>1814</v>
      </c>
      <c r="E26" s="3086">
        <f t="shared" ref="E26:E30" si="15">IFERROR(H26*1000/$C26,"NA")</f>
        <v>92.5025045466477</v>
      </c>
      <c r="F26" s="1913">
        <f t="shared" si="13"/>
        <v>0.64895520192746803</v>
      </c>
      <c r="G26" s="1913">
        <f t="shared" si="13"/>
        <v>0.92743421964614847</v>
      </c>
      <c r="H26" s="3086">
        <f t="shared" ref="H26:K30" si="16">IF(SUM(H34,H41,H48)=0,"NO",SUM(H34,H41,H48))</f>
        <v>125235.44080552446</v>
      </c>
      <c r="I26" s="3086">
        <f t="shared" si="16"/>
        <v>0.87859448968152187</v>
      </c>
      <c r="J26" s="3086">
        <f t="shared" si="16"/>
        <v>1.2556160926101345</v>
      </c>
      <c r="K26" s="3069" t="str">
        <f t="shared" si="16"/>
        <v>NO</v>
      </c>
      <c r="L26" s="19"/>
    </row>
    <row r="27" spans="2:12" ht="18" customHeight="1" x14ac:dyDescent="0.2">
      <c r="B27" s="160" t="s">
        <v>134</v>
      </c>
      <c r="C27" s="3086">
        <f t="shared" si="14"/>
        <v>131940</v>
      </c>
      <c r="D27" s="3082" t="s">
        <v>1814</v>
      </c>
      <c r="E27" s="3086">
        <f t="shared" si="15"/>
        <v>51.500663938153707</v>
      </c>
      <c r="F27" s="1913">
        <f t="shared" si="13"/>
        <v>1.9485303237008555</v>
      </c>
      <c r="G27" s="1913">
        <f t="shared" si="13"/>
        <v>0.90909090909090895</v>
      </c>
      <c r="H27" s="3086">
        <f t="shared" si="16"/>
        <v>6794.9976000000006</v>
      </c>
      <c r="I27" s="3086">
        <f t="shared" si="16"/>
        <v>0.25708909090909088</v>
      </c>
      <c r="J27" s="3086">
        <f t="shared" si="16"/>
        <v>0.11994545454545454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8843.4617313004528</v>
      </c>
      <c r="D30" s="3082" t="s">
        <v>1814</v>
      </c>
      <c r="E30" s="3086">
        <f t="shared" si="15"/>
        <v>94.999999999999986</v>
      </c>
      <c r="F30" s="1913">
        <f t="shared" si="13"/>
        <v>10.476190476190474</v>
      </c>
      <c r="G30" s="1913">
        <f t="shared" si="13"/>
        <v>6.6666666666666652</v>
      </c>
      <c r="H30" s="3086">
        <f t="shared" si="16"/>
        <v>840.12886447354288</v>
      </c>
      <c r="I30" s="3086">
        <f t="shared" si="16"/>
        <v>9.2645789566004735E-2</v>
      </c>
      <c r="J30" s="3086">
        <f t="shared" si="16"/>
        <v>5.8956411542003005E-2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1523370.2633537005</v>
      </c>
      <c r="D32" s="3077" t="s">
        <v>1814</v>
      </c>
      <c r="E32" s="1914"/>
      <c r="F32" s="1914"/>
      <c r="G32" s="1914"/>
      <c r="H32" s="3086">
        <f>IF(SUM(H33:H37)=0,"NO",SUM(H33:H37))</f>
        <v>134116.20267728728</v>
      </c>
      <c r="I32" s="3086">
        <f t="shared" ref="I32" si="17">IF(SUM(I33:I38)=0,"NO",SUM(I33:I38))</f>
        <v>1.3218738387401294</v>
      </c>
      <c r="J32" s="3086">
        <f t="shared" ref="J32" si="18">IF(SUM(J33:J38)=0,"NO",SUM(J33:J38))</f>
        <v>1.4449649094800268</v>
      </c>
      <c r="K32" s="3069" t="str">
        <f t="shared" ref="K32" si="19">IF(SUM(K33:K38)=0,"NO",SUM(K33:K38))</f>
        <v>NO</v>
      </c>
      <c r="L32" s="19"/>
    </row>
    <row r="33" spans="2:12" ht="18" customHeight="1" x14ac:dyDescent="0.2">
      <c r="B33" s="160" t="s">
        <v>132</v>
      </c>
      <c r="C33" s="3033">
        <v>28726.801622400002</v>
      </c>
      <c r="D33" s="3077" t="s">
        <v>1814</v>
      </c>
      <c r="E33" s="1913">
        <f>IFERROR(H33*1000/$C33,"NA")</f>
        <v>72.606909017550493</v>
      </c>
      <c r="F33" s="1913">
        <f t="shared" ref="F33:G38" si="20">IFERROR(I33*1000000/$C33,"NA")</f>
        <v>3.2563481940352785</v>
      </c>
      <c r="G33" s="1913">
        <f t="shared" si="20"/>
        <v>0.36366564296836434</v>
      </c>
      <c r="H33" s="3033">
        <v>2085.7642717628191</v>
      </c>
      <c r="I33" s="3033">
        <v>9.3544468583511953E-2</v>
      </c>
      <c r="J33" s="3033">
        <v>1.0446950782434749E-2</v>
      </c>
      <c r="K33" s="3072" t="s">
        <v>2146</v>
      </c>
      <c r="L33" s="19"/>
    </row>
    <row r="34" spans="2:12" ht="18" customHeight="1" x14ac:dyDescent="0.2">
      <c r="B34" s="160" t="s">
        <v>133</v>
      </c>
      <c r="C34" s="3033">
        <v>1353860</v>
      </c>
      <c r="D34" s="3077" t="s">
        <v>1814</v>
      </c>
      <c r="E34" s="1913">
        <f t="shared" ref="E34:E38" si="21">IFERROR(H34*1000/$C34,"NA")</f>
        <v>92.5025045466477</v>
      </c>
      <c r="F34" s="1913">
        <f t="shared" si="20"/>
        <v>0.64895520192746803</v>
      </c>
      <c r="G34" s="1913">
        <f t="shared" si="20"/>
        <v>0.92743421964614847</v>
      </c>
      <c r="H34" s="3033">
        <v>125235.44080552446</v>
      </c>
      <c r="I34" s="3033">
        <v>0.87859448968152187</v>
      </c>
      <c r="J34" s="3033">
        <v>1.2556160926101345</v>
      </c>
      <c r="K34" s="3072" t="s">
        <v>2146</v>
      </c>
      <c r="L34" s="19"/>
    </row>
    <row r="35" spans="2:12" ht="18" customHeight="1" x14ac:dyDescent="0.2">
      <c r="B35" s="160" t="s">
        <v>134</v>
      </c>
      <c r="C35" s="3033">
        <v>131940</v>
      </c>
      <c r="D35" s="3077" t="s">
        <v>1814</v>
      </c>
      <c r="E35" s="1913">
        <f t="shared" si="21"/>
        <v>51.500663938153707</v>
      </c>
      <c r="F35" s="1913">
        <f t="shared" si="20"/>
        <v>1.9485303237008555</v>
      </c>
      <c r="G35" s="1913">
        <f t="shared" si="20"/>
        <v>0.90909090909090895</v>
      </c>
      <c r="H35" s="3033">
        <v>6794.9976000000006</v>
      </c>
      <c r="I35" s="3033">
        <v>0.25708909090909088</v>
      </c>
      <c r="J35" s="3033">
        <v>0.11994545454545454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8843.4617313004528</v>
      </c>
      <c r="D38" s="3077" t="s">
        <v>1814</v>
      </c>
      <c r="E38" s="1913">
        <f t="shared" si="21"/>
        <v>94.999999999999986</v>
      </c>
      <c r="F38" s="1913">
        <f t="shared" si="20"/>
        <v>10.476190476190474</v>
      </c>
      <c r="G38" s="1913">
        <f t="shared" si="20"/>
        <v>6.6666666666666652</v>
      </c>
      <c r="H38" s="3033">
        <v>840.12886447354288</v>
      </c>
      <c r="I38" s="3033">
        <v>9.2645789566004735E-2</v>
      </c>
      <c r="J38" s="3033">
        <v>5.8956411542003005E-2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89159.999999999898</v>
      </c>
      <c r="D53" s="3077" t="s">
        <v>1814</v>
      </c>
      <c r="E53" s="628"/>
      <c r="F53" s="628"/>
      <c r="G53" s="628"/>
      <c r="H53" s="3086">
        <f>IF(SUM(H54:H58)=0,"NO",SUM(H54:H58))</f>
        <v>5637.9822297319097</v>
      </c>
      <c r="I53" s="3086">
        <f t="shared" ref="I53:K53" si="28">IF(SUM(I54:I59)=0,"NO",SUM(I54:I59))</f>
        <v>6.3118914285714214E-2</v>
      </c>
      <c r="J53" s="3086">
        <f t="shared" si="28"/>
        <v>4.6445659047619006E-2</v>
      </c>
      <c r="K53" s="3069" t="str">
        <f t="shared" si="28"/>
        <v>NO</v>
      </c>
      <c r="L53" s="19"/>
    </row>
    <row r="54" spans="2:12" ht="18" customHeight="1" x14ac:dyDescent="0.2">
      <c r="B54" s="160" t="s">
        <v>132</v>
      </c>
      <c r="C54" s="3033">
        <v>78159.999999999913</v>
      </c>
      <c r="D54" s="3077" t="s">
        <v>1814</v>
      </c>
      <c r="E54" s="1913">
        <f>IFERROR(H54*1000/$C54,"NA")</f>
        <v>64.898300000000006</v>
      </c>
      <c r="F54" s="1913">
        <f t="shared" ref="F54:G59" si="29">IFERROR(I54*1000000/$C54,"NA")</f>
        <v>0.66285714285714292</v>
      </c>
      <c r="G54" s="1913">
        <f t="shared" si="29"/>
        <v>0.53447619047619055</v>
      </c>
      <c r="H54" s="3033">
        <v>5072.4511279999952</v>
      </c>
      <c r="I54" s="3033">
        <v>5.1808914285714228E-2</v>
      </c>
      <c r="J54" s="3033">
        <v>4.1774659047619012E-2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10999.999999999989</v>
      </c>
      <c r="D56" s="3077" t="s">
        <v>1814</v>
      </c>
      <c r="E56" s="1913">
        <f t="shared" si="30"/>
        <v>51.411918339265</v>
      </c>
      <c r="F56" s="1913">
        <f t="shared" si="29"/>
        <v>1.0281818181818183</v>
      </c>
      <c r="G56" s="1913">
        <f t="shared" si="29"/>
        <v>0.42463636363636353</v>
      </c>
      <c r="H56" s="3033">
        <v>565.53110173191442</v>
      </c>
      <c r="I56" s="3033">
        <v>1.1309999999999988E-2</v>
      </c>
      <c r="J56" s="3033">
        <v>4.6709999999999946E-3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150786.05283496442</v>
      </c>
      <c r="D60" s="3077" t="s">
        <v>1814</v>
      </c>
      <c r="E60" s="628"/>
      <c r="F60" s="628"/>
      <c r="G60" s="628"/>
      <c r="H60" s="3086">
        <f>IF(SUM(H61:H65)=0,"NO",SUM(H61:H65))</f>
        <v>9360.2758064953414</v>
      </c>
      <c r="I60" s="3086">
        <f t="shared" ref="I60:K60" si="31">IF(SUM(I61:I66)=0,"NO",SUM(I61:I66))</f>
        <v>4.5413485735581416</v>
      </c>
      <c r="J60" s="3086">
        <f t="shared" si="31"/>
        <v>0.16669295642336845</v>
      </c>
      <c r="K60" s="3069" t="str">
        <f t="shared" si="31"/>
        <v>NO</v>
      </c>
      <c r="L60" s="19"/>
    </row>
    <row r="61" spans="2:12" ht="18" customHeight="1" x14ac:dyDescent="0.2">
      <c r="B61" s="160" t="s">
        <v>132</v>
      </c>
      <c r="C61" s="3074">
        <f>IF(SUM(C69,C76,C83)=0,"NO",SUM(C69,C76,C83))</f>
        <v>14995.8</v>
      </c>
      <c r="D61" s="3077" t="s">
        <v>1814</v>
      </c>
      <c r="E61" s="1913">
        <f>IFERROR(H61*1000/$C61,"NA")</f>
        <v>70.087749903306261</v>
      </c>
      <c r="F61" s="1913">
        <f t="shared" ref="F61:G66" si="32">IFERROR(I61*1000000/$C61,"NA")</f>
        <v>3.4514071867947362</v>
      </c>
      <c r="G61" s="1913">
        <f t="shared" si="32"/>
        <v>3.3335875508286441</v>
      </c>
      <c r="H61" s="3074">
        <f>IF(SUM(H69,H76,H83)=0,"NO",SUM(H69,H76,H83))</f>
        <v>1051.0218799999998</v>
      </c>
      <c r="I61" s="3074">
        <f>IF(SUM(I69,I76,I83)=0,"NO",SUM(I69,I76,I83))</f>
        <v>5.1756611891736505E-2</v>
      </c>
      <c r="J61" s="3074">
        <f>IF(SUM(J69,J76,J83)=0,"NO",SUM(J69,J76,J83))</f>
        <v>4.9989812194716175E-2</v>
      </c>
      <c r="K61" s="3088" t="str">
        <f>IF(SUM(K69,K76,K83)=0,"NO",SUM(K69,K76,K83))</f>
        <v>NO</v>
      </c>
    </row>
    <row r="62" spans="2:12" ht="18" customHeight="1" x14ac:dyDescent="0.2">
      <c r="B62" s="160" t="s">
        <v>133</v>
      </c>
      <c r="C62" s="3074">
        <f t="shared" ref="C62:C66" si="33">IF(SUM(C70,C77,C84)=0,"NO",SUM(C70,C77,C84))</f>
        <v>38117.431490624789</v>
      </c>
      <c r="D62" s="3077" t="s">
        <v>1814</v>
      </c>
      <c r="E62" s="1913">
        <f t="shared" ref="E62:E66" si="34">IFERROR(H62*1000/$C62,"NA")</f>
        <v>86.20594480639609</v>
      </c>
      <c r="F62" s="1913">
        <f t="shared" si="32"/>
        <v>0.96065361352184164</v>
      </c>
      <c r="G62" s="1913">
        <f t="shared" si="32"/>
        <v>0.78973608690678665</v>
      </c>
      <c r="H62" s="3074">
        <f t="shared" ref="H62:K66" si="35">IF(SUM(H70,H77,H84)=0,"NO",SUM(H70,H77,H84))</f>
        <v>3285.949195242385</v>
      </c>
      <c r="I62" s="3074">
        <f t="shared" si="35"/>
        <v>3.6617648299639941E-2</v>
      </c>
      <c r="J62" s="3074">
        <f t="shared" si="35"/>
        <v>3.0102711188343543E-2</v>
      </c>
      <c r="K62" s="3088" t="str">
        <f t="shared" si="35"/>
        <v>NO</v>
      </c>
    </row>
    <row r="63" spans="2:12" ht="18" customHeight="1" x14ac:dyDescent="0.2">
      <c r="B63" s="160" t="s">
        <v>134</v>
      </c>
      <c r="C63" s="3074">
        <f t="shared" si="33"/>
        <v>97672.821344339623</v>
      </c>
      <c r="D63" s="3077" t="s">
        <v>1814</v>
      </c>
      <c r="E63" s="1913">
        <f t="shared" si="34"/>
        <v>51.429913276935039</v>
      </c>
      <c r="F63" s="1913">
        <f t="shared" si="32"/>
        <v>45.590720653681885</v>
      </c>
      <c r="G63" s="1913">
        <f t="shared" si="32"/>
        <v>0.88663798023202545</v>
      </c>
      <c r="H63" s="3074">
        <f t="shared" si="35"/>
        <v>5023.3047312529561</v>
      </c>
      <c r="I63" s="3074">
        <f t="shared" si="35"/>
        <v>4.4529743133667647</v>
      </c>
      <c r="J63" s="3074">
        <f t="shared" si="35"/>
        <v>8.6600433040308747E-2</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38993.231490624792</v>
      </c>
      <c r="D68" s="3077" t="s">
        <v>1814</v>
      </c>
      <c r="E68" s="628"/>
      <c r="F68" s="628"/>
      <c r="G68" s="628"/>
      <c r="H68" s="3086">
        <f>IF(SUM(H69:H73)=0,"NO",SUM(H69:H73))</f>
        <v>3350.4080752423852</v>
      </c>
      <c r="I68" s="3086">
        <f t="shared" ref="I68:K68" si="36">IF(SUM(I69:I74)=0,"NO",SUM(I69:I74))</f>
        <v>3.8385930204401848E-2</v>
      </c>
      <c r="J68" s="3086">
        <f t="shared" si="36"/>
        <v>3.0554790807391163E-2</v>
      </c>
      <c r="K68" s="3069" t="str">
        <f t="shared" si="36"/>
        <v>NO</v>
      </c>
    </row>
    <row r="69" spans="2:11" ht="18" customHeight="1" x14ac:dyDescent="0.2">
      <c r="B69" s="282" t="s">
        <v>132</v>
      </c>
      <c r="C69" s="3033">
        <v>875.80000000000018</v>
      </c>
      <c r="D69" s="3076" t="s">
        <v>1814</v>
      </c>
      <c r="E69" s="1913">
        <f>IFERROR(H69*1000/$C69,"NA")</f>
        <v>73.599999999999994</v>
      </c>
      <c r="F69" s="1913">
        <f t="shared" ref="F69:G74" si="37">IFERROR(I69*1000000/$C69,"NA")</f>
        <v>2.019047619047619</v>
      </c>
      <c r="G69" s="1913">
        <f t="shared" si="37"/>
        <v>0.5161904761904762</v>
      </c>
      <c r="H69" s="3033">
        <v>64.458880000000008</v>
      </c>
      <c r="I69" s="3033">
        <v>1.768281904761905E-3</v>
      </c>
      <c r="J69" s="3033">
        <v>4.5207961904761913E-4</v>
      </c>
      <c r="K69" s="3072" t="s">
        <v>2146</v>
      </c>
    </row>
    <row r="70" spans="2:11" ht="18" customHeight="1" x14ac:dyDescent="0.2">
      <c r="B70" s="282" t="s">
        <v>133</v>
      </c>
      <c r="C70" s="3033">
        <v>38117.431490624789</v>
      </c>
      <c r="D70" s="3076" t="s">
        <v>1814</v>
      </c>
      <c r="E70" s="1913">
        <f t="shared" ref="E70:E74" si="38">IFERROR(H70*1000/$C70,"NA")</f>
        <v>86.20594480639609</v>
      </c>
      <c r="F70" s="1913">
        <f t="shared" si="37"/>
        <v>0.96065361352184164</v>
      </c>
      <c r="G70" s="1913">
        <f t="shared" si="37"/>
        <v>0.78973608690678665</v>
      </c>
      <c r="H70" s="3033">
        <v>3285.949195242385</v>
      </c>
      <c r="I70" s="3033">
        <v>3.6617648299639941E-2</v>
      </c>
      <c r="J70" s="3033">
        <v>3.0102711188343543E-2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90900</v>
      </c>
      <c r="D75" s="3077" t="s">
        <v>1814</v>
      </c>
      <c r="E75" s="628"/>
      <c r="F75" s="628"/>
      <c r="G75" s="628"/>
      <c r="H75" s="3086">
        <f>IF(SUM(H76:H80)=0,"NO",SUM(H76:H80))</f>
        <v>4683.0958219525937</v>
      </c>
      <c r="I75" s="3086">
        <f t="shared" ref="I75:K75" si="39">IF(SUM(I76:I81)=0,"NO",SUM(I76:I81))</f>
        <v>4.4292646977431884</v>
      </c>
      <c r="J75" s="3086">
        <f t="shared" si="39"/>
        <v>8.0969486875420868E-2</v>
      </c>
      <c r="K75" s="3069" t="str">
        <f t="shared" si="39"/>
        <v>NO</v>
      </c>
    </row>
    <row r="76" spans="2:11" ht="18" customHeight="1" x14ac:dyDescent="0.2">
      <c r="B76" s="282" t="s">
        <v>132</v>
      </c>
      <c r="C76" s="3033">
        <v>550</v>
      </c>
      <c r="D76" s="3076" t="s">
        <v>1814</v>
      </c>
      <c r="E76" s="1913">
        <f>IFERROR(H76*1000/$C76,"NA")</f>
        <v>69.143636363636361</v>
      </c>
      <c r="F76" s="1913">
        <f t="shared" ref="F76:G81" si="40">IFERROR(I76*1000000/$C76,"NA")</f>
        <v>2.4020348244348249</v>
      </c>
      <c r="G76" s="1913">
        <f t="shared" si="40"/>
        <v>1.8657529966329971</v>
      </c>
      <c r="H76" s="3033">
        <v>38.029000000000003</v>
      </c>
      <c r="I76" s="3033">
        <v>1.3211191534391537E-3</v>
      </c>
      <c r="J76" s="3033">
        <v>1.0261641481481482E-3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90350</v>
      </c>
      <c r="D78" s="3076" t="s">
        <v>1814</v>
      </c>
      <c r="E78" s="1913">
        <f t="shared" si="41"/>
        <v>51.411918339265007</v>
      </c>
      <c r="F78" s="1913">
        <f t="shared" si="40"/>
        <v>49.008783382288321</v>
      </c>
      <c r="G78" s="1913">
        <f t="shared" si="40"/>
        <v>0.88481818181818173</v>
      </c>
      <c r="H78" s="3033">
        <v>4645.0668219525933</v>
      </c>
      <c r="I78" s="3033">
        <v>4.4279435785897494</v>
      </c>
      <c r="J78" s="3033">
        <v>7.9943322727272725E-2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20892.82134433962</v>
      </c>
      <c r="D82" s="3077" t="s">
        <v>1814</v>
      </c>
      <c r="E82" s="628"/>
      <c r="F82" s="628"/>
      <c r="G82" s="628"/>
      <c r="H82" s="3086">
        <f>IF(SUM(H83:H87)=0,"NO",SUM(H83:H87))</f>
        <v>1326.7719093003623</v>
      </c>
      <c r="I82" s="3086">
        <f t="shared" ref="I82:K82" si="42">IF(SUM(I83:I88)=0,"NO",SUM(I83:I88))</f>
        <v>7.3697945610550875E-2</v>
      </c>
      <c r="J82" s="3086">
        <f t="shared" si="42"/>
        <v>5.5168678740556427E-2</v>
      </c>
      <c r="K82" s="3069" t="str">
        <f t="shared" si="42"/>
        <v>NO</v>
      </c>
    </row>
    <row r="83" spans="2:11" ht="18" customHeight="1" x14ac:dyDescent="0.2">
      <c r="B83" s="282" t="s">
        <v>132</v>
      </c>
      <c r="C83" s="3033">
        <v>13569.999999999998</v>
      </c>
      <c r="D83" s="3076" t="s">
        <v>1814</v>
      </c>
      <c r="E83" s="1913">
        <f>IFERROR(H83*1000/$C83,"NA")</f>
        <v>69.899336772291818</v>
      </c>
      <c r="F83" s="1913">
        <f t="shared" ref="F83:G88" si="43">IFERROR(I83*1000000/$C83,"NA")</f>
        <v>3.5863825227365842</v>
      </c>
      <c r="G83" s="1913">
        <f t="shared" si="43"/>
        <v>3.5749129275991458</v>
      </c>
      <c r="H83" s="3033">
        <v>948.53399999999988</v>
      </c>
      <c r="I83" s="3033">
        <v>4.8667210833535444E-2</v>
      </c>
      <c r="J83" s="3033">
        <v>4.8511568427520406E-2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7322.8213443396216</v>
      </c>
      <c r="D85" s="3076" t="s">
        <v>1814</v>
      </c>
      <c r="E85" s="1913">
        <f t="shared" si="44"/>
        <v>51.651937349629861</v>
      </c>
      <c r="F85" s="1913">
        <f t="shared" si="43"/>
        <v>3.4181818181818184</v>
      </c>
      <c r="G85" s="1913">
        <f t="shared" si="43"/>
        <v>0.90909090909090906</v>
      </c>
      <c r="H85" s="3033">
        <v>378.23790930036245</v>
      </c>
      <c r="I85" s="3033">
        <v>2.5030734777015437E-2</v>
      </c>
      <c r="J85" s="3033">
        <v>6.6571103130360198E-3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24616952.79525318</v>
      </c>
      <c r="G10" s="3657" t="s">
        <v>2147</v>
      </c>
      <c r="H10" s="3658">
        <f t="shared" ref="H10:H13" si="0">IF(SUM($F10)=0,"NA",K10*1000/$F10)</f>
        <v>2.3020660448692727E-2</v>
      </c>
      <c r="I10" s="3659">
        <f t="shared" ref="I10:I13" si="1">IF(SUM($F10)=0,"NA",L10*1000/$F10)</f>
        <v>4.6056322406731195E-4</v>
      </c>
      <c r="J10" s="3499" t="str">
        <f>IF(SUM(J11,J25,J36,J48,J59,J70,J76)=0,"IE",SUM(J11,J25,J36,J48,J59,J70,J76))</f>
        <v>IE</v>
      </c>
      <c r="K10" s="3500">
        <f>IF(SUM(K11,K25,K36,K48,K59,K70,K76)=0,"NO",SUM(K11,K25,K36,K48,K59,K70,K76))</f>
        <v>566.69851158102074</v>
      </c>
      <c r="L10" s="3501">
        <f>IF(SUM(L11,L25,L36,L48,L59,L70,L76)=0,"NO",SUM(L11,L25,L36,L48,L59,L70,L76))</f>
        <v>11.337663146094632</v>
      </c>
    </row>
    <row r="11" spans="2:13" ht="18" customHeight="1" x14ac:dyDescent="0.2">
      <c r="B11" s="933" t="s">
        <v>1985</v>
      </c>
      <c r="C11" s="934"/>
      <c r="D11" s="2850"/>
      <c r="E11" s="2854" t="s">
        <v>2250</v>
      </c>
      <c r="F11" s="3679">
        <f>IF(SUM(F12,F19)=0,"NO",SUM(F12,F19))</f>
        <v>6502574.5754177375</v>
      </c>
      <c r="G11" s="3660" t="s">
        <v>2147</v>
      </c>
      <c r="H11" s="3661">
        <f t="shared" si="0"/>
        <v>3.8528181853245649E-2</v>
      </c>
      <c r="I11" s="3662">
        <f t="shared" si="1"/>
        <v>6.3287527265337479E-4</v>
      </c>
      <c r="J11" s="3502" t="str">
        <f>IF(SUM(J12,J19)=0,"IE",SUM(J12,J19))</f>
        <v>IE</v>
      </c>
      <c r="K11" s="3503">
        <f>IF(SUM(K12,K19)=0,"NO",SUM(K12,K19))</f>
        <v>250.53237575598624</v>
      </c>
      <c r="L11" s="3504">
        <f>IF(SUM(L12,L19)=0,"NO",SUM(L12,L19))</f>
        <v>4.1153186573664033</v>
      </c>
      <c r="M11" s="482"/>
    </row>
    <row r="12" spans="2:13" ht="18" customHeight="1" x14ac:dyDescent="0.2">
      <c r="B12" s="903" t="s">
        <v>1912</v>
      </c>
      <c r="C12" s="476"/>
      <c r="D12" s="298"/>
      <c r="E12" s="2852" t="s">
        <v>2250</v>
      </c>
      <c r="F12" s="3680">
        <f>IF(SUM(F13,F17)=0,"NO",SUM(F13,F17))</f>
        <v>6493552.1228992958</v>
      </c>
      <c r="G12" s="3663" t="str">
        <f>IFERROR(IF(SUM($F12)=0,"NA",J12*1000/$F12),"NA")</f>
        <v>NA</v>
      </c>
      <c r="H12" s="3664">
        <f t="shared" si="0"/>
        <v>3.8508746889422109E-2</v>
      </c>
      <c r="I12" s="3665">
        <f t="shared" si="1"/>
        <v>6.3262317847040948E-4</v>
      </c>
      <c r="J12" s="3505" t="str">
        <f>IF(SUM(J13,J17)=0,"IE",SUM(J13,J17))</f>
        <v>IE</v>
      </c>
      <c r="K12" s="3506">
        <f>IF(SUM(K13,K17)=0,"NO",SUM(K13,K17))</f>
        <v>250.05855511399858</v>
      </c>
      <c r="L12" s="3507">
        <f>IF(SUM(L13,L17)=0,"NO",SUM(L13,L17))</f>
        <v>4.1079715835518273</v>
      </c>
    </row>
    <row r="13" spans="2:13" ht="18" customHeight="1" x14ac:dyDescent="0.2">
      <c r="B13" s="923" t="s">
        <v>1270</v>
      </c>
      <c r="C13" s="476"/>
      <c r="D13" s="298"/>
      <c r="E13" s="2852" t="s">
        <v>2250</v>
      </c>
      <c r="F13" s="3681">
        <f>IF(SUM(F14:F16)=0,"NO",SUM(F14:F16))</f>
        <v>6295118.8155329265</v>
      </c>
      <c r="G13" s="3666" t="str">
        <f t="shared" ref="G13:G76" si="2">IFERROR(IF(SUM($F13)=0,"NA",J13*1000/$F13),"NA")</f>
        <v>NA</v>
      </c>
      <c r="H13" s="3667">
        <f t="shared" si="0"/>
        <v>3.0779773167955563E-2</v>
      </c>
      <c r="I13" s="3668">
        <f t="shared" si="1"/>
        <v>5.6887016846298029E-4</v>
      </c>
      <c r="J13" s="3505" t="str">
        <f>IF(SUM(J14:J16)=0,"IE",SUM(J14:J16))</f>
        <v>IE</v>
      </c>
      <c r="K13" s="3505">
        <f>IF(SUM(K14:K16)=0,"NO",SUM(K14:K16))</f>
        <v>193.76232920743257</v>
      </c>
      <c r="L13" s="3508">
        <f>IF(SUM(L14:L16)=0,"NO",SUM(L14:L16))</f>
        <v>3.5811053010866924</v>
      </c>
      <c r="M13" s="482"/>
    </row>
    <row r="14" spans="2:13" ht="24" x14ac:dyDescent="0.2">
      <c r="B14" s="923"/>
      <c r="C14" s="4367" t="s">
        <v>2247</v>
      </c>
      <c r="D14" s="542" t="s">
        <v>940</v>
      </c>
      <c r="E14" s="2851" t="s">
        <v>2250</v>
      </c>
      <c r="F14" s="3654">
        <v>443770.27983402589</v>
      </c>
      <c r="G14" s="3666" t="str">
        <f t="shared" si="2"/>
        <v>NA</v>
      </c>
      <c r="H14" s="3667">
        <f>IF(SUM($F14)=0,"NA",K14*1000/$F14)</f>
        <v>0.11063849831354826</v>
      </c>
      <c r="I14" s="3668">
        <f>IF(SUM($F14)=0,"NA",L14*1000/$F14)</f>
        <v>1.2062729976075658E-3</v>
      </c>
      <c r="J14" s="3509" t="s">
        <v>2153</v>
      </c>
      <c r="K14" s="3510">
        <v>49.098077357019712</v>
      </c>
      <c r="L14" s="3511">
        <v>0.53530810570453868</v>
      </c>
      <c r="M14" s="482"/>
    </row>
    <row r="15" spans="2:13" ht="18" customHeight="1" x14ac:dyDescent="0.2">
      <c r="B15" s="923"/>
      <c r="C15" s="4367" t="s">
        <v>2248</v>
      </c>
      <c r="D15" s="542" t="s">
        <v>940</v>
      </c>
      <c r="E15" s="543" t="s">
        <v>2250</v>
      </c>
      <c r="F15" s="3655">
        <v>73144.612482379627</v>
      </c>
      <c r="G15" s="3666" t="str">
        <f t="shared" si="2"/>
        <v>NA</v>
      </c>
      <c r="H15" s="3667">
        <f t="shared" ref="H15:H77" si="3">IF(SUM($F15)=0,"NA",K15*1000/$F15)</f>
        <v>0.21948438606621357</v>
      </c>
      <c r="I15" s="3668">
        <f t="shared" ref="I15:I77" si="4">IF(SUM($F15)=0,"NA",L15*1000/$F15)</f>
        <v>4.0574127479740315E-3</v>
      </c>
      <c r="J15" s="3509" t="s">
        <v>2153</v>
      </c>
      <c r="K15" s="3510">
        <v>16.054100364746194</v>
      </c>
      <c r="L15" s="3512">
        <v>0.29677788313162756</v>
      </c>
      <c r="M15" s="482"/>
    </row>
    <row r="16" spans="2:13" ht="18" customHeight="1" x14ac:dyDescent="0.2">
      <c r="B16" s="923"/>
      <c r="C16" s="4367" t="s">
        <v>2263</v>
      </c>
      <c r="D16" s="542" t="s">
        <v>940</v>
      </c>
      <c r="E16" s="543" t="s">
        <v>2250</v>
      </c>
      <c r="F16" s="3655">
        <v>5778203.9232165208</v>
      </c>
      <c r="G16" s="3666" t="str">
        <f t="shared" si="2"/>
        <v>NA</v>
      </c>
      <c r="H16" s="3667">
        <f t="shared" si="3"/>
        <v>2.2257807650041189E-2</v>
      </c>
      <c r="I16" s="3668">
        <f t="shared" si="4"/>
        <v>4.7575671415906774E-4</v>
      </c>
      <c r="J16" s="3509" t="s">
        <v>2153</v>
      </c>
      <c r="K16" s="3510">
        <v>128.61015148566668</v>
      </c>
      <c r="L16" s="3512">
        <v>2.749019312250526</v>
      </c>
      <c r="M16" s="482"/>
    </row>
    <row r="17" spans="2:13" ht="18" customHeight="1" x14ac:dyDescent="0.2">
      <c r="B17" s="923" t="s">
        <v>1271</v>
      </c>
      <c r="C17" s="4368"/>
      <c r="D17" s="298"/>
      <c r="E17" s="5" t="s">
        <v>2250</v>
      </c>
      <c r="F17" s="3681">
        <f>F18</f>
        <v>198433.30736636952</v>
      </c>
      <c r="G17" s="3666" t="str">
        <f t="shared" si="2"/>
        <v>NA</v>
      </c>
      <c r="H17" s="3667">
        <f t="shared" si="3"/>
        <v>0.28370351053326792</v>
      </c>
      <c r="I17" s="3668">
        <f t="shared" si="4"/>
        <v>2.6551302775616003E-3</v>
      </c>
      <c r="J17" s="3505" t="str">
        <f>J18</f>
        <v>IE</v>
      </c>
      <c r="K17" s="3505">
        <f>K18</f>
        <v>56.296225906566001</v>
      </c>
      <c r="L17" s="3508">
        <f>L18</f>
        <v>0.52686628246513512</v>
      </c>
      <c r="M17" s="482"/>
    </row>
    <row r="18" spans="2:13" ht="18" customHeight="1" x14ac:dyDescent="0.2">
      <c r="B18" s="923"/>
      <c r="C18" s="4367" t="s">
        <v>2249</v>
      </c>
      <c r="D18" s="542" t="s">
        <v>940</v>
      </c>
      <c r="E18" s="543" t="s">
        <v>2250</v>
      </c>
      <c r="F18" s="3654">
        <v>198433.30736636952</v>
      </c>
      <c r="G18" s="3666" t="str">
        <f t="shared" si="2"/>
        <v>NA</v>
      </c>
      <c r="H18" s="3667">
        <f t="shared" si="3"/>
        <v>0.28370351053326792</v>
      </c>
      <c r="I18" s="3668">
        <f t="shared" si="4"/>
        <v>2.6551302775616003E-3</v>
      </c>
      <c r="J18" s="3509" t="s">
        <v>2153</v>
      </c>
      <c r="K18" s="3510">
        <v>56.296225906566001</v>
      </c>
      <c r="L18" s="3511">
        <v>0.52686628246513512</v>
      </c>
      <c r="M18" s="482"/>
    </row>
    <row r="19" spans="2:13" ht="18" customHeight="1" x14ac:dyDescent="0.2">
      <c r="B19" s="903" t="s">
        <v>1272</v>
      </c>
      <c r="C19" s="4368"/>
      <c r="D19" s="298"/>
      <c r="E19" s="5" t="s">
        <v>2250</v>
      </c>
      <c r="F19" s="3682">
        <f>IF(SUM(F20,F23)=0,"NO",SUM(F20,F23))</f>
        <v>9022.4525184416452</v>
      </c>
      <c r="G19" s="3663" t="s">
        <v>2147</v>
      </c>
      <c r="H19" s="3664">
        <f t="shared" si="3"/>
        <v>5.2515725742992451E-2</v>
      </c>
      <c r="I19" s="3665">
        <f t="shared" si="4"/>
        <v>8.1431005589208691E-4</v>
      </c>
      <c r="J19" s="3505" t="str">
        <f>IF(SUM(J20,J23)=0,"IE",SUM(J20,J23))</f>
        <v>IE</v>
      </c>
      <c r="K19" s="3506">
        <f>IF(SUM(K20,K23)=0,"NO",SUM(K20,K23))</f>
        <v>0.473820641987653</v>
      </c>
      <c r="L19" s="3507">
        <f>IF(SUM(L20,L23)=0,"NO",SUM(L20,L23))</f>
        <v>7.3470738145759171E-3</v>
      </c>
    </row>
    <row r="20" spans="2:13" ht="18" customHeight="1" x14ac:dyDescent="0.2">
      <c r="B20" s="923" t="s">
        <v>1273</v>
      </c>
      <c r="C20" s="4368"/>
      <c r="D20" s="298"/>
      <c r="E20" s="5" t="s">
        <v>2250</v>
      </c>
      <c r="F20" s="3681">
        <f>IF(SUM(F21:F22)=0,"NO",SUM(F21:F22))</f>
        <v>6372.0335556625132</v>
      </c>
      <c r="G20" s="3666" t="str">
        <f t="shared" si="2"/>
        <v>NA</v>
      </c>
      <c r="H20" s="3667">
        <f t="shared" si="3"/>
        <v>4.4828943313132592E-2</v>
      </c>
      <c r="I20" s="3668">
        <f t="shared" si="4"/>
        <v>8.6178244742753931E-4</v>
      </c>
      <c r="J20" s="3505" t="str">
        <f>IF(SUM(J21:J22)=0,"IE",SUM(J21:J22))</f>
        <v>IE</v>
      </c>
      <c r="K20" s="3505">
        <f>IF(SUM(K21:K22)=0,"NO",SUM(K21:K22))</f>
        <v>0.28565153105617352</v>
      </c>
      <c r="L20" s="3508">
        <f>IF(SUM(L21:L22)=0,"NO",SUM(L21:L22))</f>
        <v>5.4913066726892459E-3</v>
      </c>
      <c r="M20" s="482"/>
    </row>
    <row r="21" spans="2:13" ht="18" customHeight="1" x14ac:dyDescent="0.2">
      <c r="B21" s="923"/>
      <c r="C21" s="4367" t="s">
        <v>2248</v>
      </c>
      <c r="D21" s="542" t="s">
        <v>940</v>
      </c>
      <c r="E21" s="543" t="s">
        <v>2250</v>
      </c>
      <c r="F21" s="3654">
        <v>432.32335709740062</v>
      </c>
      <c r="G21" s="3666" t="str">
        <f t="shared" si="2"/>
        <v>NA</v>
      </c>
      <c r="H21" s="3667">
        <f t="shared" si="3"/>
        <v>0.43002034251517429</v>
      </c>
      <c r="I21" s="3668">
        <f t="shared" si="4"/>
        <v>7.9494038317735691E-3</v>
      </c>
      <c r="J21" s="3509" t="s">
        <v>2153</v>
      </c>
      <c r="K21" s="3510">
        <v>0.18590783809633421</v>
      </c>
      <c r="L21" s="3511">
        <v>3.4367129514752894E-3</v>
      </c>
      <c r="M21" s="482"/>
    </row>
    <row r="22" spans="2:13" ht="18" customHeight="1" x14ac:dyDescent="0.2">
      <c r="B22" s="923"/>
      <c r="C22" s="4367" t="s">
        <v>2263</v>
      </c>
      <c r="D22" s="542" t="s">
        <v>940</v>
      </c>
      <c r="E22" s="543" t="s">
        <v>2250</v>
      </c>
      <c r="F22" s="3655">
        <v>5939.7101985651125</v>
      </c>
      <c r="G22" s="3666" t="str">
        <f t="shared" si="2"/>
        <v>NA</v>
      </c>
      <c r="H22" s="3667">
        <f t="shared" si="3"/>
        <v>1.6792686785280352E-2</v>
      </c>
      <c r="I22" s="3668">
        <f t="shared" si="4"/>
        <v>3.4590807506236515E-4</v>
      </c>
      <c r="J22" s="3509" t="s">
        <v>2153</v>
      </c>
      <c r="K22" s="3510">
        <v>9.97436929598393E-2</v>
      </c>
      <c r="L22" s="3512">
        <v>2.0545937212139566E-3</v>
      </c>
      <c r="M22" s="482"/>
    </row>
    <row r="23" spans="2:13" ht="18" customHeight="1" x14ac:dyDescent="0.2">
      <c r="B23" s="923" t="s">
        <v>1274</v>
      </c>
      <c r="C23" s="4368"/>
      <c r="D23" s="298"/>
      <c r="E23" s="5" t="s">
        <v>2250</v>
      </c>
      <c r="F23" s="3681">
        <f>F24</f>
        <v>2650.418962779132</v>
      </c>
      <c r="G23" s="3666" t="str">
        <f t="shared" si="2"/>
        <v>NA</v>
      </c>
      <c r="H23" s="3667">
        <f t="shared" si="3"/>
        <v>7.0995987266168764E-2</v>
      </c>
      <c r="I23" s="3668">
        <f t="shared" si="4"/>
        <v>7.0017878982452716E-4</v>
      </c>
      <c r="J23" s="3505" t="str">
        <f>J24</f>
        <v>IE</v>
      </c>
      <c r="K23" s="3505">
        <f>K24</f>
        <v>0.18816911093147948</v>
      </c>
      <c r="L23" s="3508">
        <f>L24</f>
        <v>1.8557671418866712E-3</v>
      </c>
      <c r="M23" s="482"/>
    </row>
    <row r="24" spans="2:13" ht="18" customHeight="1" thickBot="1" x14ac:dyDescent="0.25">
      <c r="B24" s="938"/>
      <c r="C24" s="4369" t="s">
        <v>2251</v>
      </c>
      <c r="D24" s="939" t="s">
        <v>940</v>
      </c>
      <c r="E24" s="940" t="s">
        <v>2250</v>
      </c>
      <c r="F24" s="3656">
        <v>2650.418962779132</v>
      </c>
      <c r="G24" s="3669" t="str">
        <f t="shared" si="2"/>
        <v>NA</v>
      </c>
      <c r="H24" s="3670">
        <f t="shared" si="3"/>
        <v>7.0995987266168764E-2</v>
      </c>
      <c r="I24" s="3671">
        <f t="shared" si="4"/>
        <v>7.0017878982452716E-4</v>
      </c>
      <c r="J24" s="3513" t="s">
        <v>2153</v>
      </c>
      <c r="K24" s="3514">
        <v>0.18816911093147948</v>
      </c>
      <c r="L24" s="3515">
        <v>1.8557671418866712E-3</v>
      </c>
      <c r="M24" s="482"/>
    </row>
    <row r="25" spans="2:13" ht="18" customHeight="1" x14ac:dyDescent="0.2">
      <c r="B25" s="933" t="s">
        <v>1986</v>
      </c>
      <c r="C25" s="4370"/>
      <c r="D25" s="2850"/>
      <c r="E25" s="935" t="s">
        <v>2250</v>
      </c>
      <c r="F25" s="3683">
        <f>IF(SUM(F26,F31)=0,"IE",SUM(F26,F31))</f>
        <v>44290</v>
      </c>
      <c r="G25" s="3660" t="str">
        <f t="shared" si="2"/>
        <v>NA</v>
      </c>
      <c r="H25" s="3661">
        <f t="shared" si="3"/>
        <v>0.22986987581846921</v>
      </c>
      <c r="I25" s="3662">
        <f t="shared" si="4"/>
        <v>4.2494000654775344E-3</v>
      </c>
      <c r="J25" s="3502" t="str">
        <f>IF(SUM(J26,J31)=0,"IE",SUM(J26,J31))</f>
        <v>IE</v>
      </c>
      <c r="K25" s="3503">
        <f>IF(SUM(K26,K31)=0,"IE",SUM(K26,K31))</f>
        <v>10.180936800000001</v>
      </c>
      <c r="L25" s="3504">
        <f>IF(SUM(L26,L31)=0,"IE",SUM(L26,L31))</f>
        <v>0.18820592890000001</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44290</v>
      </c>
      <c r="G31" s="3663" t="str">
        <f t="shared" si="2"/>
        <v>NA</v>
      </c>
      <c r="H31" s="3664">
        <f t="shared" si="3"/>
        <v>0.22986987581846921</v>
      </c>
      <c r="I31" s="3665">
        <f t="shared" si="4"/>
        <v>4.2494000654775344E-3</v>
      </c>
      <c r="J31" s="3505" t="str">
        <f>IF(SUM(J32,J34)=0,"IE",SUM(J32,J34))</f>
        <v>IE</v>
      </c>
      <c r="K31" s="3505">
        <f t="shared" ref="K31:L31" si="6">IF(SUM(K32,K34)=0,"IE",SUM(K32,K34))</f>
        <v>10.180936800000001</v>
      </c>
      <c r="L31" s="3508">
        <f t="shared" si="6"/>
        <v>0.18820592890000001</v>
      </c>
    </row>
    <row r="32" spans="2:13" ht="18" customHeight="1" x14ac:dyDescent="0.2">
      <c r="B32" s="923" t="s">
        <v>1278</v>
      </c>
      <c r="C32" s="4368"/>
      <c r="D32" s="298"/>
      <c r="E32" s="5" t="s">
        <v>2250</v>
      </c>
      <c r="F32" s="3681">
        <f>F33</f>
        <v>44290</v>
      </c>
      <c r="G32" s="3663" t="str">
        <f t="shared" si="2"/>
        <v>NA</v>
      </c>
      <c r="H32" s="3664">
        <f t="shared" si="3"/>
        <v>0.22986987581846921</v>
      </c>
      <c r="I32" s="3665">
        <f t="shared" si="4"/>
        <v>4.2494000654775344E-3</v>
      </c>
      <c r="J32" s="3505" t="str">
        <f>J33</f>
        <v>IE</v>
      </c>
      <c r="K32" s="3505">
        <f>K33</f>
        <v>10.180936800000001</v>
      </c>
      <c r="L32" s="3508">
        <f>L33</f>
        <v>0.18820592890000001</v>
      </c>
      <c r="M32" s="482"/>
    </row>
    <row r="33" spans="2:13" ht="18" customHeight="1" x14ac:dyDescent="0.2">
      <c r="B33" s="923"/>
      <c r="C33" s="4367" t="s">
        <v>2252</v>
      </c>
      <c r="D33" s="542" t="s">
        <v>940</v>
      </c>
      <c r="E33" s="543" t="s">
        <v>2250</v>
      </c>
      <c r="F33" s="3654">
        <v>44290</v>
      </c>
      <c r="G33" s="3666" t="str">
        <f t="shared" si="2"/>
        <v>NA</v>
      </c>
      <c r="H33" s="3667">
        <f t="shared" si="3"/>
        <v>0.22986987581846921</v>
      </c>
      <c r="I33" s="3668">
        <f t="shared" si="4"/>
        <v>4.2494000654775344E-3</v>
      </c>
      <c r="J33" s="3509" t="s">
        <v>2153</v>
      </c>
      <c r="K33" s="3510">
        <v>10.180936800000001</v>
      </c>
      <c r="L33" s="3511">
        <v>0.18820592890000001</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17569776.779163595</v>
      </c>
      <c r="G36" s="3660" t="str">
        <f t="shared" si="2"/>
        <v>NA</v>
      </c>
      <c r="H36" s="3661">
        <f t="shared" ref="H36" si="7">IF(SUM($F36)=0,"NA",K36*1000/$F36)</f>
        <v>1.6550757476698055E-2</v>
      </c>
      <c r="I36" s="3662">
        <f t="shared" ref="I36" si="8">IF(SUM($F36)=0,"NA",L36*1000/$F36)</f>
        <v>3.8211389100929988E-4</v>
      </c>
      <c r="J36" s="3502" t="str">
        <f>IF(SUM(J37,J42)=0,"IE",SUM(J37,J42))</f>
        <v>IE</v>
      </c>
      <c r="K36" s="3503">
        <f>IF(SUM(K37,K42)=0,"NO",SUM(K37,K42))</f>
        <v>290.79311439165775</v>
      </c>
      <c r="L36" s="3504">
        <f>IF(SUM(L37,L42)=0,"NO",SUM(L37,L42))</f>
        <v>6.7136557692510461</v>
      </c>
      <c r="M36" s="482"/>
    </row>
    <row r="37" spans="2:13" ht="18" customHeight="1" x14ac:dyDescent="0.2">
      <c r="B37" s="903" t="s">
        <v>1876</v>
      </c>
      <c r="C37" s="4368"/>
      <c r="D37" s="298"/>
      <c r="E37" s="5" t="s">
        <v>2250</v>
      </c>
      <c r="F37" s="3680">
        <f>IF(SUM(F38,F40)=0,"NO",SUM(F38,F40))</f>
        <v>16810556.161396943</v>
      </c>
      <c r="G37" s="3666" t="str">
        <f t="shared" si="2"/>
        <v>NA</v>
      </c>
      <c r="H37" s="3664">
        <f t="shared" si="3"/>
        <v>9.2924910658220283E-3</v>
      </c>
      <c r="I37" s="3665">
        <f t="shared" si="4"/>
        <v>2.5118204691200431E-4</v>
      </c>
      <c r="J37" s="3505" t="str">
        <f>IF(SUM(J38,J40)=0,"IE",SUM(J38,J40))</f>
        <v>IE</v>
      </c>
      <c r="K37" s="3506">
        <f>IF(SUM(K38,K40)=0,"NO",SUM(K38,K40))</f>
        <v>156.21194294128054</v>
      </c>
      <c r="L37" s="3507">
        <f>IF(SUM(L38,L40)=0,"NO",SUM(L38,L40))</f>
        <v>4.2225099063488898</v>
      </c>
    </row>
    <row r="38" spans="2:13" ht="18" customHeight="1" x14ac:dyDescent="0.2">
      <c r="B38" s="923" t="s">
        <v>1280</v>
      </c>
      <c r="C38" s="4368"/>
      <c r="D38" s="298"/>
      <c r="E38" s="5" t="s">
        <v>2250</v>
      </c>
      <c r="F38" s="3681">
        <f>F39</f>
        <v>16810556.161396943</v>
      </c>
      <c r="G38" s="3666" t="str">
        <f t="shared" si="2"/>
        <v>NA</v>
      </c>
      <c r="H38" s="3667">
        <f t="shared" si="3"/>
        <v>9.2924910658220283E-3</v>
      </c>
      <c r="I38" s="3668">
        <f t="shared" si="4"/>
        <v>2.5118204691200431E-4</v>
      </c>
      <c r="J38" s="3505" t="str">
        <f>J39</f>
        <v>IE</v>
      </c>
      <c r="K38" s="3505">
        <f>K39</f>
        <v>156.21194294128054</v>
      </c>
      <c r="L38" s="3508">
        <f>L39</f>
        <v>4.2225099063488898</v>
      </c>
      <c r="M38" s="482"/>
    </row>
    <row r="39" spans="2:13" ht="18" customHeight="1" x14ac:dyDescent="0.2">
      <c r="B39" s="923"/>
      <c r="C39" s="4367" t="s">
        <v>2263</v>
      </c>
      <c r="D39" s="542" t="s">
        <v>940</v>
      </c>
      <c r="E39" s="543" t="s">
        <v>2250</v>
      </c>
      <c r="F39" s="3655">
        <v>16810556.161396943</v>
      </c>
      <c r="G39" s="3666" t="str">
        <f t="shared" si="2"/>
        <v>NA</v>
      </c>
      <c r="H39" s="3667">
        <f t="shared" ref="H39:H40" si="9">IF(SUM($F39)=0,"NA",K39*1000/$F39)</f>
        <v>9.2924910658220283E-3</v>
      </c>
      <c r="I39" s="3668">
        <f t="shared" ref="I39:I40" si="10">IF(SUM($F39)=0,"NA",L39*1000/$F39)</f>
        <v>2.5118204691200431E-4</v>
      </c>
      <c r="J39" s="3509" t="s">
        <v>2153</v>
      </c>
      <c r="K39" s="3510">
        <v>156.21194294128054</v>
      </c>
      <c r="L39" s="3512">
        <v>4.2225099063488898</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759220.61776665167</v>
      </c>
      <c r="G42" s="3663" t="str">
        <f t="shared" si="2"/>
        <v>NA</v>
      </c>
      <c r="H42" s="3664">
        <f t="shared" si="11"/>
        <v>0.17726227173106232</v>
      </c>
      <c r="I42" s="3665">
        <f t="shared" si="12"/>
        <v>3.2811883721364054E-3</v>
      </c>
      <c r="J42" s="3505" t="str">
        <f>IF(SUM(J43,J46)=0,"IE",SUM(J43,J46))</f>
        <v>IE</v>
      </c>
      <c r="K42" s="3506">
        <f>IF(SUM(K43,K46)=0,"NO",SUM(K43,K46))</f>
        <v>134.58117145037721</v>
      </c>
      <c r="L42" s="3507">
        <f>IF(SUM(L43,L46)=0,"NO",SUM(L43,L46))</f>
        <v>2.4911458629021559</v>
      </c>
    </row>
    <row r="43" spans="2:13" ht="18" customHeight="1" x14ac:dyDescent="0.2">
      <c r="B43" s="923" t="s">
        <v>1283</v>
      </c>
      <c r="C43" s="4368"/>
      <c r="D43" s="298"/>
      <c r="E43" s="5" t="s">
        <v>2250</v>
      </c>
      <c r="F43" s="3681">
        <f>IF(SUM(F44:F45)=0,"NO",SUM(F44:F45))</f>
        <v>759220.61776665167</v>
      </c>
      <c r="G43" s="3666" t="str">
        <f t="shared" si="2"/>
        <v>NA</v>
      </c>
      <c r="H43" s="3667">
        <f t="shared" ref="H43" si="13">IF(SUM($F43)=0,"NA",K43*1000/$F43)</f>
        <v>0.17726227173106232</v>
      </c>
      <c r="I43" s="3668">
        <f t="shared" ref="I43" si="14">IF(SUM($F43)=0,"NA",L43*1000/$F43)</f>
        <v>3.2811883721364054E-3</v>
      </c>
      <c r="J43" s="3505" t="str">
        <f>IF(SUM(J44:J45)=0,"IE",SUM(J44:J45))</f>
        <v>IE</v>
      </c>
      <c r="K43" s="3505">
        <f>IF(SUM(K44:K45)=0,"NO",SUM(K44:K45))</f>
        <v>134.58117145037721</v>
      </c>
      <c r="L43" s="3508">
        <f>IF(SUM(L44:L45)=0,"NO",SUM(L44:L45))</f>
        <v>2.4911458629021559</v>
      </c>
      <c r="M43" s="482"/>
    </row>
    <row r="44" spans="2:13" ht="18" customHeight="1" x14ac:dyDescent="0.2">
      <c r="B44" s="923"/>
      <c r="C44" s="4367" t="s">
        <v>2252</v>
      </c>
      <c r="D44" s="542" t="s">
        <v>940</v>
      </c>
      <c r="E44" s="543" t="s">
        <v>2250</v>
      </c>
      <c r="F44" s="3655">
        <v>705272</v>
      </c>
      <c r="G44" s="3666" t="str">
        <f t="shared" si="2"/>
        <v>NA</v>
      </c>
      <c r="H44" s="3667">
        <f t="shared" ref="H44:H46" si="15">IF(SUM($F44)=0,"NA",K44*1000/$F44)</f>
        <v>0.18982414841366169</v>
      </c>
      <c r="I44" s="3668">
        <f t="shared" ref="I44:I46" si="16">IF(SUM($F44)=0,"NA",L44*1000/$F44)</f>
        <v>3.5091102991469951E-3</v>
      </c>
      <c r="J44" s="3509" t="s">
        <v>2153</v>
      </c>
      <c r="K44" s="3510">
        <v>133.87765680000001</v>
      </c>
      <c r="L44" s="3512">
        <v>2.4748772388999996</v>
      </c>
      <c r="M44" s="482"/>
    </row>
    <row r="45" spans="2:13" ht="18" customHeight="1" x14ac:dyDescent="0.2">
      <c r="B45" s="923"/>
      <c r="C45" s="4367" t="s">
        <v>2263</v>
      </c>
      <c r="D45" s="542" t="s">
        <v>940</v>
      </c>
      <c r="E45" s="543" t="s">
        <v>2250</v>
      </c>
      <c r="F45" s="3655">
        <v>53948.617766651631</v>
      </c>
      <c r="G45" s="3666" t="str">
        <f t="shared" si="2"/>
        <v>NA</v>
      </c>
      <c r="H45" s="3667">
        <f t="shared" si="15"/>
        <v>1.3040457374091922E-2</v>
      </c>
      <c r="I45" s="3668">
        <f t="shared" si="16"/>
        <v>3.0155775394514079E-4</v>
      </c>
      <c r="J45" s="3509" t="s">
        <v>2153</v>
      </c>
      <c r="K45" s="3510">
        <v>0.70351465037719874</v>
      </c>
      <c r="L45" s="3512">
        <v>1.6268624002156382E-2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476795.44067184761</v>
      </c>
      <c r="G48" s="3660" t="str">
        <f t="shared" si="2"/>
        <v>NA</v>
      </c>
      <c r="H48" s="3661">
        <f t="shared" si="17"/>
        <v>2.1783179425419092E-2</v>
      </c>
      <c r="I48" s="3662">
        <f t="shared" si="18"/>
        <v>4.8582512817400852E-4</v>
      </c>
      <c r="J48" s="3502" t="str">
        <f>IF(SUM(J49,J54)=0,"IE",SUM(J49,J54))</f>
        <v>IE</v>
      </c>
      <c r="K48" s="3503">
        <f>IF(SUM(K49,K54)=0,"NO",SUM(K49,K54))</f>
        <v>10.386120633376621</v>
      </c>
      <c r="L48" s="3504">
        <f>IF(SUM(L49,L54)=0,"NO",SUM(L49,L54))</f>
        <v>0.23163920607718325</v>
      </c>
      <c r="M48" s="482"/>
    </row>
    <row r="49" spans="2:13" ht="18" customHeight="1" x14ac:dyDescent="0.2">
      <c r="B49" s="903" t="s">
        <v>1285</v>
      </c>
      <c r="C49" s="4368"/>
      <c r="D49" s="298"/>
      <c r="E49" s="5" t="s">
        <v>2250</v>
      </c>
      <c r="F49" s="3680">
        <f>IF(SUM(F50,F52)=0,"NO",SUM(F50,F52))</f>
        <v>476795.44067184761</v>
      </c>
      <c r="G49" s="3663" t="str">
        <f t="shared" si="2"/>
        <v>NA</v>
      </c>
      <c r="H49" s="3664">
        <f t="shared" si="17"/>
        <v>2.1783179425419092E-2</v>
      </c>
      <c r="I49" s="3665">
        <f t="shared" si="18"/>
        <v>4.8582512817400852E-4</v>
      </c>
      <c r="J49" s="3505" t="str">
        <f>IF(SUM(J50,J52)=0,"IE",SUM(J50,J52))</f>
        <v>IE</v>
      </c>
      <c r="K49" s="3506">
        <f>IF(SUM(K50,K52)=0,"NO",SUM(K50,K52))</f>
        <v>10.386120633376621</v>
      </c>
      <c r="L49" s="3507">
        <f>IF(SUM(L50,L52)=0,"NO",SUM(L50,L52))</f>
        <v>0.23163920607718325</v>
      </c>
    </row>
    <row r="50" spans="2:13" ht="18" customHeight="1" x14ac:dyDescent="0.2">
      <c r="B50" s="923" t="s">
        <v>1286</v>
      </c>
      <c r="C50" s="4368"/>
      <c r="D50" s="298"/>
      <c r="E50" s="5" t="s">
        <v>2250</v>
      </c>
      <c r="F50" s="3681">
        <f>F51</f>
        <v>476795.44067184761</v>
      </c>
      <c r="G50" s="3666" t="str">
        <f t="shared" si="2"/>
        <v>NA</v>
      </c>
      <c r="H50" s="3667">
        <f t="shared" si="17"/>
        <v>2.1783179425419092E-2</v>
      </c>
      <c r="I50" s="3668">
        <f t="shared" si="18"/>
        <v>4.8582512817400852E-4</v>
      </c>
      <c r="J50" s="3505" t="str">
        <f>J51</f>
        <v>IE</v>
      </c>
      <c r="K50" s="3505">
        <f>K51</f>
        <v>10.386120633376621</v>
      </c>
      <c r="L50" s="3508">
        <f>L51</f>
        <v>0.23163920607718325</v>
      </c>
      <c r="M50" s="482"/>
    </row>
    <row r="51" spans="2:13" ht="18" customHeight="1" x14ac:dyDescent="0.2">
      <c r="B51" s="923"/>
      <c r="C51" s="4367" t="s">
        <v>2263</v>
      </c>
      <c r="D51" s="542" t="s">
        <v>940</v>
      </c>
      <c r="E51" s="543" t="s">
        <v>2250</v>
      </c>
      <c r="F51" s="3655">
        <v>476795.44067184761</v>
      </c>
      <c r="G51" s="3666" t="str">
        <f t="shared" si="2"/>
        <v>NA</v>
      </c>
      <c r="H51" s="3667">
        <f t="shared" si="17"/>
        <v>2.1783179425419092E-2</v>
      </c>
      <c r="I51" s="3668">
        <f t="shared" si="18"/>
        <v>4.8582512817400852E-4</v>
      </c>
      <c r="J51" s="3509" t="s">
        <v>2153</v>
      </c>
      <c r="K51" s="3510">
        <v>10.386120633376621</v>
      </c>
      <c r="L51" s="3512">
        <v>0.23163920607718325</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23516</v>
      </c>
      <c r="G59" s="3660" t="str">
        <f t="shared" si="2"/>
        <v>NA</v>
      </c>
      <c r="H59" s="3661">
        <f t="shared" si="3"/>
        <v>0.20436996087770024</v>
      </c>
      <c r="I59" s="3662">
        <f t="shared" si="4"/>
        <v>3.7780058045585973E-3</v>
      </c>
      <c r="J59" s="3502" t="str">
        <f>IF(SUM(J60,J65)=0,"IE",SUM(J60,J65))</f>
        <v>IE</v>
      </c>
      <c r="K59" s="3503">
        <f>IF(SUM(K60,K65)=0,"NO",SUM(K60,K65))</f>
        <v>4.8059639999999995</v>
      </c>
      <c r="L59" s="3504">
        <f>IF(SUM(L60,L65)=0,"NO",SUM(L60,L65))</f>
        <v>8.8843584499999975E-2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23516</v>
      </c>
      <c r="G65" s="3663" t="str">
        <f t="shared" si="2"/>
        <v>NA</v>
      </c>
      <c r="H65" s="3664">
        <f t="shared" si="3"/>
        <v>0.20436996087770024</v>
      </c>
      <c r="I65" s="3665">
        <f t="shared" si="4"/>
        <v>3.7780058045585973E-3</v>
      </c>
      <c r="J65" s="3505" t="str">
        <f>IF(SUM(J66,J68)=0,"IE",SUM(J66,J68))</f>
        <v>IE</v>
      </c>
      <c r="K65" s="3506">
        <f>IF(SUM(K66,K68)=0,"NO",SUM(K66,K68))</f>
        <v>4.8059639999999995</v>
      </c>
      <c r="L65" s="3507">
        <f>IF(SUM(L66,L68)=0,"NO",SUM(L66,L68))</f>
        <v>8.8843584499999975E-2</v>
      </c>
    </row>
    <row r="66" spans="2:13" ht="18" customHeight="1" x14ac:dyDescent="0.2">
      <c r="B66" s="923" t="s">
        <v>1294</v>
      </c>
      <c r="C66" s="4368"/>
      <c r="D66" s="298"/>
      <c r="E66" s="5" t="s">
        <v>2250</v>
      </c>
      <c r="F66" s="3681">
        <f>F67</f>
        <v>23516</v>
      </c>
      <c r="G66" s="3666" t="str">
        <f t="shared" si="2"/>
        <v>NA</v>
      </c>
      <c r="H66" s="3667">
        <f t="shared" si="3"/>
        <v>0.20436996087770024</v>
      </c>
      <c r="I66" s="3668">
        <f t="shared" si="4"/>
        <v>3.7780058045585973E-3</v>
      </c>
      <c r="J66" s="3505" t="str">
        <f>J67</f>
        <v>IE</v>
      </c>
      <c r="K66" s="3505">
        <f>K67</f>
        <v>4.8059639999999995</v>
      </c>
      <c r="L66" s="3508">
        <f>L67</f>
        <v>8.8843584499999975E-2</v>
      </c>
      <c r="M66" s="482"/>
    </row>
    <row r="67" spans="2:13" ht="18" customHeight="1" x14ac:dyDescent="0.2">
      <c r="B67" s="923"/>
      <c r="C67" s="4367" t="s">
        <v>2252</v>
      </c>
      <c r="D67" s="542" t="s">
        <v>940</v>
      </c>
      <c r="E67" s="543" t="s">
        <v>2250</v>
      </c>
      <c r="F67" s="3655">
        <v>23516</v>
      </c>
      <c r="G67" s="3666" t="str">
        <f t="shared" si="2"/>
        <v>NA</v>
      </c>
      <c r="H67" s="3667">
        <f t="shared" ref="H67:H68" si="23">IF(SUM($F67)=0,"NA",K67*1000/$F67)</f>
        <v>0.20436996087770024</v>
      </c>
      <c r="I67" s="3668">
        <f t="shared" ref="I67:I68" si="24">IF(SUM($F67)=0,"NA",L67*1000/$F67)</f>
        <v>3.7780058045585973E-3</v>
      </c>
      <c r="J67" s="3509" t="s">
        <v>2153</v>
      </c>
      <c r="K67" s="3510">
        <v>4.8059639999999995</v>
      </c>
      <c r="L67" s="3512">
        <v>8.8843584499999975E-2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4133.595206707023</v>
      </c>
      <c r="D10" s="3521">
        <f>IF(SUM(D11,D16:D17)=0,"NO",SUM(D11,D16:D17))</f>
        <v>-2306.5274327489424</v>
      </c>
      <c r="E10" s="3522"/>
      <c r="F10" s="3523">
        <f>IF(SUM(F11,F16:F17)=0,"NO",SUM(F11,F16:F17))</f>
        <v>1827.0677739580799</v>
      </c>
      <c r="G10" s="3524">
        <f>IF(SUM(G11,G16:G17)=0,"NO",SUM(G11,G16:G17))</f>
        <v>-6699.2485045129597</v>
      </c>
      <c r="H10" s="226"/>
      <c r="I10" s="2"/>
      <c r="J10" s="2"/>
    </row>
    <row r="11" spans="1:10" ht="18" customHeight="1" x14ac:dyDescent="0.2">
      <c r="B11" s="606" t="s">
        <v>1314</v>
      </c>
      <c r="C11" s="3525">
        <f>IF(SUM(C13:C15)=0,"NO",SUM(C13:C15))</f>
        <v>1494.1125648784889</v>
      </c>
      <c r="D11" s="3526">
        <f>IF(SUM(D13:D15)=0,"NO",SUM(D13:D15))</f>
        <v>-501.0308473510047</v>
      </c>
      <c r="E11" s="3527"/>
      <c r="F11" s="3528">
        <f>IF(SUM(F13:F15)=0,"NO",SUM(F13:F15))</f>
        <v>993.08171752748422</v>
      </c>
      <c r="G11" s="3529">
        <f>IF(SUM(G13:G15)=0,"NO",SUM(G13:G15))</f>
        <v>-3641.2996309341088</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1139.6841187125578</v>
      </c>
      <c r="D13" s="3534">
        <f>F13-C13</f>
        <v>-317.15615253557598</v>
      </c>
      <c r="E13" s="3535" t="s">
        <v>2147</v>
      </c>
      <c r="F13" s="3536">
        <f>G13/(-44/12)</f>
        <v>822.52796617698186</v>
      </c>
      <c r="G13" s="3537">
        <v>-3015.9358759822667</v>
      </c>
      <c r="H13" s="226"/>
      <c r="I13" s="2"/>
      <c r="J13" s="2"/>
    </row>
    <row r="14" spans="1:10" ht="18" customHeight="1" x14ac:dyDescent="0.2">
      <c r="B14" s="1193" t="s">
        <v>1316</v>
      </c>
      <c r="C14" s="3538">
        <v>354.42844616593106</v>
      </c>
      <c r="D14" s="3539">
        <f>F14-C14</f>
        <v>-183.87469481542871</v>
      </c>
      <c r="E14" s="3235" t="s">
        <v>2147</v>
      </c>
      <c r="F14" s="3540">
        <f>G14/(-44/12)</f>
        <v>170.55375135050235</v>
      </c>
      <c r="G14" s="3537">
        <v>-625.36375495184188</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1376.4713769999998</v>
      </c>
      <c r="D16" s="3539">
        <f>F16-C16</f>
        <v>-1354.499665340315</v>
      </c>
      <c r="E16" s="3235" t="s">
        <v>2147</v>
      </c>
      <c r="F16" s="3540">
        <f>G16/(-44/12)</f>
        <v>21.971711659684729</v>
      </c>
      <c r="G16" s="3537">
        <v>-80.562942752177335</v>
      </c>
      <c r="H16" s="226"/>
      <c r="I16" s="2"/>
      <c r="J16" s="2"/>
    </row>
    <row r="17" spans="2:10" ht="18" customHeight="1" x14ac:dyDescent="0.2">
      <c r="B17" s="1197" t="s">
        <v>1320</v>
      </c>
      <c r="C17" s="3542">
        <f>C18</f>
        <v>1263.0112648285335</v>
      </c>
      <c r="D17" s="3543">
        <f t="shared" ref="D17:F17" si="0">D18</f>
        <v>-450.99692005762256</v>
      </c>
      <c r="E17" s="3544"/>
      <c r="F17" s="3226">
        <f t="shared" si="0"/>
        <v>812.01434477091095</v>
      </c>
      <c r="G17" s="3537">
        <f>-F17*44/12</f>
        <v>-2977.3859308266733</v>
      </c>
      <c r="H17" s="226"/>
      <c r="I17" s="2"/>
      <c r="J17" s="2"/>
    </row>
    <row r="18" spans="2:10" ht="18" customHeight="1" thickBot="1" x14ac:dyDescent="0.25">
      <c r="B18" s="561" t="s">
        <v>2254</v>
      </c>
      <c r="C18" s="3545">
        <v>1263.0112648285335</v>
      </c>
      <c r="D18" s="3546">
        <f>F18-C18</f>
        <v>-450.99692005762256</v>
      </c>
      <c r="E18" s="3238" t="s">
        <v>2147</v>
      </c>
      <c r="F18" s="3547">
        <f>G18/(-44/12)</f>
        <v>812.01434477091095</v>
      </c>
      <c r="G18" s="3548">
        <v>-2977.3859308266733</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74.127612218528441</v>
      </c>
      <c r="D10" s="4371">
        <f t="shared" ref="D10:I10" si="0">IF(SUM(D11,D15,D18,D21)=0,"NO",SUM(D11,D15,D18,D21))</f>
        <v>817.14945109823088</v>
      </c>
      <c r="E10" s="4371">
        <f t="shared" si="0"/>
        <v>0.64167034590775029</v>
      </c>
      <c r="F10" s="4371" t="str">
        <f t="shared" si="0"/>
        <v>NO</v>
      </c>
      <c r="G10" s="4371" t="str">
        <f t="shared" si="0"/>
        <v>NO</v>
      </c>
      <c r="H10" s="4371">
        <f t="shared" si="0"/>
        <v>477.600211656645</v>
      </c>
      <c r="I10" s="4372" t="str">
        <f t="shared" si="0"/>
        <v>NO</v>
      </c>
      <c r="J10" s="4373">
        <f>IF(SUM(C10:E10)=0,"NO",SUM(C10,IFERROR(28*D10,0),IFERROR(265*E10,0)))</f>
        <v>23124.354884634547</v>
      </c>
    </row>
    <row r="11" spans="1:10" ht="18" customHeight="1" x14ac:dyDescent="0.2">
      <c r="B11" s="1504" t="s">
        <v>1371</v>
      </c>
      <c r="C11" s="4374"/>
      <c r="D11" s="2883">
        <f>IF(SUM(D12:D14)=0,"NO",SUM(D12:D14))</f>
        <v>602.77834210000003</v>
      </c>
      <c r="E11" s="4374"/>
      <c r="F11" s="2883" t="str">
        <f>IF(SUM(F12:F14)=0,"NO",SUM(F12:F14))</f>
        <v>NO</v>
      </c>
      <c r="G11" s="2883" t="str">
        <f t="shared" ref="G11:H11" si="1">IF(SUM(G12:G14)=0,"NO",SUM(G12:G14))</f>
        <v>NO</v>
      </c>
      <c r="H11" s="2883">
        <f t="shared" si="1"/>
        <v>2.7278213256574779</v>
      </c>
      <c r="I11" s="2153"/>
      <c r="J11" s="2872">
        <f t="shared" ref="J11:J18" si="2">IF(SUM(C11:E11)=0,"NO",SUM(C11,IFERROR(28*D11,0),IFERROR(265*E11,0)))</f>
        <v>16877.7935788</v>
      </c>
    </row>
    <row r="12" spans="1:10" ht="18" customHeight="1" x14ac:dyDescent="0.2">
      <c r="B12" s="1270" t="s">
        <v>1372</v>
      </c>
      <c r="C12" s="4375"/>
      <c r="D12" s="4376">
        <f>IF(SUM(Table5.A!F10:H10)=0,"NO",SUM(Table5.A!F10))</f>
        <v>602.77834210000003</v>
      </c>
      <c r="E12" s="4375"/>
      <c r="F12" s="4377" t="s">
        <v>2147</v>
      </c>
      <c r="G12" s="4377" t="s">
        <v>2147</v>
      </c>
      <c r="H12" s="4377">
        <v>2.7278213256574779</v>
      </c>
      <c r="I12" s="4378"/>
      <c r="J12" s="4379">
        <f t="shared" si="2"/>
        <v>16877.7935788</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0.61593606125799227</v>
      </c>
      <c r="E15" s="2881">
        <f t="shared" ref="E15" si="3">IF(SUM(E16:E17)=0,"NO",SUM(E16:E17))</f>
        <v>7.8839815841023009E-2</v>
      </c>
      <c r="F15" s="2881" t="s">
        <v>2256</v>
      </c>
      <c r="G15" s="2881" t="s">
        <v>2256</v>
      </c>
      <c r="H15" s="2881" t="s">
        <v>2256</v>
      </c>
      <c r="I15" s="4386"/>
      <c r="J15" s="2873">
        <f t="shared" si="2"/>
        <v>38.138760913094885</v>
      </c>
    </row>
    <row r="16" spans="1:10" ht="18" customHeight="1" x14ac:dyDescent="0.2">
      <c r="B16" s="1883" t="s">
        <v>1376</v>
      </c>
      <c r="C16" s="4387"/>
      <c r="D16" s="4376">
        <f>Table5.B!F10</f>
        <v>0.61593606125799227</v>
      </c>
      <c r="E16" s="4376">
        <f>Table5.B!G10</f>
        <v>7.8839815841023009E-2</v>
      </c>
      <c r="F16" s="4388" t="s">
        <v>2147</v>
      </c>
      <c r="G16" s="4388" t="s">
        <v>2147</v>
      </c>
      <c r="H16" s="4388" t="s">
        <v>2147</v>
      </c>
      <c r="I16" s="4378"/>
      <c r="J16" s="4379">
        <f t="shared" si="2"/>
        <v>38.138760913094885</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74.127612218528441</v>
      </c>
      <c r="D18" s="2871">
        <f>IF(SUM(D19:D20)=0,"NO,NE",SUM(D19:D20))</f>
        <v>9.2671199999999995E-2</v>
      </c>
      <c r="E18" s="2871">
        <f>IF(SUM(E19:E20)=0,"NO,NE",SUM(E19:E20))</f>
        <v>3.7979999999999993E-2</v>
      </c>
      <c r="F18" s="2871" t="s">
        <v>2147</v>
      </c>
      <c r="G18" s="2871" t="s">
        <v>2147</v>
      </c>
      <c r="H18" s="2871" t="s">
        <v>2147</v>
      </c>
      <c r="I18" s="2871" t="s">
        <v>2147</v>
      </c>
      <c r="J18" s="2874">
        <f t="shared" si="2"/>
        <v>86.787105818528445</v>
      </c>
    </row>
    <row r="19" spans="2:12" ht="18" customHeight="1" x14ac:dyDescent="0.2">
      <c r="B19" s="1270" t="s">
        <v>1379</v>
      </c>
      <c r="C19" s="4376">
        <f>Table5.C!G10</f>
        <v>74.127612218528441</v>
      </c>
      <c r="D19" s="4376">
        <f>Table5.C!H10</f>
        <v>9.2671199999999995E-2</v>
      </c>
      <c r="E19" s="4376">
        <f>Table5.C!I10</f>
        <v>3.7979999999999993E-2</v>
      </c>
      <c r="F19" s="4391" t="s">
        <v>2147</v>
      </c>
      <c r="G19" s="4391" t="s">
        <v>2147</v>
      </c>
      <c r="H19" s="4391" t="s">
        <v>2147</v>
      </c>
      <c r="I19" s="4391" t="s">
        <v>2147</v>
      </c>
      <c r="J19" s="4379">
        <f>IF(SUM(C19:E19)=0,"NO",SUM(C19,IFERROR(28*D19,0),IFERROR(265*E19,0)))</f>
        <v>86.787105818528445</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213.66250173697281</v>
      </c>
      <c r="E21" s="2871">
        <f t="shared" ref="E21:H21" si="5">IF(SUM(E22:E24)=0,"NO",SUM(E22:E24))</f>
        <v>0.52485053006672733</v>
      </c>
      <c r="F21" s="2871" t="str">
        <f t="shared" si="5"/>
        <v>NO</v>
      </c>
      <c r="G21" s="2871" t="str">
        <f t="shared" si="5"/>
        <v>NO</v>
      </c>
      <c r="H21" s="2871">
        <f t="shared" si="5"/>
        <v>474.87239033098751</v>
      </c>
      <c r="I21" s="4393"/>
      <c r="J21" s="2874">
        <f t="shared" si="4"/>
        <v>6121.6354391029208</v>
      </c>
    </row>
    <row r="22" spans="2:12" ht="18" customHeight="1" x14ac:dyDescent="0.2">
      <c r="B22" s="1270" t="s">
        <v>1382</v>
      </c>
      <c r="C22" s="4394"/>
      <c r="D22" s="4376">
        <f>IF(SUM(Table5.D!H10)=0,"NO",SUM(Table5.D!H10))</f>
        <v>77.746644704136401</v>
      </c>
      <c r="E22" s="4376">
        <f>IF(SUM(Table5.D!I10:J10)=0,"NO",SUM(Table5.D!I10:J10))</f>
        <v>0.52485053006672733</v>
      </c>
      <c r="F22" s="4377" t="s">
        <v>2147</v>
      </c>
      <c r="G22" s="4377" t="s">
        <v>2147</v>
      </c>
      <c r="H22" s="4377">
        <v>16.826350635354785</v>
      </c>
      <c r="I22" s="4378"/>
      <c r="J22" s="4379">
        <f t="shared" si="4"/>
        <v>2315.9914421835019</v>
      </c>
    </row>
    <row r="23" spans="2:12" ht="18" customHeight="1" x14ac:dyDescent="0.2">
      <c r="B23" s="1270" t="s">
        <v>1383</v>
      </c>
      <c r="C23" s="4394"/>
      <c r="D23" s="4376">
        <f>IF(SUM(Table5.D!H11)=0,"NO",SUM(Table5.D!H11))</f>
        <v>135.91585703283641</v>
      </c>
      <c r="E23" s="4376" t="str">
        <f>IF(SUM(Table5.D!I11:J11)=0,"IE",SUM(Table5.D!I11:J11))</f>
        <v>IE</v>
      </c>
      <c r="F23" s="4377" t="s">
        <v>2147</v>
      </c>
      <c r="G23" s="4377" t="s">
        <v>2147</v>
      </c>
      <c r="H23" s="4377">
        <v>458.04603969563271</v>
      </c>
      <c r="I23" s="4378"/>
      <c r="J23" s="4379">
        <f t="shared" si="4"/>
        <v>3805.6439969194198</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-195297.11549069456</v>
      </c>
      <c r="D28" s="4404"/>
      <c r="E28" s="4404"/>
      <c r="F28" s="4404"/>
      <c r="G28" s="4404"/>
      <c r="H28" s="4404"/>
      <c r="I28" s="4405"/>
      <c r="J28" s="4406"/>
      <c r="K28"/>
      <c r="L28"/>
    </row>
    <row r="29" spans="2:12" ht="18" customHeight="1" x14ac:dyDescent="0.2">
      <c r="B29" s="2487" t="s">
        <v>2081</v>
      </c>
      <c r="C29" s="4407">
        <v>-4482.9112702166176</v>
      </c>
      <c r="D29" s="4408"/>
      <c r="E29" s="4408"/>
      <c r="F29" s="4408"/>
      <c r="G29" s="4408"/>
      <c r="H29" s="4408"/>
      <c r="I29" s="4406"/>
      <c r="J29" s="4406"/>
      <c r="K29"/>
      <c r="L29"/>
    </row>
    <row r="30" spans="2:12" ht="29.25" customHeight="1" thickBot="1" x14ac:dyDescent="0.25">
      <c r="B30" s="2488" t="s">
        <v>2082</v>
      </c>
      <c r="C30" s="4409">
        <v>-2977.3859308266733</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16883.472420782164</v>
      </c>
      <c r="D10" s="3752"/>
      <c r="E10" s="3751">
        <f>IF(SUM(C10)=0,"NA",(F10-SUM(G10:H10))/C10)</f>
        <v>3.6352613183086323E-2</v>
      </c>
      <c r="F10" s="3753">
        <f>F11</f>
        <v>602.77834210000003</v>
      </c>
      <c r="G10" s="3753" t="str">
        <f>G11</f>
        <v>IE</v>
      </c>
      <c r="H10" s="3754">
        <f>H11</f>
        <v>-10.98</v>
      </c>
      <c r="I10" s="44"/>
    </row>
    <row r="11" spans="1:13" ht="18" customHeight="1" x14ac:dyDescent="0.2">
      <c r="B11" s="1750" t="s">
        <v>1395</v>
      </c>
      <c r="C11" s="3755">
        <f>IF(SUM(C13:C16)=0,"NO",SUM(C13:C16))</f>
        <v>16883.472420782164</v>
      </c>
      <c r="D11" s="3755">
        <v>1</v>
      </c>
      <c r="E11" s="3755">
        <f>IF(SUM(C11)=0,"NA",(F11-SUM(G11:H11))/C11)</f>
        <v>3.6352613183086323E-2</v>
      </c>
      <c r="F11" s="3755">
        <f>IF(SUM(F13:F16)=0,"NO",SUM(F13:F16))</f>
        <v>602.77834210000003</v>
      </c>
      <c r="G11" s="3756" t="s">
        <v>2153</v>
      </c>
      <c r="H11" s="3757">
        <v>-10.98</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9323.8711091363839</v>
      </c>
      <c r="D13" s="3762">
        <v>1</v>
      </c>
      <c r="E13" s="3755" t="s">
        <v>2153</v>
      </c>
      <c r="F13" s="3762">
        <v>20.631699099999999</v>
      </c>
      <c r="G13" s="3763"/>
      <c r="H13" s="3764"/>
      <c r="I13" s="44"/>
    </row>
    <row r="14" spans="1:13" ht="18" customHeight="1" x14ac:dyDescent="0.2">
      <c r="B14" s="1751" t="s">
        <v>1398</v>
      </c>
      <c r="C14" s="3762">
        <v>2979.8313334409359</v>
      </c>
      <c r="D14" s="3762">
        <v>1</v>
      </c>
      <c r="E14" s="3755" t="s">
        <v>2153</v>
      </c>
      <c r="F14" s="3762">
        <v>230.90572649999999</v>
      </c>
      <c r="G14" s="3763"/>
      <c r="H14" s="3764"/>
      <c r="I14" s="44"/>
    </row>
    <row r="15" spans="1:13" ht="18" customHeight="1" x14ac:dyDescent="0.2">
      <c r="B15" s="1751" t="s">
        <v>1399</v>
      </c>
      <c r="C15" s="3762">
        <v>4579.7699782048439</v>
      </c>
      <c r="D15" s="3762">
        <v>1</v>
      </c>
      <c r="E15" s="3755" t="s">
        <v>2153</v>
      </c>
      <c r="F15" s="3762">
        <v>351.24091650000003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821.24808167732294</v>
      </c>
      <c r="D10" s="1913">
        <f>IF(SUM($C10)=0,"NA",F10*1000/$C10)</f>
        <v>0.75000000000000011</v>
      </c>
      <c r="E10" s="1913">
        <f>IF(SUM($C10)=0,"NA",G10*1000/$C10)</f>
        <v>9.6000000000000016E-2</v>
      </c>
      <c r="F10" s="1909">
        <f>IF(SUM(F11:F12)=0,"NO",SUM(F11:F12))</f>
        <v>0.61593606125799227</v>
      </c>
      <c r="G10" s="1909">
        <f>IF(SUM(G11:G12)=0,"NO",SUM(G11:G12))</f>
        <v>7.8839815841023009E-2</v>
      </c>
      <c r="H10" s="1910"/>
      <c r="I10" s="1911"/>
    </row>
    <row r="11" spans="1:9" ht="18" customHeight="1" x14ac:dyDescent="0.2">
      <c r="B11" s="1526" t="s">
        <v>1411</v>
      </c>
      <c r="C11" s="1912">
        <v>821.24808167732294</v>
      </c>
      <c r="D11" s="1913">
        <f>IF(SUM($C11)=0,"NA",F11*1000/$C11)</f>
        <v>0.75000000000000011</v>
      </c>
      <c r="E11" s="1913">
        <f>IF(SUM($C11)=0,"NA",G11*1000/$C11)</f>
        <v>9.6000000000000016E-2</v>
      </c>
      <c r="F11" s="1912">
        <v>0.61593606125799227</v>
      </c>
      <c r="G11" s="1912">
        <v>7.8839815841023009E-2</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11.51010937626098</v>
      </c>
      <c r="D10" s="2887">
        <f>IF(SUM(G10)=0,"NA",G10*1000/$C10)</f>
        <v>6440.2178811100539</v>
      </c>
      <c r="E10" s="2887">
        <f t="shared" ref="E10:E20" si="0">IF(SUM(H10)=0,"NA",H10*1000/$C10)</f>
        <v>8.0512875221785194</v>
      </c>
      <c r="F10" s="2887">
        <f t="shared" ref="F10:F20" si="1">IF(SUM(I10)=0,"NA",I10*1000/$C10)</f>
        <v>3.2997080008928346</v>
      </c>
      <c r="G10" s="2887">
        <f>IF(SUM(G11,G21)=0,"NO",SUM(G11,G21))</f>
        <v>74.127612218528441</v>
      </c>
      <c r="H10" s="2887">
        <f>IF(SUM(H11,H21)=0,"NO,NE",SUM(H11,H21))</f>
        <v>9.2671199999999995E-2</v>
      </c>
      <c r="I10" s="2888">
        <f>IF(SUM(I11,I21)=0,"NO,NE",SUM(I11,I21))</f>
        <v>3.7979999999999993E-2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11.51010937626098</v>
      </c>
      <c r="D21" s="116">
        <f>IF(SUM(G21)=0,"NA",G21*1000/$C21)</f>
        <v>6440.2178811100539</v>
      </c>
      <c r="E21" s="116">
        <f t="shared" ref="E21:F21" si="3">IF(SUM(H21)=0,"NA",H21*1000/$C21)</f>
        <v>8.0512875221785194</v>
      </c>
      <c r="F21" s="116">
        <f t="shared" si="3"/>
        <v>3.2997080008928346</v>
      </c>
      <c r="G21" s="2889">
        <f>IF(SUM(G22:G23)=0,"NO",SUM(G22:G23))</f>
        <v>74.127612218528441</v>
      </c>
      <c r="H21" s="116">
        <f>IF(SUM(H22:H23)=0,"NO,NE",SUM(H22:H23))</f>
        <v>9.2671199999999995E-2</v>
      </c>
      <c r="I21" s="2890">
        <f>IF(SUM(I22:I23)=0,"NO,NE",SUM(I22:I23))</f>
        <v>3.7979999999999993E-2</v>
      </c>
    </row>
    <row r="22" spans="2:9" ht="18" customHeight="1" x14ac:dyDescent="0.2">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
      <c r="B23" s="1526" t="s">
        <v>1435</v>
      </c>
      <c r="C23" s="2889">
        <f>IF(SUM(C25:C29)=0,"NO",SUM(C25:C29))</f>
        <v>11.25690937626098</v>
      </c>
      <c r="D23" s="116">
        <f t="shared" si="4"/>
        <v>1966.5444109563753</v>
      </c>
      <c r="E23" s="151" t="str">
        <f t="shared" si="5"/>
        <v>NA</v>
      </c>
      <c r="F23" s="151" t="str">
        <f t="shared" si="6"/>
        <v>NA</v>
      </c>
      <c r="G23" s="151">
        <f>IF(SUM(G25:G30)=0,"NO",SUM(G25:G30))</f>
        <v>22.137212218528447</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11.25690937626098</v>
      </c>
      <c r="D27" s="116">
        <f t="shared" si="4"/>
        <v>879.99999999999989</v>
      </c>
      <c r="E27" s="116" t="str">
        <f t="shared" si="5"/>
        <v>NA</v>
      </c>
      <c r="F27" s="116" t="str">
        <f t="shared" si="6"/>
        <v>NA</v>
      </c>
      <c r="G27" s="2897">
        <v>9.9060802511096604</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3.9882391963671502</v>
      </c>
      <c r="D30" s="116">
        <f t="shared" si="4"/>
        <v>3066.8000000000034</v>
      </c>
      <c r="E30" s="153" t="str">
        <f t="shared" si="5"/>
        <v>NA</v>
      </c>
      <c r="F30" s="153" t="str">
        <f t="shared" si="6"/>
        <v>NA</v>
      </c>
      <c r="G30" s="1541">
        <f>G31</f>
        <v>12.231131967418788</v>
      </c>
      <c r="H30" s="1541" t="str">
        <f>H31</f>
        <v>NE</v>
      </c>
      <c r="I30" s="2894" t="str">
        <f>I31</f>
        <v>NE</v>
      </c>
    </row>
    <row r="31" spans="2:9" ht="18" customHeight="1" x14ac:dyDescent="0.2">
      <c r="B31" s="2891" t="s">
        <v>2257</v>
      </c>
      <c r="C31" s="162">
        <v>3.9882391963671502</v>
      </c>
      <c r="D31" s="116">
        <f t="shared" si="4"/>
        <v>3066.8000000000034</v>
      </c>
      <c r="E31" s="153" t="str">
        <f t="shared" si="5"/>
        <v>NA</v>
      </c>
      <c r="F31" s="153" t="str">
        <f t="shared" si="6"/>
        <v>NA</v>
      </c>
      <c r="G31" s="161">
        <v>12.231131967418788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17390.919000000002</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36.280999999999999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1878.12954292523</v>
      </c>
      <c r="D10" s="3435">
        <v>1404.1004171965801</v>
      </c>
      <c r="E10" s="3435">
        <v>100.95358915824001</v>
      </c>
      <c r="F10" s="3436">
        <f>(SUM(H10)-SUM(K10:L10))/C10</f>
        <v>5.5048670199257112E-2</v>
      </c>
      <c r="G10" s="3437">
        <f>SUM(I10:J10)/E10/(44/28)</f>
        <v>3.3084092863416869E-3</v>
      </c>
      <c r="H10" s="3434">
        <v>77.746644704136401</v>
      </c>
      <c r="I10" s="3223">
        <v>0.52485053006672733</v>
      </c>
      <c r="J10" s="3223" t="s">
        <v>2153</v>
      </c>
      <c r="K10" s="3438">
        <v>-25.641889095836095</v>
      </c>
      <c r="L10" s="2911" t="s">
        <v>2153</v>
      </c>
      <c r="M10"/>
      <c r="N10" s="1770" t="s">
        <v>1468</v>
      </c>
      <c r="O10" s="3440">
        <v>1</v>
      </c>
    </row>
    <row r="11" spans="1:15" ht="18" customHeight="1" x14ac:dyDescent="0.2">
      <c r="A11"/>
      <c r="B11" s="1749" t="s">
        <v>1383</v>
      </c>
      <c r="C11" s="3435">
        <v>1526.82013231878</v>
      </c>
      <c r="D11" s="3435">
        <v>227.45601154672201</v>
      </c>
      <c r="E11" s="691" t="s">
        <v>2153</v>
      </c>
      <c r="F11" s="3162">
        <f>(SUM(H11)-SUM(K11:L11))/C11</f>
        <v>9.0624582537849122E-2</v>
      </c>
      <c r="G11" s="3162" t="s">
        <v>2147</v>
      </c>
      <c r="H11" s="691">
        <v>135.91585703283641</v>
      </c>
      <c r="I11" s="691" t="s">
        <v>2153</v>
      </c>
      <c r="J11" s="691" t="s">
        <v>2153</v>
      </c>
      <c r="K11" s="3147" t="s">
        <v>2153</v>
      </c>
      <c r="L11" s="2911">
        <v>-2.4515800689365821</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377828.83068512147</v>
      </c>
      <c r="D10" s="4213">
        <f t="shared" si="0"/>
        <v>5571.9524256448776</v>
      </c>
      <c r="E10" s="4213">
        <f t="shared" si="0"/>
        <v>65.656661491862252</v>
      </c>
      <c r="F10" s="4213">
        <f t="shared" si="0"/>
        <v>1116.992</v>
      </c>
      <c r="G10" s="4213">
        <f t="shared" si="0"/>
        <v>4140.1764526673724</v>
      </c>
      <c r="H10" s="4213" t="str">
        <f>IF(SUM(H11,H22,H31,H42,H51)=0,"NO",SUM(H11,H22,H31,H42,H51))</f>
        <v>NO</v>
      </c>
      <c r="I10" s="4213">
        <f t="shared" ref="I10:N10" si="1">IF(SUM(I11,I22,I31,I42,I51)=0,"NO",SUM(I11,I22,I31,I42,I51))</f>
        <v>1.1320709158452919E-2</v>
      </c>
      <c r="J10" s="3834" t="str">
        <f t="shared" si="1"/>
        <v>NO</v>
      </c>
      <c r="K10" s="4213">
        <f t="shared" si="1"/>
        <v>2338.5442788635423</v>
      </c>
      <c r="L10" s="4213">
        <f t="shared" si="1"/>
        <v>25240.75650486357</v>
      </c>
      <c r="M10" s="4213">
        <f t="shared" si="1"/>
        <v>2335.041637733746</v>
      </c>
      <c r="N10" s="4214">
        <f t="shared" si="1"/>
        <v>1652.0089547072907</v>
      </c>
      <c r="O10" s="3818">
        <f>IF(SUM(C10:J10)=0,"NO",SUM(C10,F10:H10)+28*SUM(D10)+265*SUM(E10)+23500*SUM(I10)+16100*SUM(J10))</f>
        <v>556765.71901641262</v>
      </c>
    </row>
    <row r="11" spans="1:15" ht="18" customHeight="1" x14ac:dyDescent="0.25">
      <c r="B11" s="1120" t="s">
        <v>1476</v>
      </c>
      <c r="C11" s="2552">
        <f>Table1!C10</f>
        <v>265479.52700305701</v>
      </c>
      <c r="D11" s="3810">
        <f>Table1!D10</f>
        <v>1361.1543789293739</v>
      </c>
      <c r="E11" s="3810">
        <f>Table1!E10</f>
        <v>6.9040599045912607</v>
      </c>
      <c r="F11" s="4215"/>
      <c r="G11" s="4215"/>
      <c r="H11" s="4216"/>
      <c r="I11" s="4215"/>
      <c r="J11" s="98"/>
      <c r="K11" s="3810">
        <f>Table1!F10</f>
        <v>1576.6896524200988</v>
      </c>
      <c r="L11" s="3810">
        <f>Table1!G10</f>
        <v>5471.1899284091569</v>
      </c>
      <c r="M11" s="3810">
        <f>Table1!H10</f>
        <v>805.06612498682421</v>
      </c>
      <c r="N11" s="4217">
        <f>Table1!I10</f>
        <v>554.66945286714747</v>
      </c>
      <c r="O11" s="3781">
        <f t="shared" ref="O11:O58" si="2">IF(SUM(C11:J11)=0,"NO",SUM(C11,F11:H11)+28*SUM(D11)+265*SUM(E11)+23500*SUM(I11)+16100*SUM(J11))</f>
        <v>305421.42548779614</v>
      </c>
    </row>
    <row r="12" spans="1:15" ht="18" customHeight="1" x14ac:dyDescent="0.25">
      <c r="B12" s="1370" t="s">
        <v>1477</v>
      </c>
      <c r="C12" s="4218">
        <f>Table1!C11</f>
        <v>258175.82649789355</v>
      </c>
      <c r="D12" s="4219">
        <f>Table1!D11</f>
        <v>137.42769839021483</v>
      </c>
      <c r="E12" s="4219">
        <f>Table1!E11</f>
        <v>6.7766706748586705</v>
      </c>
      <c r="F12" s="69"/>
      <c r="G12" s="69"/>
      <c r="H12" s="69"/>
      <c r="I12" s="69"/>
      <c r="J12" s="69"/>
      <c r="K12" s="4219">
        <f>Table1!F11</f>
        <v>1572.7769414787022</v>
      </c>
      <c r="L12" s="4219">
        <f>Table1!G11</f>
        <v>5448.4947049490565</v>
      </c>
      <c r="M12" s="4219">
        <f>Table1!H11</f>
        <v>626.19936840765365</v>
      </c>
      <c r="N12" s="4220">
        <f>Table1!I11</f>
        <v>554.66945286714747</v>
      </c>
      <c r="O12" s="3782">
        <f t="shared" si="2"/>
        <v>263819.61978165712</v>
      </c>
    </row>
    <row r="13" spans="1:15" ht="18" customHeight="1" x14ac:dyDescent="0.25">
      <c r="B13" s="1371" t="s">
        <v>1478</v>
      </c>
      <c r="C13" s="4218">
        <f>Table1!C12</f>
        <v>149114.46071351453</v>
      </c>
      <c r="D13" s="4219">
        <f>Table1!D12</f>
        <v>5.9263413265839855</v>
      </c>
      <c r="E13" s="4219">
        <f>Table1!E12</f>
        <v>1.6581035249510143</v>
      </c>
      <c r="F13" s="69"/>
      <c r="G13" s="69"/>
      <c r="H13" s="69"/>
      <c r="I13" s="69"/>
      <c r="J13" s="69"/>
      <c r="K13" s="4219">
        <f>Table1!F12</f>
        <v>509.54099388803354</v>
      </c>
      <c r="L13" s="4219">
        <f>Table1!G12</f>
        <v>69.179862222582699</v>
      </c>
      <c r="M13" s="4219">
        <f>Table1!H12</f>
        <v>10.713975273758411</v>
      </c>
      <c r="N13" s="4220">
        <f>Table1!I12</f>
        <v>419.76804031552228</v>
      </c>
      <c r="O13" s="3783">
        <f t="shared" si="2"/>
        <v>149719.79570477089</v>
      </c>
    </row>
    <row r="14" spans="1:15" ht="18" customHeight="1" x14ac:dyDescent="0.25">
      <c r="B14" s="1371" t="s">
        <v>1479</v>
      </c>
      <c r="C14" s="4218">
        <f>Table1!C16</f>
        <v>34991.925261337383</v>
      </c>
      <c r="D14" s="4221">
        <f>Table1!D16</f>
        <v>1.8768319445806723</v>
      </c>
      <c r="E14" s="4221">
        <f>Table1!E16</f>
        <v>1.0243107840034233</v>
      </c>
      <c r="F14" s="3784"/>
      <c r="G14" s="3784"/>
      <c r="H14" s="3784"/>
      <c r="I14" s="3784"/>
      <c r="J14" s="69"/>
      <c r="K14" s="4221">
        <f>Table1!F16</f>
        <v>467.02357807438386</v>
      </c>
      <c r="L14" s="4221">
        <f>Table1!G16</f>
        <v>154.69854331169958</v>
      </c>
      <c r="M14" s="4221">
        <f>Table1!H16</f>
        <v>68.406450519361897</v>
      </c>
      <c r="N14" s="4222">
        <f>Table1!I16</f>
        <v>96.732792886865028</v>
      </c>
      <c r="O14" s="3785">
        <f t="shared" si="2"/>
        <v>35315.918913546549</v>
      </c>
    </row>
    <row r="15" spans="1:15" ht="18" customHeight="1" x14ac:dyDescent="0.25">
      <c r="B15" s="1371" t="s">
        <v>1480</v>
      </c>
      <c r="C15" s="4218">
        <f>Table1!C24</f>
        <v>60120.186322479196</v>
      </c>
      <c r="D15" s="4219">
        <f>Table1!D24</f>
        <v>26.995806612722223</v>
      </c>
      <c r="E15" s="4219">
        <f>Table1!E24</f>
        <v>3.5247618929079314</v>
      </c>
      <c r="F15" s="69"/>
      <c r="G15" s="69"/>
      <c r="H15" s="69"/>
      <c r="I15" s="69"/>
      <c r="J15" s="69"/>
      <c r="K15" s="4219">
        <f>Table1!F24</f>
        <v>389.50053010065028</v>
      </c>
      <c r="L15" s="4219">
        <f>Table1!G24</f>
        <v>4078.9479996869873</v>
      </c>
      <c r="M15" s="4219">
        <f>Table1!H24</f>
        <v>379.16976076805065</v>
      </c>
      <c r="N15" s="4220">
        <f>Table1!I24</f>
        <v>31.229835763900077</v>
      </c>
      <c r="O15" s="3783">
        <f t="shared" si="2"/>
        <v>61810.130809256021</v>
      </c>
    </row>
    <row r="16" spans="1:15" ht="18" customHeight="1" x14ac:dyDescent="0.25">
      <c r="B16" s="1371" t="s">
        <v>1481</v>
      </c>
      <c r="C16" s="4218">
        <f>Table1!C30</f>
        <v>13489.892046300974</v>
      </c>
      <c r="D16" s="4219">
        <f>Table1!D30</f>
        <v>102.60616375731036</v>
      </c>
      <c r="E16" s="4219">
        <f>Table1!E30</f>
        <v>0.55695757984167849</v>
      </c>
      <c r="F16" s="69"/>
      <c r="G16" s="69"/>
      <c r="H16" s="69"/>
      <c r="I16" s="69"/>
      <c r="J16" s="69"/>
      <c r="K16" s="4219">
        <f>Table1!F30</f>
        <v>202.71312182399305</v>
      </c>
      <c r="L16" s="4219">
        <f>Table1!G30</f>
        <v>1141.1101654380452</v>
      </c>
      <c r="M16" s="4219">
        <f>Table1!H30</f>
        <v>167.47755871073329</v>
      </c>
      <c r="N16" s="4220">
        <f>Table1!I30</f>
        <v>6.7774127618779438</v>
      </c>
      <c r="O16" s="3783">
        <f t="shared" si="2"/>
        <v>16510.458390163709</v>
      </c>
    </row>
    <row r="17" spans="2:15" ht="18" customHeight="1" x14ac:dyDescent="0.25">
      <c r="B17" s="1371" t="s">
        <v>1482</v>
      </c>
      <c r="C17" s="4218">
        <f>Table1!C34</f>
        <v>459.36215426147743</v>
      </c>
      <c r="D17" s="4219">
        <f>Table1!D34</f>
        <v>2.2554749017587167E-2</v>
      </c>
      <c r="E17" s="4219">
        <f>Table1!E34</f>
        <v>1.2536893154623004E-2</v>
      </c>
      <c r="F17" s="69"/>
      <c r="G17" s="69"/>
      <c r="H17" s="69"/>
      <c r="I17" s="69"/>
      <c r="J17" s="69"/>
      <c r="K17" s="4219">
        <f>Table1!F34</f>
        <v>3.9987175916414803</v>
      </c>
      <c r="L17" s="4219">
        <f>Table1!G34</f>
        <v>4.5581342897408232</v>
      </c>
      <c r="M17" s="4219">
        <f>Table1!H34</f>
        <v>0.43162313574947136</v>
      </c>
      <c r="N17" s="4220">
        <f>Table1!I34</f>
        <v>0.16137113898216571</v>
      </c>
      <c r="O17" s="3783">
        <f t="shared" si="2"/>
        <v>463.31596391994498</v>
      </c>
    </row>
    <row r="18" spans="2:15" ht="18" customHeight="1" x14ac:dyDescent="0.25">
      <c r="B18" s="1370" t="s">
        <v>99</v>
      </c>
      <c r="C18" s="4223">
        <f>Table1!C37</f>
        <v>7303.7005051634515</v>
      </c>
      <c r="D18" s="4224">
        <f>Table1!D37</f>
        <v>1223.7266805391591</v>
      </c>
      <c r="E18" s="4224">
        <f>Table1!E37</f>
        <v>0.1273892297325899</v>
      </c>
      <c r="F18" s="69"/>
      <c r="G18" s="69"/>
      <c r="H18" s="69"/>
      <c r="I18" s="69"/>
      <c r="J18" s="69"/>
      <c r="K18" s="4224">
        <f>Table1!F37</f>
        <v>3.9127109413965946</v>
      </c>
      <c r="L18" s="4219">
        <f>Table1!G37</f>
        <v>22.695223460100248</v>
      </c>
      <c r="M18" s="4219">
        <f>Table1!H37</f>
        <v>178.86675657917053</v>
      </c>
      <c r="N18" s="4220" t="str">
        <f>Table1!I37</f>
        <v>NO</v>
      </c>
      <c r="O18" s="3783">
        <f t="shared" si="2"/>
        <v>41601.805706139043</v>
      </c>
    </row>
    <row r="19" spans="2:15" ht="18" customHeight="1" x14ac:dyDescent="0.25">
      <c r="B19" s="1371" t="s">
        <v>1483</v>
      </c>
      <c r="C19" s="4225">
        <f>Table1!C38</f>
        <v>1300.9915961012321</v>
      </c>
      <c r="D19" s="4226">
        <f>Table1!D38</f>
        <v>923.41465424178057</v>
      </c>
      <c r="E19" s="4224">
        <f>Table1!E38</f>
        <v>1.4128143447441426E-6</v>
      </c>
      <c r="F19" s="69"/>
      <c r="G19" s="69"/>
      <c r="H19" s="69"/>
      <c r="I19" s="69"/>
      <c r="J19" s="69"/>
      <c r="K19" s="4224" t="str">
        <f>Table1!F38</f>
        <v>NO</v>
      </c>
      <c r="L19" s="4219" t="str">
        <f>Table1!G38</f>
        <v>NO</v>
      </c>
      <c r="M19" s="4219" t="str">
        <f>Table1!H38</f>
        <v>NO</v>
      </c>
      <c r="N19" s="4220" t="str">
        <f>Table1!I38</f>
        <v>NO</v>
      </c>
      <c r="O19" s="3783">
        <f t="shared" si="2"/>
        <v>27156.602289266892</v>
      </c>
    </row>
    <row r="20" spans="2:15" ht="18" customHeight="1" x14ac:dyDescent="0.25">
      <c r="B20" s="1372" t="s">
        <v>1484</v>
      </c>
      <c r="C20" s="4225">
        <f>Table1!C42</f>
        <v>6002.7089090622194</v>
      </c>
      <c r="D20" s="4227">
        <f>Table1!D42</f>
        <v>300.31202629737868</v>
      </c>
      <c r="E20" s="4224">
        <f>Table1!E42</f>
        <v>0.12738781691824516</v>
      </c>
      <c r="F20" s="3784"/>
      <c r="G20" s="3784"/>
      <c r="H20" s="3784"/>
      <c r="I20" s="3784"/>
      <c r="J20" s="69"/>
      <c r="K20" s="4224">
        <f>Table1!F42</f>
        <v>3.9127109413965946</v>
      </c>
      <c r="L20" s="4221">
        <f>Table1!G42</f>
        <v>22.695223460100248</v>
      </c>
      <c r="M20" s="4221">
        <f>Table1!H42</f>
        <v>178.86675657917053</v>
      </c>
      <c r="N20" s="4222" t="str">
        <f>Table1!I42</f>
        <v>NO</v>
      </c>
      <c r="O20" s="3785">
        <f t="shared" si="2"/>
        <v>14445.203416872157</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18285.307489733619</v>
      </c>
      <c r="D22" s="4230">
        <f>'Table2(I)'!D10</f>
        <v>3.2901835568798088</v>
      </c>
      <c r="E22" s="4231">
        <f>'Table2(I)'!E10</f>
        <v>3.7295673250438965</v>
      </c>
      <c r="F22" s="3810">
        <f>'Table2(I)'!F10</f>
        <v>1116.992</v>
      </c>
      <c r="G22" s="3810">
        <f>'Table2(I)'!G10</f>
        <v>4140.1764526673724</v>
      </c>
      <c r="H22" s="3810" t="str">
        <f>'Table2(I)'!H10</f>
        <v>NO</v>
      </c>
      <c r="I22" s="3810">
        <f>'Table2(I)'!I10</f>
        <v>1.1320709158452919E-2</v>
      </c>
      <c r="J22" s="3810" t="str">
        <f>'Table2(I)'!J10</f>
        <v>NO</v>
      </c>
      <c r="K22" s="3810">
        <f>'Table2(I)'!K10</f>
        <v>39.312014006946093</v>
      </c>
      <c r="L22" s="3810">
        <f>'Table2(I)'!L10</f>
        <v>10.48884127574914</v>
      </c>
      <c r="M22" s="3810">
        <f>'Table2(I)'!M10</f>
        <v>204.00632895773231</v>
      </c>
      <c r="N22" s="4217">
        <f>'Table2(I)'!N10</f>
        <v>1097.3395018401434</v>
      </c>
      <c r="O22" s="3781">
        <f t="shared" si="2"/>
        <v>24888.973088353901</v>
      </c>
    </row>
    <row r="23" spans="2:15" ht="18" customHeight="1" x14ac:dyDescent="0.25">
      <c r="B23" s="1133" t="s">
        <v>1487</v>
      </c>
      <c r="C23" s="4232">
        <f>'Table2(I)'!C11</f>
        <v>4966.1950589056469</v>
      </c>
      <c r="D23" s="3789"/>
      <c r="E23" s="98"/>
      <c r="F23" s="98"/>
      <c r="G23" s="98"/>
      <c r="H23" s="98"/>
      <c r="I23" s="98"/>
      <c r="J23" s="69"/>
      <c r="K23" s="4233" t="str">
        <f>'Table2(I)'!K11</f>
        <v>NO</v>
      </c>
      <c r="L23" s="4233" t="str">
        <f>'Table2(I)'!L11</f>
        <v>NO</v>
      </c>
      <c r="M23" s="4233" t="str">
        <f>'Table2(I)'!M11</f>
        <v>NO</v>
      </c>
      <c r="N23" s="4234" t="str">
        <f>'Table2(I)'!N11</f>
        <v>NO</v>
      </c>
      <c r="O23" s="3782">
        <f t="shared" si="2"/>
        <v>4966.1950589056469</v>
      </c>
    </row>
    <row r="24" spans="2:15" ht="18" customHeight="1" x14ac:dyDescent="0.25">
      <c r="B24" s="1133" t="s">
        <v>621</v>
      </c>
      <c r="C24" s="4232">
        <f>'Table2(I)'!C16</f>
        <v>1114.7499284654682</v>
      </c>
      <c r="D24" s="4235">
        <f>'Table2(I)'!D16</f>
        <v>0.40760881599999998</v>
      </c>
      <c r="E24" s="4236">
        <f>'Table2(I)'!E16</f>
        <v>3.6530679819354845</v>
      </c>
      <c r="F24" s="4219">
        <f>'Table2(I)'!F16</f>
        <v>1116.992</v>
      </c>
      <c r="G24" s="4219" t="str">
        <f>'Table2(I)'!G16</f>
        <v>NO</v>
      </c>
      <c r="H24" s="4219" t="str">
        <f>'Table2(I)'!H16</f>
        <v>NO</v>
      </c>
      <c r="I24" s="4219" t="str">
        <f>'Table2(I)'!I16</f>
        <v>NO</v>
      </c>
      <c r="J24" s="616" t="str">
        <f>'Table2(I)'!J16</f>
        <v>NO</v>
      </c>
      <c r="K24" s="4219" t="str">
        <f>'Table2(I)'!K16</f>
        <v>NO</v>
      </c>
      <c r="L24" s="4219" t="str">
        <f>'Table2(I)'!L16</f>
        <v>NO</v>
      </c>
      <c r="M24" s="4219">
        <f>'Table2(I)'!M16</f>
        <v>4.5642279279999993</v>
      </c>
      <c r="N24" s="4220" t="str">
        <f>'Table2(I)'!N16</f>
        <v>NO</v>
      </c>
      <c r="O24" s="3783">
        <f t="shared" si="2"/>
        <v>3211.2179905263711</v>
      </c>
    </row>
    <row r="25" spans="2:15" ht="18" customHeight="1" x14ac:dyDescent="0.25">
      <c r="B25" s="1133" t="s">
        <v>459</v>
      </c>
      <c r="C25" s="4232">
        <f>'Table2(I)'!C27</f>
        <v>11860.438182471731</v>
      </c>
      <c r="D25" s="4235">
        <f>'Table2(I)'!D27</f>
        <v>2.882574740879809</v>
      </c>
      <c r="E25" s="4236">
        <f>'Table2(I)'!E27</f>
        <v>7.6499343108412041E-2</v>
      </c>
      <c r="F25" s="4219" t="str">
        <f>'Table2(I)'!F27</f>
        <v>NO</v>
      </c>
      <c r="G25" s="4219">
        <f>'Table2(I)'!G27</f>
        <v>4140.1764526673724</v>
      </c>
      <c r="H25" s="4219" t="str">
        <f>'Table2(I)'!H27</f>
        <v>NO</v>
      </c>
      <c r="I25" s="4219" t="str">
        <f>'Table2(I)'!I27</f>
        <v>NO</v>
      </c>
      <c r="J25" s="4219" t="str">
        <f>'Table2(I)'!J27</f>
        <v>NO</v>
      </c>
      <c r="K25" s="4219">
        <f>'Table2(I)'!K27</f>
        <v>39.312014006946093</v>
      </c>
      <c r="L25" s="4219">
        <f>'Table2(I)'!L27</f>
        <v>10.48884127574914</v>
      </c>
      <c r="M25" s="4219">
        <f>'Table2(I)'!M27</f>
        <v>9.5094772919641704E-2</v>
      </c>
      <c r="N25" s="4220">
        <f>'Table2(I)'!N27</f>
        <v>1097.3395018401434</v>
      </c>
      <c r="O25" s="3783">
        <f t="shared" si="2"/>
        <v>16101.599053807467</v>
      </c>
    </row>
    <row r="26" spans="2:15" ht="18" customHeight="1" x14ac:dyDescent="0.25">
      <c r="B26" s="1133" t="s">
        <v>1488</v>
      </c>
      <c r="C26" s="4232">
        <f>'Table2(I)'!C35</f>
        <v>256.36125249999992</v>
      </c>
      <c r="D26" s="3790" t="str">
        <f>'Table2(I)'!D35</f>
        <v>NO</v>
      </c>
      <c r="E26" s="616" t="str">
        <f>'Table2(I)'!E35</f>
        <v>NO</v>
      </c>
      <c r="F26" s="69"/>
      <c r="G26" s="69"/>
      <c r="H26" s="69"/>
      <c r="I26" s="69"/>
      <c r="J26" s="69"/>
      <c r="K26" s="616" t="str">
        <f>'Table2(I)'!K35</f>
        <v>NO</v>
      </c>
      <c r="L26" s="4236" t="str">
        <f>'Table2(I)'!L35</f>
        <v>NO</v>
      </c>
      <c r="M26" s="4236">
        <f>'Table2(I)'!M35</f>
        <v>165.89627625681268</v>
      </c>
      <c r="N26" s="4237" t="str">
        <f>'Table2(I)'!N35</f>
        <v>NO</v>
      </c>
      <c r="O26" s="3783">
        <f t="shared" si="2"/>
        <v>256.36125249999992</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t="str">
        <f>'Table2(I)'!F45</f>
        <v>NO</v>
      </c>
      <c r="G28" s="4221" t="str">
        <f>'Table2(I)'!G45</f>
        <v>NO</v>
      </c>
      <c r="H28" s="4221" t="str">
        <f>'Table2(I)'!H45</f>
        <v>NO</v>
      </c>
      <c r="I28" s="4221" t="str">
        <f>'Table2(I)'!I45</f>
        <v>NO</v>
      </c>
      <c r="J28" s="4221" t="str">
        <f>'Table2(I)'!J45</f>
        <v>NO</v>
      </c>
      <c r="K28" s="3784"/>
      <c r="L28" s="3784"/>
      <c r="M28" s="3784"/>
      <c r="N28" s="3793"/>
      <c r="O28" s="3785" t="str">
        <f t="shared" si="2"/>
        <v>NO</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1.1320709158452919E-2</v>
      </c>
      <c r="J29" s="616" t="str">
        <f>'Table2(I)'!J52</f>
        <v>NO</v>
      </c>
      <c r="K29" s="3796" t="str">
        <f>'Table2(I)'!K52</f>
        <v>NO</v>
      </c>
      <c r="L29" s="3796" t="str">
        <f>'Table2(I)'!L52</f>
        <v>NO</v>
      </c>
      <c r="M29" s="3796" t="str">
        <f>'Table2(I)'!M52</f>
        <v>NO</v>
      </c>
      <c r="N29" s="3797" t="str">
        <f>'Table2(I)'!N52</f>
        <v>NO</v>
      </c>
      <c r="O29" s="3785">
        <f t="shared" si="2"/>
        <v>266.03666522364358</v>
      </c>
    </row>
    <row r="30" spans="2:15" ht="18" customHeight="1" thickBot="1" x14ac:dyDescent="0.3">
      <c r="B30" s="1375" t="s">
        <v>2040</v>
      </c>
      <c r="C30" s="4239">
        <f>'Table2(I)'!C57</f>
        <v>87.563067390773512</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33.45073</v>
      </c>
      <c r="N30" s="4242" t="str">
        <f>'Table2(I)'!N57</f>
        <v>NA</v>
      </c>
      <c r="O30" s="3798">
        <f t="shared" si="2"/>
        <v>87.563067390773512</v>
      </c>
    </row>
    <row r="31" spans="2:15" ht="18" customHeight="1" x14ac:dyDescent="0.25">
      <c r="B31" s="1134" t="s">
        <v>1491</v>
      </c>
      <c r="C31" s="3817">
        <f>Table3!C10</f>
        <v>689.81122303868347</v>
      </c>
      <c r="D31" s="3799">
        <f>Table3!D10</f>
        <v>2747.9990242827726</v>
      </c>
      <c r="E31" s="3800">
        <f>Table3!E10</f>
        <v>40.315632942925866</v>
      </c>
      <c r="F31" s="3801"/>
      <c r="G31" s="3801"/>
      <c r="H31" s="3801"/>
      <c r="I31" s="3801"/>
      <c r="J31" s="3801"/>
      <c r="K31" s="4243">
        <f>Table3!F10</f>
        <v>25.267327736104672</v>
      </c>
      <c r="L31" s="4243">
        <f>Table3!G10</f>
        <v>414.51006766318534</v>
      </c>
      <c r="M31" s="4243">
        <f>Table3!H10</f>
        <v>24.179753947019147</v>
      </c>
      <c r="N31" s="4244" t="str">
        <f>Table3!I10</f>
        <v>NO</v>
      </c>
      <c r="O31" s="3782">
        <f t="shared" si="2"/>
        <v>88317.426632831673</v>
      </c>
    </row>
    <row r="32" spans="2:15" ht="18" customHeight="1" x14ac:dyDescent="0.25">
      <c r="B32" s="4245" t="s">
        <v>1492</v>
      </c>
      <c r="C32" s="3791"/>
      <c r="D32" s="4246">
        <f>Table3!D11</f>
        <v>2477.5904785214002</v>
      </c>
      <c r="E32" s="98"/>
      <c r="F32" s="3802"/>
      <c r="G32" s="3802"/>
      <c r="H32" s="3789"/>
      <c r="I32" s="3802"/>
      <c r="J32" s="3789"/>
      <c r="K32" s="98"/>
      <c r="L32" s="98"/>
      <c r="M32" s="98"/>
      <c r="N32" s="3803"/>
      <c r="O32" s="3782">
        <f t="shared" si="2"/>
        <v>69372.533398599204</v>
      </c>
    </row>
    <row r="33" spans="2:15" ht="18" customHeight="1" x14ac:dyDescent="0.25">
      <c r="B33" s="4245" t="s">
        <v>1493</v>
      </c>
      <c r="C33" s="3791"/>
      <c r="D33" s="4226">
        <f>Table3!D20</f>
        <v>239.19994565583048</v>
      </c>
      <c r="E33" s="4226">
        <f>Table3!E20</f>
        <v>0.81145672043367267</v>
      </c>
      <c r="F33" s="3802"/>
      <c r="G33" s="3802"/>
      <c r="H33" s="3802"/>
      <c r="I33" s="3802"/>
      <c r="J33" s="3802"/>
      <c r="K33" s="69"/>
      <c r="L33" s="69"/>
      <c r="M33" s="4247" t="str">
        <f>Table3!H20</f>
        <v>NE</v>
      </c>
      <c r="N33" s="3804"/>
      <c r="O33" s="3783">
        <f t="shared" si="2"/>
        <v>6912.6345092781767</v>
      </c>
    </row>
    <row r="34" spans="2:15" ht="18" customHeight="1" x14ac:dyDescent="0.25">
      <c r="B34" s="4245" t="s">
        <v>1494</v>
      </c>
      <c r="C34" s="3791"/>
      <c r="D34" s="4226">
        <f>Table3!D31</f>
        <v>20.580136832126925</v>
      </c>
      <c r="E34" s="69"/>
      <c r="F34" s="3802"/>
      <c r="G34" s="3802"/>
      <c r="H34" s="3802"/>
      <c r="I34" s="3802"/>
      <c r="J34" s="3802"/>
      <c r="K34" s="69"/>
      <c r="L34" s="69"/>
      <c r="M34" s="4247" t="str">
        <f>Table3!H31</f>
        <v>NE</v>
      </c>
      <c r="N34" s="3804"/>
      <c r="O34" s="3783">
        <f t="shared" si="2"/>
        <v>576.2438312995539</v>
      </c>
    </row>
    <row r="35" spans="2:15" ht="18" customHeight="1" x14ac:dyDescent="0.25">
      <c r="B35" s="4245" t="s">
        <v>1495</v>
      </c>
      <c r="C35" s="4248"/>
      <c r="D35" s="4226" t="str">
        <f>Table3!D32</f>
        <v>NE</v>
      </c>
      <c r="E35" s="4226">
        <f>Table3!E32</f>
        <v>39.066836968095018</v>
      </c>
      <c r="F35" s="3802"/>
      <c r="G35" s="3802"/>
      <c r="H35" s="3802"/>
      <c r="I35" s="3802"/>
      <c r="J35" s="3802"/>
      <c r="K35" s="4247" t="str">
        <f>Table3!F32</f>
        <v>NO</v>
      </c>
      <c r="L35" s="4247" t="str">
        <f>Table3!G32</f>
        <v>NO</v>
      </c>
      <c r="M35" s="4247" t="str">
        <f>Table3!H32</f>
        <v>NO</v>
      </c>
      <c r="N35" s="3804"/>
      <c r="O35" s="3783">
        <f t="shared" si="2"/>
        <v>10352.71179654518</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10.628463273415008</v>
      </c>
      <c r="E37" s="4226">
        <f>Table3!E43</f>
        <v>0.43733925439717408</v>
      </c>
      <c r="F37" s="3802"/>
      <c r="G37" s="3802"/>
      <c r="H37" s="3802"/>
      <c r="I37" s="3802"/>
      <c r="J37" s="3802"/>
      <c r="K37" s="4247">
        <f>Table3!F43</f>
        <v>25.267327736104672</v>
      </c>
      <c r="L37" s="4247">
        <f>Table3!G43</f>
        <v>414.51006766318534</v>
      </c>
      <c r="M37" s="4247">
        <f>Table3!H43</f>
        <v>24.179753947019147</v>
      </c>
      <c r="N37" s="4247" t="str">
        <f>Table3!I43</f>
        <v>NO</v>
      </c>
      <c r="O37" s="3783">
        <f t="shared" si="2"/>
        <v>413.49187407087135</v>
      </c>
    </row>
    <row r="38" spans="2:15" ht="18" customHeight="1" x14ac:dyDescent="0.25">
      <c r="B38" s="4249" t="s">
        <v>721</v>
      </c>
      <c r="C38" s="3794">
        <f>Table3!C44</f>
        <v>316.7677447778139</v>
      </c>
      <c r="D38" s="4250"/>
      <c r="E38" s="4250"/>
      <c r="F38" s="3792"/>
      <c r="G38" s="3792"/>
      <c r="H38" s="3792"/>
      <c r="I38" s="3792"/>
      <c r="J38" s="3792"/>
      <c r="K38" s="3805"/>
      <c r="L38" s="3805"/>
      <c r="M38" s="3805"/>
      <c r="N38" s="3793"/>
      <c r="O38" s="3785">
        <f t="shared" si="2"/>
        <v>316.7677447778139</v>
      </c>
    </row>
    <row r="39" spans="2:15" ht="18" customHeight="1" x14ac:dyDescent="0.25">
      <c r="B39" s="4249" t="s">
        <v>722</v>
      </c>
      <c r="C39" s="3806">
        <f>Table3!C45</f>
        <v>373.04347826086962</v>
      </c>
      <c r="D39" s="4250"/>
      <c r="E39" s="4250"/>
      <c r="F39" s="3792"/>
      <c r="G39" s="3792"/>
      <c r="H39" s="3792"/>
      <c r="I39" s="3792"/>
      <c r="J39" s="3792"/>
      <c r="K39" s="3805"/>
      <c r="L39" s="3805"/>
      <c r="M39" s="3805"/>
      <c r="N39" s="3793"/>
      <c r="O39" s="3785">
        <f t="shared" si="2"/>
        <v>373.04347826086962</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93300.057357073572</v>
      </c>
      <c r="D42" s="3809">
        <f>Table4!D10</f>
        <v>642.35938777762067</v>
      </c>
      <c r="E42" s="3810">
        <f>Table4!E10</f>
        <v>14.065730973393464</v>
      </c>
      <c r="F42" s="3801"/>
      <c r="G42" s="3801"/>
      <c r="H42" s="3801"/>
      <c r="I42" s="3801"/>
      <c r="J42" s="3801"/>
      <c r="K42" s="4253">
        <f>Table4!F10</f>
        <v>697.27528470039272</v>
      </c>
      <c r="L42" s="4253">
        <f>Table4!G10</f>
        <v>19344.567667515479</v>
      </c>
      <c r="M42" s="4253">
        <f>Table4!H10</f>
        <v>824.18921818552553</v>
      </c>
      <c r="N42" s="4254" t="str">
        <f>N50</f>
        <v>NO</v>
      </c>
      <c r="O42" s="3781">
        <f t="shared" si="2"/>
        <v>115013.53892279622</v>
      </c>
    </row>
    <row r="43" spans="2:15" ht="18" customHeight="1" x14ac:dyDescent="0.25">
      <c r="B43" s="4245" t="s">
        <v>2042</v>
      </c>
      <c r="C43" s="4255">
        <f>Table4!C11</f>
        <v>-16278.679950053735</v>
      </c>
      <c r="D43" s="4256">
        <f>Table4!D11</f>
        <v>250.53237575598624</v>
      </c>
      <c r="E43" s="4257">
        <f>Table4!E11</f>
        <v>4.9733235005788536</v>
      </c>
      <c r="F43" s="3792"/>
      <c r="G43" s="3792"/>
      <c r="H43" s="3792"/>
      <c r="I43" s="3792"/>
      <c r="J43" s="3792"/>
      <c r="K43" s="4247">
        <f>Table4!F11</f>
        <v>257.51264739740992</v>
      </c>
      <c r="L43" s="4247">
        <f>Table4!G11</f>
        <v>7009.3863247429563</v>
      </c>
      <c r="M43" s="4247">
        <f>Table4!H11</f>
        <v>263.26799984058192</v>
      </c>
      <c r="N43" s="3811"/>
      <c r="O43" s="3812">
        <f t="shared" si="2"/>
        <v>-7945.8427012327247</v>
      </c>
    </row>
    <row r="44" spans="2:15" ht="18" customHeight="1" x14ac:dyDescent="0.25">
      <c r="B44" s="4245" t="s">
        <v>2043</v>
      </c>
      <c r="C44" s="4255">
        <f>Table4!C14</f>
        <v>26788.73302578416</v>
      </c>
      <c r="D44" s="4258">
        <f>Table4!D14</f>
        <v>10.180936800000001</v>
      </c>
      <c r="E44" s="4258">
        <f>Table4!E14</f>
        <v>0.34728920466759539</v>
      </c>
      <c r="F44" s="3802"/>
      <c r="G44" s="3802"/>
      <c r="H44" s="3802"/>
      <c r="I44" s="3802"/>
      <c r="J44" s="3802"/>
      <c r="K44" s="4247">
        <f>Table4!F14</f>
        <v>7.6660030071428569</v>
      </c>
      <c r="L44" s="4247">
        <f>Table4!G14</f>
        <v>300.2433676666667</v>
      </c>
      <c r="M44" s="4247">
        <f>Table4!H14</f>
        <v>36.293154333333341</v>
      </c>
      <c r="N44" s="4259"/>
      <c r="O44" s="3783">
        <f t="shared" si="2"/>
        <v>27165.830895421073</v>
      </c>
    </row>
    <row r="45" spans="2:15" ht="18" customHeight="1" x14ac:dyDescent="0.25">
      <c r="B45" s="4245" t="s">
        <v>2044</v>
      </c>
      <c r="C45" s="4255">
        <f>Table4!C17</f>
        <v>81142.990304352454</v>
      </c>
      <c r="D45" s="4258">
        <f>Table4!D17</f>
        <v>290.79311439165775</v>
      </c>
      <c r="E45" s="4258">
        <f>Table4!E17</f>
        <v>8.3647743180925715</v>
      </c>
      <c r="F45" s="3802"/>
      <c r="G45" s="3802"/>
      <c r="H45" s="3802"/>
      <c r="I45" s="3802"/>
      <c r="J45" s="3802"/>
      <c r="K45" s="4247">
        <f>Table4!F17</f>
        <v>411.75350840615755</v>
      </c>
      <c r="L45" s="4247">
        <f>Table4!G17</f>
        <v>11492.174706018612</v>
      </c>
      <c r="M45" s="4247">
        <f>Table4!H17</f>
        <v>507.23836358687657</v>
      </c>
      <c r="N45" s="4259"/>
      <c r="O45" s="3783">
        <f t="shared" si="2"/>
        <v>91501.862701613398</v>
      </c>
    </row>
    <row r="46" spans="2:15" ht="18" customHeight="1" x14ac:dyDescent="0.25">
      <c r="B46" s="4245" t="s">
        <v>2045</v>
      </c>
      <c r="C46" s="4255">
        <f>Table4!C20</f>
        <v>1945.4130819571167</v>
      </c>
      <c r="D46" s="4258">
        <f>Table4!D20</f>
        <v>86.046996829976621</v>
      </c>
      <c r="E46" s="4258">
        <f>Table4!E20</f>
        <v>0.23163920607718325</v>
      </c>
      <c r="F46" s="3802"/>
      <c r="G46" s="3802"/>
      <c r="H46" s="3802"/>
      <c r="I46" s="3802"/>
      <c r="J46" s="3802"/>
      <c r="K46" s="4247">
        <f>Table4!F20</f>
        <v>16.724349425396646</v>
      </c>
      <c r="L46" s="4247">
        <f>Table4!G20</f>
        <v>401.03183075391183</v>
      </c>
      <c r="M46" s="4247">
        <f>Table4!H20</f>
        <v>0.25732875806709343</v>
      </c>
      <c r="N46" s="4259"/>
      <c r="O46" s="3783">
        <f t="shared" si="2"/>
        <v>4416.113382806916</v>
      </c>
    </row>
    <row r="47" spans="2:15" ht="18" customHeight="1" x14ac:dyDescent="0.25">
      <c r="B47" s="4245" t="s">
        <v>2046</v>
      </c>
      <c r="C47" s="4255">
        <f>Table4!C23</f>
        <v>6400.8493995465396</v>
      </c>
      <c r="D47" s="4258">
        <f>Table4!D23</f>
        <v>4.8059639999999995</v>
      </c>
      <c r="E47" s="4260">
        <f>Table4!E23</f>
        <v>0.12058072969154435</v>
      </c>
      <c r="F47" s="3802"/>
      <c r="G47" s="3802"/>
      <c r="H47" s="3802"/>
      <c r="I47" s="3802"/>
      <c r="J47" s="3802"/>
      <c r="K47" s="4247">
        <f>Table4!F23</f>
        <v>3.6187764642857143</v>
      </c>
      <c r="L47" s="4247">
        <f>Table4!G23</f>
        <v>141.73143833333336</v>
      </c>
      <c r="M47" s="4247">
        <f>Table4!H23</f>
        <v>17.132371666666668</v>
      </c>
      <c r="N47" s="1838"/>
      <c r="O47" s="3783">
        <f t="shared" si="2"/>
        <v>6567.3702849147985</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-6699.2485045129597</v>
      </c>
      <c r="D49" s="3792"/>
      <c r="E49" s="3792"/>
      <c r="F49" s="3792"/>
      <c r="G49" s="3792"/>
      <c r="H49" s="3792"/>
      <c r="I49" s="3792"/>
      <c r="J49" s="3792"/>
      <c r="K49" s="3792"/>
      <c r="L49" s="3792"/>
      <c r="M49" s="3792"/>
      <c r="N49" s="3814"/>
      <c r="O49" s="3785">
        <f t="shared" si="2"/>
        <v>-6699.2485045129597</v>
      </c>
    </row>
    <row r="50" spans="2:15" ht="18" customHeight="1" thickBot="1" x14ac:dyDescent="0.3">
      <c r="B50" s="4251" t="s">
        <v>2049</v>
      </c>
      <c r="C50" s="4264" t="str">
        <f>Table4!C30</f>
        <v>NO</v>
      </c>
      <c r="D50" s="4265" t="str">
        <f>Table4!D30</f>
        <v>NO</v>
      </c>
      <c r="E50" s="4265">
        <f>Table4!E30</f>
        <v>2.8124014285714288E-2</v>
      </c>
      <c r="F50" s="3807"/>
      <c r="G50" s="3807"/>
      <c r="H50" s="3807"/>
      <c r="I50" s="3807"/>
      <c r="J50" s="3807"/>
      <c r="K50" s="4266" t="str">
        <f>Table4!F30</f>
        <v>NO</v>
      </c>
      <c r="L50" s="4266" t="str">
        <f>Table4!G30</f>
        <v>NO</v>
      </c>
      <c r="M50" s="4266" t="str">
        <f>Table4!H30</f>
        <v>NO</v>
      </c>
      <c r="N50" s="4266" t="s">
        <v>2146</v>
      </c>
      <c r="O50" s="3798">
        <f t="shared" si="2"/>
        <v>7.4528637857142863</v>
      </c>
    </row>
    <row r="51" spans="2:15" ht="18" customHeight="1" x14ac:dyDescent="0.25">
      <c r="B51" s="1377" t="s">
        <v>1500</v>
      </c>
      <c r="C51" s="3815">
        <f>Table5!C10</f>
        <v>74.127612218528441</v>
      </c>
      <c r="D51" s="3799">
        <f>Table5!D10</f>
        <v>817.14945109823088</v>
      </c>
      <c r="E51" s="3800">
        <f>Table5!E10</f>
        <v>0.64167034590775029</v>
      </c>
      <c r="F51" s="3801"/>
      <c r="G51" s="3801"/>
      <c r="H51" s="3801"/>
      <c r="I51" s="3801"/>
      <c r="J51" s="3801"/>
      <c r="K51" s="4243" t="str">
        <f>Table5!F10</f>
        <v>NO</v>
      </c>
      <c r="L51" s="4243" t="str">
        <f>Table5!G10</f>
        <v>NO</v>
      </c>
      <c r="M51" s="4243">
        <f>Table5!H10</f>
        <v>477.600211656645</v>
      </c>
      <c r="N51" s="4244" t="str">
        <f>Table5!I10</f>
        <v>NO</v>
      </c>
      <c r="O51" s="4267">
        <f t="shared" si="2"/>
        <v>23124.354884634547</v>
      </c>
    </row>
    <row r="52" spans="2:15" ht="18" customHeight="1" x14ac:dyDescent="0.25">
      <c r="B52" s="4245" t="s">
        <v>2050</v>
      </c>
      <c r="C52" s="4248"/>
      <c r="D52" s="4246">
        <f>Table5!D11</f>
        <v>602.77834210000003</v>
      </c>
      <c r="E52" s="3816"/>
      <c r="F52" s="3801"/>
      <c r="G52" s="3801"/>
      <c r="H52" s="3801"/>
      <c r="I52" s="3801"/>
      <c r="J52" s="3801"/>
      <c r="K52" s="4247" t="str">
        <f>Table5!F11</f>
        <v>NO</v>
      </c>
      <c r="L52" s="4247" t="str">
        <f>Table5!G11</f>
        <v>NO</v>
      </c>
      <c r="M52" s="4247">
        <f>Table5!H11</f>
        <v>2.7278213256574779</v>
      </c>
      <c r="N52" s="3803"/>
      <c r="O52" s="4267">
        <f t="shared" si="2"/>
        <v>16877.7935788</v>
      </c>
    </row>
    <row r="53" spans="2:15" ht="18" customHeight="1" x14ac:dyDescent="0.25">
      <c r="B53" s="4245" t="s">
        <v>1501</v>
      </c>
      <c r="C53" s="4248"/>
      <c r="D53" s="4246">
        <f>Table5!D15</f>
        <v>0.61593606125799227</v>
      </c>
      <c r="E53" s="4246">
        <f>Table5!E15</f>
        <v>7.8839815841023009E-2</v>
      </c>
      <c r="F53" s="3802"/>
      <c r="G53" s="3802"/>
      <c r="H53" s="3802"/>
      <c r="I53" s="3802"/>
      <c r="J53" s="3802"/>
      <c r="K53" s="4247" t="str">
        <f>Table5!F15</f>
        <v>NA,NE</v>
      </c>
      <c r="L53" s="4247" t="str">
        <f>Table5!G15</f>
        <v>NA,NE</v>
      </c>
      <c r="M53" s="4247" t="str">
        <f>Table5!H15</f>
        <v>NA,NE</v>
      </c>
      <c r="N53" s="3803"/>
      <c r="O53" s="3782">
        <f t="shared" si="2"/>
        <v>38.138760913094885</v>
      </c>
    </row>
    <row r="54" spans="2:15" ht="18" customHeight="1" x14ac:dyDescent="0.25">
      <c r="B54" s="4245" t="s">
        <v>2051</v>
      </c>
      <c r="C54" s="4268">
        <f>Table5!C18</f>
        <v>74.127612218528441</v>
      </c>
      <c r="D54" s="4226">
        <f>Table5!D18</f>
        <v>9.2671199999999995E-2</v>
      </c>
      <c r="E54" s="4226">
        <f>Table5!E18</f>
        <v>3.7979999999999993E-2</v>
      </c>
      <c r="F54" s="3802"/>
      <c r="G54" s="3802"/>
      <c r="H54" s="3802"/>
      <c r="I54" s="3802"/>
      <c r="J54" s="3802"/>
      <c r="K54" s="4247" t="str">
        <f>Table5!F18</f>
        <v>NA</v>
      </c>
      <c r="L54" s="4247" t="str">
        <f>Table5!G18</f>
        <v>NA</v>
      </c>
      <c r="M54" s="4247" t="str">
        <f>Table5!H18</f>
        <v>NA</v>
      </c>
      <c r="N54" s="4269" t="str">
        <f>Table5!I18</f>
        <v>NA</v>
      </c>
      <c r="O54" s="4270">
        <f t="shared" si="2"/>
        <v>86.787105818528445</v>
      </c>
    </row>
    <row r="55" spans="2:15" ht="18" customHeight="1" x14ac:dyDescent="0.25">
      <c r="B55" s="4245" t="s">
        <v>1502</v>
      </c>
      <c r="C55" s="3791"/>
      <c r="D55" s="4226">
        <f>Table5!D21</f>
        <v>213.66250173697281</v>
      </c>
      <c r="E55" s="4226">
        <f>Table5!E21</f>
        <v>0.52485053006672733</v>
      </c>
      <c r="F55" s="3802"/>
      <c r="G55" s="3802"/>
      <c r="H55" s="3802"/>
      <c r="I55" s="3802"/>
      <c r="J55" s="3802"/>
      <c r="K55" s="4247" t="str">
        <f>Table5!F21</f>
        <v>NO</v>
      </c>
      <c r="L55" s="4247" t="str">
        <f>Table5!G21</f>
        <v>NO</v>
      </c>
      <c r="M55" s="4247">
        <f>Table5!H21</f>
        <v>474.87239033098751</v>
      </c>
      <c r="N55" s="3803"/>
      <c r="O55" s="4270">
        <f t="shared" si="2"/>
        <v>6121.6354391029208</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6645.570999999999</v>
      </c>
      <c r="D61" s="3820">
        <f>Table1!D52</f>
        <v>0.18212162833333337</v>
      </c>
      <c r="E61" s="3820">
        <f>Table1!E52</f>
        <v>7.4823900764035098E-2</v>
      </c>
      <c r="F61" s="628"/>
      <c r="G61" s="628"/>
      <c r="H61" s="628"/>
      <c r="I61" s="628"/>
      <c r="J61" s="628"/>
      <c r="K61" s="3820">
        <f>Table1!F52</f>
        <v>72.208007532192994</v>
      </c>
      <c r="L61" s="3820">
        <f>Table1!G52</f>
        <v>9.2798040886842106</v>
      </c>
      <c r="M61" s="3820">
        <f>Table1!H52</f>
        <v>5.182342999622807</v>
      </c>
      <c r="N61" s="3821">
        <f>Table1!I52</f>
        <v>26.766367611336033</v>
      </c>
      <c r="O61" s="4267">
        <f t="shared" ref="O61:O67" si="4">IF(SUM(C61:J61)=0,"NO",SUM(C61,F61:H61)+28*SUM(D61)+265*SUM(E61)+23500*SUM(I61)+16100*SUM(J61))</f>
        <v>6670.4987392958019</v>
      </c>
    </row>
    <row r="62" spans="2:15" ht="18" customHeight="1" x14ac:dyDescent="0.25">
      <c r="B62" s="1371" t="s">
        <v>111</v>
      </c>
      <c r="C62" s="4279">
        <f>Table1!C53</f>
        <v>4837.1999999999989</v>
      </c>
      <c r="D62" s="4233">
        <f>Table1!D53</f>
        <v>8.521628333333333E-3</v>
      </c>
      <c r="E62" s="4233">
        <f>Table1!E53</f>
        <v>2.5223900764035089E-2</v>
      </c>
      <c r="F62" s="628"/>
      <c r="G62" s="628"/>
      <c r="H62" s="628"/>
      <c r="I62" s="628"/>
      <c r="J62" s="2135"/>
      <c r="K62" s="4233">
        <f>Table1!F53</f>
        <v>24.527407532192981</v>
      </c>
      <c r="L62" s="4233">
        <f>Table1!G53</f>
        <v>7.644774088684211</v>
      </c>
      <c r="M62" s="4233">
        <f>Table1!H53</f>
        <v>3.6976329996228072</v>
      </c>
      <c r="N62" s="4234">
        <f>Table1!I53</f>
        <v>0.56990000000000007</v>
      </c>
      <c r="O62" s="3782">
        <f t="shared" si="4"/>
        <v>4844.1229392958012</v>
      </c>
    </row>
    <row r="63" spans="2:15" ht="18" customHeight="1" x14ac:dyDescent="0.25">
      <c r="B63" s="1380" t="s">
        <v>1503</v>
      </c>
      <c r="C63" s="4279">
        <f>Table1!C54</f>
        <v>1808.3709999999999</v>
      </c>
      <c r="D63" s="4219">
        <f>Table1!D54</f>
        <v>0.17360000000000003</v>
      </c>
      <c r="E63" s="4219">
        <f>Table1!E54</f>
        <v>4.9600000000000005E-2</v>
      </c>
      <c r="F63" s="628"/>
      <c r="G63" s="628"/>
      <c r="H63" s="628"/>
      <c r="I63" s="628"/>
      <c r="J63" s="628"/>
      <c r="K63" s="4219">
        <f>Table1!F54</f>
        <v>47.680600000000005</v>
      </c>
      <c r="L63" s="4219">
        <f>Table1!G54</f>
        <v>1.6350300000000002</v>
      </c>
      <c r="M63" s="4219">
        <f>Table1!H54</f>
        <v>1.48471</v>
      </c>
      <c r="N63" s="4220">
        <f>Table1!I54</f>
        <v>26.196467611336033</v>
      </c>
      <c r="O63" s="3783">
        <f t="shared" si="4"/>
        <v>1826.3757999999998</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13705.0345</v>
      </c>
      <c r="D65" s="3823"/>
      <c r="E65" s="3823"/>
      <c r="F65" s="3824"/>
      <c r="G65" s="3824"/>
      <c r="H65" s="3824"/>
      <c r="I65" s="3824"/>
      <c r="J65" s="3823"/>
      <c r="K65" s="3823"/>
      <c r="L65" s="3823"/>
      <c r="M65" s="3823"/>
      <c r="N65" s="3825"/>
      <c r="O65" s="3812">
        <f t="shared" si="4"/>
        <v>13705.0345</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-195297.11549069456</v>
      </c>
      <c r="D67" s="3824"/>
      <c r="E67" s="3824"/>
      <c r="F67" s="3828"/>
      <c r="G67" s="3824"/>
      <c r="H67" s="3824"/>
      <c r="I67" s="3824"/>
      <c r="J67" s="3824"/>
      <c r="K67" s="3824"/>
      <c r="L67" s="3824"/>
      <c r="M67" s="3824"/>
      <c r="N67" s="3829"/>
      <c r="O67" s="3785">
        <f t="shared" si="4"/>
        <v>-195297.11549069456</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377828.83068512147</v>
      </c>
      <c r="D10" s="4213">
        <f>IFERROR(Summary1!D10*28,Summary1!D10)</f>
        <v>156014.66791805657</v>
      </c>
      <c r="E10" s="4213">
        <f>IFERROR(Summary1!E10*265,Summary1!E10)</f>
        <v>17399.015295343495</v>
      </c>
      <c r="F10" s="4213">
        <f>Summary1!F10</f>
        <v>1116.992</v>
      </c>
      <c r="G10" s="4213">
        <f>Summary1!G10</f>
        <v>4140.1764526673724</v>
      </c>
      <c r="H10" s="4213" t="str">
        <f>Summary1!H10</f>
        <v>NO</v>
      </c>
      <c r="I10" s="4288">
        <f>IFERROR(Summary1!I10*23500,Summary1!I10)</f>
        <v>266.03666522364358</v>
      </c>
      <c r="J10" s="4289" t="str">
        <f>IFERROR(Summary1!J10*16100,Summary1!J10)</f>
        <v>NO</v>
      </c>
      <c r="K10" s="4214">
        <f>IF(SUM(C10:J10)=0,"NO",SUM(C10:J10))</f>
        <v>556765.71901641251</v>
      </c>
    </row>
    <row r="11" spans="2:12" ht="18" customHeight="1" x14ac:dyDescent="0.2">
      <c r="B11" s="1550" t="s">
        <v>1476</v>
      </c>
      <c r="C11" s="4253">
        <f>Summary1!C11</f>
        <v>265479.52700305701</v>
      </c>
      <c r="D11" s="4253">
        <f>IFERROR(Summary1!D11*28,Summary1!D11)</f>
        <v>38112.322610022471</v>
      </c>
      <c r="E11" s="4253">
        <f>IFERROR(Summary1!E11*265,Summary1!E11)</f>
        <v>1829.575874716684</v>
      </c>
      <c r="F11" s="1929"/>
      <c r="G11" s="1929"/>
      <c r="H11" s="1930"/>
      <c r="I11" s="1930"/>
      <c r="J11" s="627"/>
      <c r="K11" s="4290">
        <f t="shared" ref="K11:K55" si="0">IF(SUM(C11:J11)=0,"NO",SUM(C11:J11))</f>
        <v>305421.42548779614</v>
      </c>
      <c r="L11" s="19"/>
    </row>
    <row r="12" spans="2:12" ht="18" customHeight="1" x14ac:dyDescent="0.2">
      <c r="B12" s="620" t="s">
        <v>131</v>
      </c>
      <c r="C12" s="4247">
        <f>Summary1!C12</f>
        <v>258175.82649789355</v>
      </c>
      <c r="D12" s="4247">
        <f>IFERROR(Summary1!D12*28,Summary1!D12)</f>
        <v>3847.9755549260153</v>
      </c>
      <c r="E12" s="4247">
        <f>IFERROR(Summary1!E12*265,Summary1!E12)</f>
        <v>1795.8177288375477</v>
      </c>
      <c r="F12" s="628"/>
      <c r="G12" s="628"/>
      <c r="H12" s="628"/>
      <c r="I12" s="69"/>
      <c r="J12" s="69"/>
      <c r="K12" s="4291">
        <f t="shared" si="0"/>
        <v>263819.61978165712</v>
      </c>
      <c r="L12" s="19"/>
    </row>
    <row r="13" spans="2:12" ht="18" customHeight="1" x14ac:dyDescent="0.2">
      <c r="B13" s="1392" t="s">
        <v>1478</v>
      </c>
      <c r="C13" s="4247">
        <f>Summary1!C13</f>
        <v>149114.46071351453</v>
      </c>
      <c r="D13" s="4247">
        <f>IFERROR(Summary1!D13*28,Summary1!D13)</f>
        <v>165.93755714435159</v>
      </c>
      <c r="E13" s="4247">
        <f>IFERROR(Summary1!E13*265,Summary1!E13)</f>
        <v>439.3974341120188</v>
      </c>
      <c r="F13" s="628"/>
      <c r="G13" s="628"/>
      <c r="H13" s="628"/>
      <c r="I13" s="69"/>
      <c r="J13" s="69"/>
      <c r="K13" s="4291">
        <f t="shared" si="0"/>
        <v>149719.79570477089</v>
      </c>
      <c r="L13" s="19"/>
    </row>
    <row r="14" spans="2:12" ht="18" customHeight="1" x14ac:dyDescent="0.2">
      <c r="B14" s="1392" t="s">
        <v>1517</v>
      </c>
      <c r="C14" s="4247">
        <f>Summary1!C14</f>
        <v>34991.925261337383</v>
      </c>
      <c r="D14" s="4247">
        <f>IFERROR(Summary1!D14*28,Summary1!D14)</f>
        <v>52.551294448258822</v>
      </c>
      <c r="E14" s="4247">
        <f>IFERROR(Summary1!E14*265,Summary1!E14)</f>
        <v>271.44235776090721</v>
      </c>
      <c r="F14" s="628"/>
      <c r="G14" s="628"/>
      <c r="H14" s="628"/>
      <c r="I14" s="69"/>
      <c r="J14" s="69"/>
      <c r="K14" s="4291">
        <f t="shared" si="0"/>
        <v>35315.918913546549</v>
      </c>
      <c r="L14" s="19"/>
    </row>
    <row r="15" spans="2:12" ht="18" customHeight="1" x14ac:dyDescent="0.2">
      <c r="B15" s="1392" t="s">
        <v>1480</v>
      </c>
      <c r="C15" s="4247">
        <f>Summary1!C15</f>
        <v>60120.186322479196</v>
      </c>
      <c r="D15" s="4247">
        <f>IFERROR(Summary1!D15*28,Summary1!D15)</f>
        <v>755.88258515622226</v>
      </c>
      <c r="E15" s="4247">
        <f>IFERROR(Summary1!E15*265,Summary1!E15)</f>
        <v>934.06190162060182</v>
      </c>
      <c r="F15" s="628"/>
      <c r="G15" s="628"/>
      <c r="H15" s="628"/>
      <c r="I15" s="69"/>
      <c r="J15" s="69"/>
      <c r="K15" s="4291">
        <f t="shared" si="0"/>
        <v>61810.130809256021</v>
      </c>
      <c r="L15" s="19"/>
    </row>
    <row r="16" spans="2:12" ht="18" customHeight="1" x14ac:dyDescent="0.2">
      <c r="B16" s="1392" t="s">
        <v>1481</v>
      </c>
      <c r="C16" s="4247">
        <f>Summary1!C16</f>
        <v>13489.892046300974</v>
      </c>
      <c r="D16" s="4247">
        <f>IFERROR(Summary1!D16*28,Summary1!D16)</f>
        <v>2872.9725852046899</v>
      </c>
      <c r="E16" s="4247">
        <f>IFERROR(Summary1!E16*265,Summary1!E16)</f>
        <v>147.59375865804481</v>
      </c>
      <c r="F16" s="628"/>
      <c r="G16" s="628"/>
      <c r="H16" s="628"/>
      <c r="I16" s="69"/>
      <c r="J16" s="69"/>
      <c r="K16" s="4291">
        <f t="shared" si="0"/>
        <v>16510.458390163709</v>
      </c>
      <c r="L16" s="19"/>
    </row>
    <row r="17" spans="2:12" ht="18" customHeight="1" x14ac:dyDescent="0.2">
      <c r="B17" s="1392" t="s">
        <v>1482</v>
      </c>
      <c r="C17" s="4247">
        <f>Summary1!C17</f>
        <v>459.36215426147743</v>
      </c>
      <c r="D17" s="4247">
        <f>IFERROR(Summary1!D17*28,Summary1!D17)</f>
        <v>0.63153297249244067</v>
      </c>
      <c r="E17" s="4247">
        <f>IFERROR(Summary1!E17*265,Summary1!E17)</f>
        <v>3.3222766859750958</v>
      </c>
      <c r="F17" s="628"/>
      <c r="G17" s="628"/>
      <c r="H17" s="628"/>
      <c r="I17" s="69"/>
      <c r="J17" s="69"/>
      <c r="K17" s="4291">
        <f t="shared" si="0"/>
        <v>463.31596391994498</v>
      </c>
      <c r="L17" s="19"/>
    </row>
    <row r="18" spans="2:12" ht="18" customHeight="1" x14ac:dyDescent="0.2">
      <c r="B18" s="620" t="s">
        <v>99</v>
      </c>
      <c r="C18" s="4247">
        <f>Summary1!C18</f>
        <v>7303.7005051634515</v>
      </c>
      <c r="D18" s="4247">
        <f>IFERROR(Summary1!D18*28,Summary1!D18)</f>
        <v>34264.347055096456</v>
      </c>
      <c r="E18" s="4247">
        <f>IFERROR(Summary1!E18*265,Summary1!E18)</f>
        <v>33.758145879136322</v>
      </c>
      <c r="F18" s="628"/>
      <c r="G18" s="628"/>
      <c r="H18" s="628"/>
      <c r="I18" s="69"/>
      <c r="J18" s="69"/>
      <c r="K18" s="4291">
        <f t="shared" si="0"/>
        <v>41601.805706139043</v>
      </c>
      <c r="L18" s="19"/>
    </row>
    <row r="19" spans="2:12" ht="18" customHeight="1" x14ac:dyDescent="0.2">
      <c r="B19" s="1392" t="s">
        <v>1483</v>
      </c>
      <c r="C19" s="4247">
        <f>Summary1!C19</f>
        <v>1300.9915961012321</v>
      </c>
      <c r="D19" s="4247">
        <f>IFERROR(Summary1!D19*28,Summary1!D19)</f>
        <v>25855.610318769857</v>
      </c>
      <c r="E19" s="4247">
        <f>IFERROR(Summary1!E19*265,Summary1!E19)</f>
        <v>3.743958013571978E-4</v>
      </c>
      <c r="F19" s="628"/>
      <c r="G19" s="628"/>
      <c r="H19" s="628"/>
      <c r="I19" s="69"/>
      <c r="J19" s="69"/>
      <c r="K19" s="4291">
        <f t="shared" si="0"/>
        <v>27156.602289266892</v>
      </c>
      <c r="L19" s="19"/>
    </row>
    <row r="20" spans="2:12" ht="18" customHeight="1" x14ac:dyDescent="0.2">
      <c r="B20" s="1393" t="s">
        <v>1484</v>
      </c>
      <c r="C20" s="4247">
        <f>Summary1!C20</f>
        <v>6002.7089090622194</v>
      </c>
      <c r="D20" s="4247">
        <f>IFERROR(Summary1!D20*28,Summary1!D20)</f>
        <v>8408.7367363266021</v>
      </c>
      <c r="E20" s="4247">
        <f>IFERROR(Summary1!E20*265,Summary1!E20)</f>
        <v>33.75777148333497</v>
      </c>
      <c r="F20" s="628"/>
      <c r="G20" s="628"/>
      <c r="H20" s="628"/>
      <c r="I20" s="69"/>
      <c r="J20" s="69"/>
      <c r="K20" s="4291">
        <f t="shared" si="0"/>
        <v>14445.203416872157</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18285.307489733619</v>
      </c>
      <c r="D22" s="4253">
        <f>IFERROR(Summary1!D22*28,Summary1!D22)</f>
        <v>92.125139592634639</v>
      </c>
      <c r="E22" s="4253">
        <f>IFERROR(Summary1!E22*265,Summary1!E22)</f>
        <v>988.33534113663256</v>
      </c>
      <c r="F22" s="4253">
        <f>Summary1!F22</f>
        <v>1116.992</v>
      </c>
      <c r="G22" s="4253">
        <f>Summary1!G22</f>
        <v>4140.1764526673724</v>
      </c>
      <c r="H22" s="4253" t="str">
        <f>Summary1!H22</f>
        <v>NO</v>
      </c>
      <c r="I22" s="4253">
        <f>IFERROR(Summary1!I22*23500,Summary1!I22)</f>
        <v>266.03666522364358</v>
      </c>
      <c r="J22" s="4293" t="str">
        <f>IFERROR(Summary1!J22*16100,Summary1!J22)</f>
        <v>NO</v>
      </c>
      <c r="K22" s="4290">
        <f t="shared" si="0"/>
        <v>24888.973088353901</v>
      </c>
      <c r="L22" s="19"/>
    </row>
    <row r="23" spans="2:12" ht="18" customHeight="1" x14ac:dyDescent="0.2">
      <c r="B23" s="1394" t="s">
        <v>1487</v>
      </c>
      <c r="C23" s="4247">
        <f>Summary1!C23</f>
        <v>4966.1950589056469</v>
      </c>
      <c r="D23" s="628"/>
      <c r="E23" s="628"/>
      <c r="F23" s="628"/>
      <c r="G23" s="628"/>
      <c r="H23" s="628"/>
      <c r="I23" s="69"/>
      <c r="J23" s="69"/>
      <c r="K23" s="4291">
        <f t="shared" si="0"/>
        <v>4966.1950589056469</v>
      </c>
      <c r="L23" s="19"/>
    </row>
    <row r="24" spans="2:12" ht="18" customHeight="1" x14ac:dyDescent="0.2">
      <c r="B24" s="1394" t="s">
        <v>621</v>
      </c>
      <c r="C24" s="4247">
        <f>Summary1!C24</f>
        <v>1114.7499284654682</v>
      </c>
      <c r="D24" s="4247">
        <f>IFERROR(Summary1!D24*28,Summary1!D24)</f>
        <v>11.413046848</v>
      </c>
      <c r="E24" s="4247">
        <f>IFERROR(Summary1!E24*265,Summary1!E24)</f>
        <v>968.06301521290345</v>
      </c>
      <c r="F24" s="1924">
        <f>Summary1!F24</f>
        <v>1116.992</v>
      </c>
      <c r="G24" s="1924" t="str">
        <f>Summary1!G24</f>
        <v>NO</v>
      </c>
      <c r="H24" s="1924" t="str">
        <f>Summary1!H24</f>
        <v>NO</v>
      </c>
      <c r="I24" s="616" t="str">
        <f>IFERROR(Summary1!I24*23500,Summary1!I24)</f>
        <v>NO</v>
      </c>
      <c r="J24" s="616" t="str">
        <f>IFERROR(Summary1!J24*16100,Summary1!J24)</f>
        <v>NO</v>
      </c>
      <c r="K24" s="4291">
        <f t="shared" si="0"/>
        <v>3211.217990526372</v>
      </c>
      <c r="L24" s="19"/>
    </row>
    <row r="25" spans="2:12" ht="18" customHeight="1" x14ac:dyDescent="0.2">
      <c r="B25" s="1394" t="s">
        <v>459</v>
      </c>
      <c r="C25" s="4247">
        <f>Summary1!C25</f>
        <v>11860.438182471731</v>
      </c>
      <c r="D25" s="4247">
        <f>IFERROR(Summary1!D25*28,Summary1!D25)</f>
        <v>80.712092744634646</v>
      </c>
      <c r="E25" s="4247">
        <f>IFERROR(Summary1!E25*265,Summary1!E25)</f>
        <v>20.272325923729191</v>
      </c>
      <c r="F25" s="1924" t="str">
        <f>Summary1!F25</f>
        <v>NO</v>
      </c>
      <c r="G25" s="4247">
        <f>Summary1!G25</f>
        <v>4140.1764526673724</v>
      </c>
      <c r="H25" s="4247" t="str">
        <f>Summary1!H25</f>
        <v>NO</v>
      </c>
      <c r="I25" s="4247" t="str">
        <f>IFERROR(Summary1!I25*23500,Summary1!I25)</f>
        <v>NO</v>
      </c>
      <c r="J25" s="4247" t="str">
        <f>IFERROR(Summary1!J25*16100,Summary1!J25)</f>
        <v>NO</v>
      </c>
      <c r="K25" s="4291">
        <f t="shared" si="0"/>
        <v>16101.599053807467</v>
      </c>
      <c r="L25" s="19"/>
    </row>
    <row r="26" spans="2:12" ht="18" customHeight="1" x14ac:dyDescent="0.2">
      <c r="B26" s="1395" t="s">
        <v>1519</v>
      </c>
      <c r="C26" s="4247">
        <f>Summary1!C26</f>
        <v>256.36125249999992</v>
      </c>
      <c r="D26" s="4247" t="str">
        <f>IFERROR(Summary1!D26*28,Summary1!D26)</f>
        <v>NO</v>
      </c>
      <c r="E26" s="4247" t="str">
        <f>IFERROR(Summary1!E26*265,Summary1!E26)</f>
        <v>NO</v>
      </c>
      <c r="F26" s="628"/>
      <c r="G26" s="628"/>
      <c r="H26" s="628"/>
      <c r="I26" s="69"/>
      <c r="J26" s="69"/>
      <c r="K26" s="4291">
        <f t="shared" si="0"/>
        <v>256.36125249999992</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t="str">
        <f>Summary1!F28</f>
        <v>NO</v>
      </c>
      <c r="G28" s="4247" t="str">
        <f>Summary1!G28</f>
        <v>NO</v>
      </c>
      <c r="H28" s="4247" t="str">
        <f>Summary1!H28</f>
        <v>NO</v>
      </c>
      <c r="I28" s="4247" t="str">
        <f>IFERROR(Summary1!I28*23500,Summary1!I28)</f>
        <v>NO</v>
      </c>
      <c r="J28" s="4247" t="str">
        <f>IFERROR(Summary1!J28*16100,Summary1!J28)</f>
        <v>NO</v>
      </c>
      <c r="K28" s="4291" t="str">
        <f t="shared" si="0"/>
        <v>NO</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266.03666522364358</v>
      </c>
      <c r="J29" s="4247" t="str">
        <f>IFERROR(Summary1!J29*16100,Summary1!J29)</f>
        <v>NO</v>
      </c>
      <c r="K29" s="4291">
        <f t="shared" si="0"/>
        <v>266.03666522364358</v>
      </c>
      <c r="L29" s="19"/>
    </row>
    <row r="30" spans="2:12" ht="18" customHeight="1" thickBot="1" x14ac:dyDescent="0.25">
      <c r="B30" s="1407" t="s">
        <v>1523</v>
      </c>
      <c r="C30" s="4266">
        <f>Summary1!C30</f>
        <v>87.563067390773512</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87.563067390773512</v>
      </c>
      <c r="L30" s="19"/>
    </row>
    <row r="31" spans="2:12" ht="18" customHeight="1" x14ac:dyDescent="0.2">
      <c r="B31" s="772" t="s">
        <v>1491</v>
      </c>
      <c r="C31" s="4253">
        <f>Summary1!C31</f>
        <v>689.81122303868347</v>
      </c>
      <c r="D31" s="4253">
        <f>IFERROR(Summary1!D31*28,Summary1!D31)</f>
        <v>76943.972679917628</v>
      </c>
      <c r="E31" s="4253">
        <f>IFERROR(Summary1!E31*265,Summary1!E31)</f>
        <v>10683.642729875355</v>
      </c>
      <c r="F31" s="1929"/>
      <c r="G31" s="1929"/>
      <c r="H31" s="1929"/>
      <c r="I31" s="4215"/>
      <c r="J31" s="627"/>
      <c r="K31" s="4290">
        <f t="shared" si="0"/>
        <v>88317.426632831673</v>
      </c>
      <c r="L31" s="19"/>
    </row>
    <row r="32" spans="2:12" ht="18" customHeight="1" x14ac:dyDescent="0.2">
      <c r="B32" s="620" t="s">
        <v>1492</v>
      </c>
      <c r="C32" s="628"/>
      <c r="D32" s="4247">
        <f>IFERROR(Summary1!D32*28,Summary1!D32)</f>
        <v>69372.533398599204</v>
      </c>
      <c r="E32" s="628"/>
      <c r="F32" s="628"/>
      <c r="G32" s="628"/>
      <c r="H32" s="628"/>
      <c r="I32" s="69"/>
      <c r="J32" s="69"/>
      <c r="K32" s="4291">
        <f t="shared" si="0"/>
        <v>69372.533398599204</v>
      </c>
      <c r="L32" s="19"/>
    </row>
    <row r="33" spans="2:12" ht="18" customHeight="1" x14ac:dyDescent="0.2">
      <c r="B33" s="620" t="s">
        <v>1493</v>
      </c>
      <c r="C33" s="628"/>
      <c r="D33" s="4247">
        <f>IFERROR(Summary1!D33*28,Summary1!D33)</f>
        <v>6697.598478363253</v>
      </c>
      <c r="E33" s="4247">
        <f>IFERROR(Summary1!E33*265,Summary1!E33)</f>
        <v>215.03603091492326</v>
      </c>
      <c r="F33" s="628"/>
      <c r="G33" s="628"/>
      <c r="H33" s="628"/>
      <c r="I33" s="69"/>
      <c r="J33" s="69"/>
      <c r="K33" s="4291">
        <f t="shared" si="0"/>
        <v>6912.6345092781767</v>
      </c>
      <c r="L33" s="19"/>
    </row>
    <row r="34" spans="2:12" ht="18" customHeight="1" x14ac:dyDescent="0.2">
      <c r="B34" s="620" t="s">
        <v>1494</v>
      </c>
      <c r="C34" s="628"/>
      <c r="D34" s="4247">
        <f>IFERROR(Summary1!D34*28,Summary1!D34)</f>
        <v>576.2438312995539</v>
      </c>
      <c r="E34" s="628"/>
      <c r="F34" s="628"/>
      <c r="G34" s="628"/>
      <c r="H34" s="628"/>
      <c r="I34" s="69"/>
      <c r="J34" s="69"/>
      <c r="K34" s="4291">
        <f t="shared" si="0"/>
        <v>576.2438312995539</v>
      </c>
      <c r="L34" s="19"/>
    </row>
    <row r="35" spans="2:12" ht="18" customHeight="1" x14ac:dyDescent="0.2">
      <c r="B35" s="620" t="s">
        <v>1495</v>
      </c>
      <c r="C35" s="4294"/>
      <c r="D35" s="4247" t="str">
        <f>IFERROR(Summary1!D35*28,Summary1!D35)</f>
        <v>NE</v>
      </c>
      <c r="E35" s="4247">
        <f>IFERROR(Summary1!E35*265,Summary1!E35)</f>
        <v>10352.71179654518</v>
      </c>
      <c r="F35" s="628"/>
      <c r="G35" s="628"/>
      <c r="H35" s="628"/>
      <c r="I35" s="69"/>
      <c r="J35" s="69"/>
      <c r="K35" s="4291">
        <f t="shared" si="0"/>
        <v>10352.71179654518</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297.59697165562022</v>
      </c>
      <c r="E37" s="4247">
        <f>IFERROR(Summary1!E37*265,Summary1!E37)</f>
        <v>115.89490241525114</v>
      </c>
      <c r="F37" s="628"/>
      <c r="G37" s="628"/>
      <c r="H37" s="628"/>
      <c r="I37" s="69"/>
      <c r="J37" s="69"/>
      <c r="K37" s="4291">
        <f t="shared" si="0"/>
        <v>413.49187407087135</v>
      </c>
      <c r="L37" s="19"/>
    </row>
    <row r="38" spans="2:12" ht="18" customHeight="1" x14ac:dyDescent="0.2">
      <c r="B38" s="620" t="s">
        <v>721</v>
      </c>
      <c r="C38" s="1924">
        <f>Summary1!C38</f>
        <v>316.7677447778139</v>
      </c>
      <c r="D38" s="4295"/>
      <c r="E38" s="4295"/>
      <c r="F38" s="628"/>
      <c r="G38" s="628"/>
      <c r="H38" s="628"/>
      <c r="I38" s="69"/>
      <c r="J38" s="69"/>
      <c r="K38" s="4291">
        <f t="shared" si="0"/>
        <v>316.7677447778139</v>
      </c>
      <c r="L38" s="19"/>
    </row>
    <row r="39" spans="2:12" ht="18" customHeight="1" x14ac:dyDescent="0.2">
      <c r="B39" s="620" t="s">
        <v>722</v>
      </c>
      <c r="C39" s="1924">
        <f>Summary1!C39</f>
        <v>373.04347826086962</v>
      </c>
      <c r="D39" s="4295"/>
      <c r="E39" s="4295"/>
      <c r="F39" s="628"/>
      <c r="G39" s="628"/>
      <c r="H39" s="628"/>
      <c r="I39" s="69"/>
      <c r="J39" s="69"/>
      <c r="K39" s="4291">
        <f t="shared" si="0"/>
        <v>373.04347826086962</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93300.057357073572</v>
      </c>
      <c r="D42" s="1927">
        <f>IFERROR(Summary1!D42*28,Summary1!D42)</f>
        <v>17986.062857773381</v>
      </c>
      <c r="E42" s="1927">
        <f>IFERROR(Summary1!E42*265,Summary1!E42)</f>
        <v>3727.4187079492681</v>
      </c>
      <c r="F42" s="1929"/>
      <c r="G42" s="1929"/>
      <c r="H42" s="1929"/>
      <c r="I42" s="4215"/>
      <c r="J42" s="627"/>
      <c r="K42" s="4290">
        <f t="shared" si="0"/>
        <v>115013.53892279622</v>
      </c>
      <c r="L42" s="19"/>
    </row>
    <row r="43" spans="2:12" ht="18" customHeight="1" x14ac:dyDescent="0.2">
      <c r="B43" s="620" t="s">
        <v>981</v>
      </c>
      <c r="C43" s="1924">
        <f>Summary1!C43</f>
        <v>-16278.679950053735</v>
      </c>
      <c r="D43" s="1924">
        <f>IFERROR(Summary1!D43*28,Summary1!D43)</f>
        <v>7014.9065211676143</v>
      </c>
      <c r="E43" s="1924">
        <f>IFERROR(Summary1!E43*265,Summary1!E43)</f>
        <v>1317.9307276533962</v>
      </c>
      <c r="F43" s="1931"/>
      <c r="G43" s="1931"/>
      <c r="H43" s="1931"/>
      <c r="I43" s="3352"/>
      <c r="J43" s="69"/>
      <c r="K43" s="4291">
        <f t="shared" si="0"/>
        <v>-7945.8427012327247</v>
      </c>
      <c r="L43" s="19"/>
    </row>
    <row r="44" spans="2:12" ht="18" customHeight="1" x14ac:dyDescent="0.2">
      <c r="B44" s="620" t="s">
        <v>984</v>
      </c>
      <c r="C44" s="1924">
        <f>Summary1!C44</f>
        <v>26788.73302578416</v>
      </c>
      <c r="D44" s="1924">
        <f>IFERROR(Summary1!D44*28,Summary1!D44)</f>
        <v>285.06623040000005</v>
      </c>
      <c r="E44" s="1924">
        <f>IFERROR(Summary1!E44*265,Summary1!E44)</f>
        <v>92.031639236912781</v>
      </c>
      <c r="F44" s="1931"/>
      <c r="G44" s="1931"/>
      <c r="H44" s="1931"/>
      <c r="I44" s="3352"/>
      <c r="J44" s="69"/>
      <c r="K44" s="4291">
        <f t="shared" si="0"/>
        <v>27165.830895421073</v>
      </c>
      <c r="L44" s="19"/>
    </row>
    <row r="45" spans="2:12" ht="18" customHeight="1" x14ac:dyDescent="0.2">
      <c r="B45" s="620" t="s">
        <v>987</v>
      </c>
      <c r="C45" s="1924">
        <f>Summary1!C45</f>
        <v>81142.990304352454</v>
      </c>
      <c r="D45" s="1924">
        <f>IFERROR(Summary1!D45*28,Summary1!D45)</f>
        <v>8142.2072029664168</v>
      </c>
      <c r="E45" s="1924">
        <f>IFERROR(Summary1!E45*265,Summary1!E45)</f>
        <v>2216.6651942945314</v>
      </c>
      <c r="F45" s="1931"/>
      <c r="G45" s="1931"/>
      <c r="H45" s="1931"/>
      <c r="I45" s="3352"/>
      <c r="J45" s="69"/>
      <c r="K45" s="4291">
        <f t="shared" si="0"/>
        <v>91501.862701613398</v>
      </c>
      <c r="L45" s="19"/>
    </row>
    <row r="46" spans="2:12" ht="18" customHeight="1" x14ac:dyDescent="0.2">
      <c r="B46" s="620" t="s">
        <v>1525</v>
      </c>
      <c r="C46" s="1924">
        <f>Summary1!C46</f>
        <v>1945.4130819571167</v>
      </c>
      <c r="D46" s="1924">
        <f>IFERROR(Summary1!D46*28,Summary1!D46)</f>
        <v>2409.3159112393455</v>
      </c>
      <c r="E46" s="1924">
        <f>IFERROR(Summary1!E46*265,Summary1!E46)</f>
        <v>61.38438961045356</v>
      </c>
      <c r="F46" s="1931"/>
      <c r="G46" s="1931"/>
      <c r="H46" s="1931"/>
      <c r="I46" s="3352"/>
      <c r="J46" s="69"/>
      <c r="K46" s="4291">
        <f t="shared" si="0"/>
        <v>4416.113382806916</v>
      </c>
      <c r="L46" s="19"/>
    </row>
    <row r="47" spans="2:12" ht="18" customHeight="1" x14ac:dyDescent="0.2">
      <c r="B47" s="620" t="s">
        <v>1526</v>
      </c>
      <c r="C47" s="1924">
        <f>Summary1!C47</f>
        <v>6400.8493995465396</v>
      </c>
      <c r="D47" s="1924">
        <f>IFERROR(Summary1!D47*28,Summary1!D47)</f>
        <v>134.56699199999997</v>
      </c>
      <c r="E47" s="1924">
        <f>IFERROR(Summary1!E47*265,Summary1!E47)</f>
        <v>31.953893368259251</v>
      </c>
      <c r="F47" s="1931"/>
      <c r="G47" s="1931"/>
      <c r="H47" s="1931"/>
      <c r="I47" s="3352"/>
      <c r="J47" s="69"/>
      <c r="K47" s="4291">
        <f t="shared" si="0"/>
        <v>6567.3702849147985</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-6699.2485045129597</v>
      </c>
      <c r="D49" s="3835"/>
      <c r="E49" s="3835"/>
      <c r="F49" s="1931"/>
      <c r="G49" s="1931"/>
      <c r="H49" s="1931"/>
      <c r="I49" s="3352"/>
      <c r="J49" s="69"/>
      <c r="K49" s="4291">
        <f t="shared" si="0"/>
        <v>-6699.2485045129597</v>
      </c>
      <c r="L49" s="19"/>
    </row>
    <row r="50" spans="2:12" ht="18" customHeight="1" thickBot="1" x14ac:dyDescent="0.25">
      <c r="B50" s="1552" t="s">
        <v>1529</v>
      </c>
      <c r="C50" s="1926" t="str">
        <f>Summary1!C50</f>
        <v>NO</v>
      </c>
      <c r="D50" s="1926" t="str">
        <f>IFERROR(Summary1!D50*28,Summary1!D50)</f>
        <v>NO</v>
      </c>
      <c r="E50" s="1926">
        <f>IFERROR(Summary1!E50*265,Summary1!E50)</f>
        <v>7.4528637857142863</v>
      </c>
      <c r="F50" s="3024"/>
      <c r="G50" s="3024"/>
      <c r="H50" s="3024"/>
      <c r="I50" s="3828"/>
      <c r="J50" s="87"/>
      <c r="K50" s="4292">
        <f t="shared" si="0"/>
        <v>7.4528637857142863</v>
      </c>
      <c r="L50" s="19"/>
    </row>
    <row r="51" spans="2:12" ht="18" customHeight="1" x14ac:dyDescent="0.2">
      <c r="B51" s="1550" t="s">
        <v>1500</v>
      </c>
      <c r="C51" s="1927">
        <f>Summary1!C51</f>
        <v>74.127612218528441</v>
      </c>
      <c r="D51" s="1927">
        <f>IFERROR(Summary1!D51*28,Summary1!D51)</f>
        <v>22880.184630750464</v>
      </c>
      <c r="E51" s="1927">
        <f>IFERROR(Summary1!E51*265,Summary1!E51)</f>
        <v>170.04264166555382</v>
      </c>
      <c r="F51" s="1929"/>
      <c r="G51" s="1929"/>
      <c r="H51" s="1929"/>
      <c r="I51" s="4215"/>
      <c r="J51" s="627"/>
      <c r="K51" s="4290">
        <f t="shared" si="0"/>
        <v>23124.354884634547</v>
      </c>
      <c r="L51" s="19"/>
    </row>
    <row r="52" spans="2:12" ht="18" customHeight="1" x14ac:dyDescent="0.2">
      <c r="B52" s="620" t="s">
        <v>1530</v>
      </c>
      <c r="C52" s="628"/>
      <c r="D52" s="1924">
        <f>IFERROR(Summary1!D52*28,Summary1!D52)</f>
        <v>16877.7935788</v>
      </c>
      <c r="E52" s="1931"/>
      <c r="F52" s="628"/>
      <c r="G52" s="628"/>
      <c r="H52" s="628"/>
      <c r="I52" s="69"/>
      <c r="J52" s="69"/>
      <c r="K52" s="4291">
        <f t="shared" si="0"/>
        <v>16877.7935788</v>
      </c>
      <c r="L52" s="19"/>
    </row>
    <row r="53" spans="2:12" ht="18" customHeight="1" x14ac:dyDescent="0.2">
      <c r="B53" s="1396" t="s">
        <v>1531</v>
      </c>
      <c r="C53" s="628"/>
      <c r="D53" s="1924">
        <f>IFERROR(Summary1!D53*28,Summary1!D53)</f>
        <v>17.246209715223785</v>
      </c>
      <c r="E53" s="1924">
        <f>IFERROR(Summary1!E53*265,Summary1!E53)</f>
        <v>20.892551197871096</v>
      </c>
      <c r="F53" s="628"/>
      <c r="G53" s="628"/>
      <c r="H53" s="628"/>
      <c r="I53" s="69"/>
      <c r="J53" s="69"/>
      <c r="K53" s="4291">
        <f t="shared" si="0"/>
        <v>38.138760913094885</v>
      </c>
      <c r="L53" s="19"/>
    </row>
    <row r="54" spans="2:12" ht="18" customHeight="1" x14ac:dyDescent="0.2">
      <c r="B54" s="1397" t="s">
        <v>1532</v>
      </c>
      <c r="C54" s="1924">
        <f>Summary1!C54</f>
        <v>74.127612218528441</v>
      </c>
      <c r="D54" s="1924">
        <f>IFERROR(Summary1!D54*28,Summary1!D54)</f>
        <v>2.5947936</v>
      </c>
      <c r="E54" s="1924">
        <f>IFERROR(Summary1!E54*265,Summary1!E54)</f>
        <v>10.064699999999998</v>
      </c>
      <c r="F54" s="628"/>
      <c r="G54" s="628"/>
      <c r="H54" s="628"/>
      <c r="I54" s="69"/>
      <c r="J54" s="69"/>
      <c r="K54" s="4291">
        <f t="shared" si="0"/>
        <v>86.787105818528445</v>
      </c>
      <c r="L54" s="19"/>
    </row>
    <row r="55" spans="2:12" ht="18" customHeight="1" x14ac:dyDescent="0.2">
      <c r="B55" s="620" t="s">
        <v>1533</v>
      </c>
      <c r="C55" s="628"/>
      <c r="D55" s="1924">
        <f>IFERROR(Summary1!D55*28,Summary1!D55)</f>
        <v>5982.5500486352385</v>
      </c>
      <c r="E55" s="1924">
        <f>IFERROR(Summary1!E55*265,Summary1!E55)</f>
        <v>139.08539046768274</v>
      </c>
      <c r="F55" s="628"/>
      <c r="G55" s="628"/>
      <c r="H55" s="628"/>
      <c r="I55" s="69"/>
      <c r="J55" s="69"/>
      <c r="K55" s="4291">
        <f t="shared" si="0"/>
        <v>6121.6354391029208</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6645.570999999999</v>
      </c>
      <c r="D60" s="4219">
        <f>IFERROR(Summary1!D61*28,Summary1!D61)</f>
        <v>5.0994055933333344</v>
      </c>
      <c r="E60" s="4219">
        <f>IFERROR(Summary1!E61*265,Summary1!E61)</f>
        <v>19.828333702469301</v>
      </c>
      <c r="F60" s="1931"/>
      <c r="G60" s="1931"/>
      <c r="H60" s="1932"/>
      <c r="I60" s="630"/>
      <c r="J60" s="630"/>
      <c r="K60" s="4220">
        <f t="shared" ref="K60:K66" si="2">IF(SUM(C60:J60)=0,"NO",SUM(C60:J60))</f>
        <v>6670.4987392958019</v>
      </c>
    </row>
    <row r="61" spans="2:12" ht="18" customHeight="1" x14ac:dyDescent="0.2">
      <c r="B61" s="1386" t="s">
        <v>111</v>
      </c>
      <c r="C61" s="4219">
        <f>Summary1!C62</f>
        <v>4837.1999999999989</v>
      </c>
      <c r="D61" s="4219">
        <f>IFERROR(Summary1!D62*28,Summary1!D62)</f>
        <v>0.23860559333333331</v>
      </c>
      <c r="E61" s="4219">
        <f>IFERROR(Summary1!E62*265,Summary1!E62)</f>
        <v>6.6843337024692984</v>
      </c>
      <c r="F61" s="628"/>
      <c r="G61" s="628"/>
      <c r="H61" s="628"/>
      <c r="I61" s="631"/>
      <c r="J61" s="631"/>
      <c r="K61" s="4234">
        <f t="shared" si="2"/>
        <v>4844.1229392958012</v>
      </c>
    </row>
    <row r="62" spans="2:12" ht="18" customHeight="1" x14ac:dyDescent="0.2">
      <c r="B62" s="1387" t="s">
        <v>1503</v>
      </c>
      <c r="C62" s="4219">
        <f>Summary1!C63</f>
        <v>1808.3709999999999</v>
      </c>
      <c r="D62" s="4219">
        <f>IFERROR(Summary1!D63*28,Summary1!D63)</f>
        <v>4.8608000000000011</v>
      </c>
      <c r="E62" s="4219">
        <f>IFERROR(Summary1!E63*265,Summary1!E63)</f>
        <v>13.144000000000002</v>
      </c>
      <c r="F62" s="628"/>
      <c r="G62" s="628"/>
      <c r="H62" s="628"/>
      <c r="I62" s="632"/>
      <c r="J62" s="632"/>
      <c r="K62" s="4220">
        <f t="shared" si="2"/>
        <v>1826.3757999999998</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13705.0345</v>
      </c>
      <c r="D64" s="1931"/>
      <c r="E64" s="1931"/>
      <c r="F64" s="1931"/>
      <c r="G64" s="1931"/>
      <c r="H64" s="1931"/>
      <c r="I64" s="3352"/>
      <c r="J64" s="3352"/>
      <c r="K64" s="3821">
        <f t="shared" si="2"/>
        <v>13705.0345</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-195297.11549069456</v>
      </c>
      <c r="D66" s="4301"/>
      <c r="E66" s="4301"/>
      <c r="F66" s="4301"/>
      <c r="G66" s="4301"/>
      <c r="H66" s="4301"/>
      <c r="I66" s="3824"/>
      <c r="J66" s="3824"/>
      <c r="K66" s="4302">
        <f t="shared" si="2"/>
        <v>-195297.11549069456</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441752.18009361631</v>
      </c>
      <c r="N71" s="1126"/>
    </row>
    <row r="72" spans="2:14" s="634" customFormat="1" ht="18" customHeight="1" x14ac:dyDescent="0.25">
      <c r="B72" s="637"/>
      <c r="C72" s="638"/>
      <c r="D72" s="638"/>
      <c r="E72" s="638"/>
      <c r="F72" s="638"/>
      <c r="G72" s="638"/>
      <c r="H72" s="638"/>
      <c r="I72" s="638"/>
      <c r="J72" s="2553" t="s">
        <v>2122</v>
      </c>
      <c r="K72" s="3821">
        <f>K10</f>
        <v>556765.71901641251</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630000.87396021595</v>
      </c>
      <c r="D10" s="3076" t="s">
        <v>1814</v>
      </c>
      <c r="E10" s="628"/>
      <c r="F10" s="628"/>
      <c r="G10" s="628"/>
      <c r="H10" s="1913">
        <f>IF(SUM(H11:H15)=0,"NO",SUM(H11:H15))</f>
        <v>34991.925261337383</v>
      </c>
      <c r="I10" s="1913">
        <f t="shared" ref="I10:K10" si="0">IF(SUM(I11:I16)=0,"NO",SUM(I11:I16))</f>
        <v>1.876831944580672</v>
      </c>
      <c r="J10" s="1847">
        <f t="shared" si="0"/>
        <v>1.0243107840034231</v>
      </c>
      <c r="K10" s="3065" t="str">
        <f t="shared" si="0"/>
        <v>NO</v>
      </c>
    </row>
    <row r="11" spans="2:11" ht="18" customHeight="1" x14ac:dyDescent="0.2">
      <c r="B11" s="282" t="s">
        <v>132</v>
      </c>
      <c r="C11" s="1913">
        <f>IF(SUM(C18,C25,C32,C39,C46,C53,C62,C69,C76,C83,C90,C97,C114,C104:C107)=0,"NO",SUM(C18,C25,C32,C39,C46,C53,C62,C69,C76,C83,C90,C97,C114,C104:C107))</f>
        <v>162030.37931105494</v>
      </c>
      <c r="D11" s="3077" t="s">
        <v>1814</v>
      </c>
      <c r="E11" s="1913">
        <f>IFERROR(H11*1000/$C11,"NA")</f>
        <v>68.185241935834384</v>
      </c>
      <c r="F11" s="1913">
        <f t="shared" ref="F11:G16" si="1">IFERROR(I11*1000000/$C11,"NA")</f>
        <v>4.8963818573899651</v>
      </c>
      <c r="G11" s="1913">
        <f t="shared" si="1"/>
        <v>2.1170732098535323</v>
      </c>
      <c r="H11" s="1913">
        <f>IF(SUM(H18,H25,H32,H39,H46,H53,H62,H69,H76,H83,H90,H97,H114,H104:H107)=0,"NO",SUM(H18,H25,H32,H39,H46,H53,H62,H69,H76,H83,H90,H97,H114,H104:H107))</f>
        <v>11048.080614279297</v>
      </c>
      <c r="I11" s="1913">
        <f>IF(SUM(I18,I25,I32,I39,I46,I53,I62,I69,I76,I83,I90,I97,I114,I104:I107)=0,"NO",SUM(I18,I25,I32,I39,I46,I53,I62,I69,I76,I83,I90,I97,I114,I104:I107))</f>
        <v>0.79336260960466376</v>
      </c>
      <c r="J11" s="1913">
        <f>IF(SUM(J18,J25,J32,J39,J46,J53,J62,J69,J76,J83,J90,J97,J114,J104:J107)=0,"NO",SUM(J18,J25,J32,J39,J46,J53,J62,J69,J76,J83,J90,J97,J114,J104:J107))</f>
        <v>0.34303017522184048</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132072.8623255814</v>
      </c>
      <c r="D12" s="3077" t="s">
        <v>1814</v>
      </c>
      <c r="E12" s="1913">
        <f t="shared" ref="E12:E16" si="2">IFERROR(H12*1000/$C12,"NA")</f>
        <v>80.566057651568286</v>
      </c>
      <c r="F12" s="1913">
        <f t="shared" si="1"/>
        <v>0.96670011764743302</v>
      </c>
      <c r="G12" s="1913">
        <f t="shared" si="1"/>
        <v>0.69749257963268108</v>
      </c>
      <c r="H12" s="1913">
        <f>IF(SUM(H19,H26,H33,H40,H47,H54,H63,H70,H77,H84,H91,H98,H115)=0,"NO",SUM(H19,H26,H33,H40,H47,H54,H63,H70,H77,H84,H91,H98,H115))</f>
        <v>10640.589840330433</v>
      </c>
      <c r="I12" s="1913">
        <f>IF(SUM(I19,I26,I33,I40,I47,I54,I63,I70,I77,I84,I91,I98,I115)=0,"NO",SUM(I19,I26,I33,I40,I47,I54,I63,I70,I77,I84,I91,I98,I115))</f>
        <v>0.12767485154817276</v>
      </c>
      <c r="J12" s="1913">
        <f>IF(SUM(J19,J26,J33,J40,J47,J54,J63,J70,J77,J84,J91,J98,J115)=0,"NO",SUM(J19,J26,J33,J40,J47,J54,J63,J70,J77,J84,J91,J98,J115))</f>
        <v>9.2119841442941719E-2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258741.09405488012</v>
      </c>
      <c r="D13" s="3077" t="s">
        <v>1814</v>
      </c>
      <c r="E13" s="1913">
        <f t="shared" si="2"/>
        <v>51.41531481623084</v>
      </c>
      <c r="F13" s="1913">
        <f t="shared" si="1"/>
        <v>0.96052085144249544</v>
      </c>
      <c r="G13" s="1913">
        <f t="shared" si="1"/>
        <v>0.53752946078881148</v>
      </c>
      <c r="H13" s="1913">
        <f t="shared" ref="H13:K14" si="3">IF(SUM(H20,H27,H34,H41,H48,H55,H64,H71,H78,H85,H92,H99,H116,H109)=0,"NO",SUM(H20,H27,H34,H41,H48,H55,H64,H71,H78,H85,H92,H99,H116,H109))</f>
        <v>13303.254806727655</v>
      </c>
      <c r="I13" s="1913">
        <f t="shared" si="3"/>
        <v>0.24852621596475624</v>
      </c>
      <c r="J13" s="1913">
        <f t="shared" si="3"/>
        <v>0.13908096077122689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77156.538268699558</v>
      </c>
      <c r="D16" s="3092" t="s">
        <v>1814</v>
      </c>
      <c r="E16" s="1913">
        <f t="shared" si="2"/>
        <v>94.708385050640246</v>
      </c>
      <c r="F16" s="1913">
        <f t="shared" si="1"/>
        <v>9.1666666666666661</v>
      </c>
      <c r="G16" s="1913">
        <f t="shared" si="1"/>
        <v>5.833333333333333</v>
      </c>
      <c r="H16" s="1913">
        <f>IF(SUM(H23,H30,H37,H44,H51,H58,H67,H74,H81,H88,H95,H102,H119,H111)=0,"NO",SUM(H23,H30,H37,H44,H51,H58,H67,H74,H81,H88,H95,H102,H119,H111))</f>
        <v>7307.3711355264568</v>
      </c>
      <c r="I16" s="1913">
        <f>IF(SUM(I23,I30,I37,I44,I51,I58,I67,I74,I81,I88,I95,I102,I119,I111)=0,"NO",SUM(I23,I30,I37,I44,I51,I58,I67,I74,I81,I88,I95,I102,I119,I111))</f>
        <v>0.70726826746307936</v>
      </c>
      <c r="J16" s="1913">
        <f>IF(SUM(J23,J30,J37,J44,J51,J58,J67,J74,J81,J88,J95,J102,J119,J111)=0,"NO",SUM(J23,J30,J37,J44,J51,J58,J67,J74,J81,J88,J95,J102,J119,J111))</f>
        <v>0.45007980656741409</v>
      </c>
      <c r="K16" s="3065" t="str">
        <f>IF(SUM(K23,K30,K37,K44,K51,K58,K67,K74,K81,K88,K95,K102,K119,K111)=0,"NO",SUM(K23,K30,K37,K44,K51,K58,K67,K74,K81,K88,K95,K102,K119,K111))</f>
        <v>NO</v>
      </c>
    </row>
    <row r="17" spans="2:11" ht="18" customHeight="1" x14ac:dyDescent="0.2">
      <c r="B17" s="1241" t="s">
        <v>151</v>
      </c>
      <c r="C17" s="1913">
        <f>IF(SUM(C18:C23)=0,"NO",SUM(C18:C23))</f>
        <v>51939.200000000004</v>
      </c>
      <c r="D17" s="3076" t="s">
        <v>1814</v>
      </c>
      <c r="E17" s="628"/>
      <c r="F17" s="628"/>
      <c r="G17" s="628"/>
      <c r="H17" s="1913">
        <f>IF(SUM(H18:H22)=0,"NO",SUM(H18:H22))</f>
        <v>2467.2816907995366</v>
      </c>
      <c r="I17" s="1913">
        <f t="shared" ref="I17:K17" si="4">IF(SUM(I18:I23)=0,"NO",SUM(I18:I23))</f>
        <v>9.0340198275586051E-2</v>
      </c>
      <c r="J17" s="1913">
        <f t="shared" si="4"/>
        <v>3.1999938615568088E-2</v>
      </c>
      <c r="K17" s="3065" t="str">
        <f t="shared" si="4"/>
        <v>NO</v>
      </c>
    </row>
    <row r="18" spans="2:11" ht="18" customHeight="1" x14ac:dyDescent="0.2">
      <c r="B18" s="282" t="s">
        <v>132</v>
      </c>
      <c r="C18" s="691">
        <v>2500</v>
      </c>
      <c r="D18" s="3077" t="s">
        <v>1814</v>
      </c>
      <c r="E18" s="1913">
        <f>IFERROR(H18*1000/$C18,"NA")</f>
        <v>69.016000000000005</v>
      </c>
      <c r="F18" s="1913">
        <f t="shared" ref="F18:G23" si="5">IFERROR(I18*1000000/$C18,"NA")</f>
        <v>16.592652650494159</v>
      </c>
      <c r="G18" s="1913">
        <f t="shared" si="5"/>
        <v>1.0644830188679246</v>
      </c>
      <c r="H18" s="691">
        <v>172.54</v>
      </c>
      <c r="I18" s="691">
        <v>4.1481631626235402E-2</v>
      </c>
      <c r="J18" s="691">
        <v>2.6612075471698117E-3</v>
      </c>
      <c r="K18" s="3093" t="s">
        <v>2146</v>
      </c>
    </row>
    <row r="19" spans="2:11" ht="18" customHeight="1" x14ac:dyDescent="0.2">
      <c r="B19" s="282" t="s">
        <v>133</v>
      </c>
      <c r="C19" s="691">
        <v>26839.200000000001</v>
      </c>
      <c r="D19" s="3077" t="s">
        <v>1814</v>
      </c>
      <c r="E19" s="1913">
        <f t="shared" ref="E19:E23" si="6">IFERROR(H19*1000/$C19,"NA")</f>
        <v>42.591236698560323</v>
      </c>
      <c r="F19" s="1913">
        <f t="shared" si="5"/>
        <v>0.95537407002666774</v>
      </c>
      <c r="G19" s="1913">
        <f t="shared" si="5"/>
        <v>0.58461902090874662</v>
      </c>
      <c r="H19" s="691">
        <v>1143.1147200000003</v>
      </c>
      <c r="I19" s="691">
        <v>2.5641475740259743E-2</v>
      </c>
      <c r="J19" s="691">
        <v>1.5690706825974031E-2</v>
      </c>
      <c r="K19" s="3093" t="s">
        <v>2146</v>
      </c>
    </row>
    <row r="20" spans="2:11" ht="18" customHeight="1" x14ac:dyDescent="0.2">
      <c r="B20" s="282" t="s">
        <v>134</v>
      </c>
      <c r="C20" s="691">
        <v>22400.000000000004</v>
      </c>
      <c r="D20" s="3077" t="s">
        <v>1814</v>
      </c>
      <c r="E20" s="1913">
        <f t="shared" si="6"/>
        <v>51.411918339265</v>
      </c>
      <c r="F20" s="1913">
        <f t="shared" si="5"/>
        <v>0.9546320346320345</v>
      </c>
      <c r="G20" s="1913">
        <f t="shared" si="5"/>
        <v>0.55720346320346315</v>
      </c>
      <c r="H20" s="691">
        <v>1151.6269707995361</v>
      </c>
      <c r="I20" s="691">
        <v>2.1383757575757577E-2</v>
      </c>
      <c r="J20" s="691">
        <v>1.2481357575757577E-2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v>200.00000000000003</v>
      </c>
      <c r="D23" s="3077" t="s">
        <v>1814</v>
      </c>
      <c r="E23" s="1913">
        <f t="shared" si="6"/>
        <v>94</v>
      </c>
      <c r="F23" s="1913">
        <f t="shared" si="5"/>
        <v>9.1666666666666679</v>
      </c>
      <c r="G23" s="1913">
        <f t="shared" si="5"/>
        <v>5.8333333333333348</v>
      </c>
      <c r="H23" s="691">
        <v>18.800000000000004</v>
      </c>
      <c r="I23" s="691">
        <v>1.8333333333333339E-3</v>
      </c>
      <c r="J23" s="691">
        <v>1.1666666666666672E-3</v>
      </c>
      <c r="K23" s="3093" t="s">
        <v>2146</v>
      </c>
    </row>
    <row r="24" spans="2:11" ht="18" customHeight="1" x14ac:dyDescent="0.2">
      <c r="B24" s="1241" t="s">
        <v>152</v>
      </c>
      <c r="C24" s="1913">
        <f>IF(SUM(C25:C30)=0,"NO",SUM(C25:C30))</f>
        <v>182684.46445049881</v>
      </c>
      <c r="D24" s="3077" t="s">
        <v>1814</v>
      </c>
      <c r="E24" s="628"/>
      <c r="F24" s="628"/>
      <c r="G24" s="628"/>
      <c r="H24" s="1913">
        <f>IF(SUM(H25:H29)=0,"NO",SUM(H25:H29))</f>
        <v>11930.939199612727</v>
      </c>
      <c r="I24" s="1913">
        <f t="shared" ref="I24:K24" si="7">IF(SUM(I25:I30)=0,"NO",SUM(I25:I30))</f>
        <v>0.21759853389662009</v>
      </c>
      <c r="J24" s="1913">
        <f t="shared" si="7"/>
        <v>0.12837953658498547</v>
      </c>
      <c r="K24" s="3065" t="str">
        <f t="shared" si="7"/>
        <v>NO</v>
      </c>
    </row>
    <row r="25" spans="2:11" ht="18" customHeight="1" x14ac:dyDescent="0.2">
      <c r="B25" s="282" t="s">
        <v>132</v>
      </c>
      <c r="C25" s="691">
        <v>32273.229450498762</v>
      </c>
      <c r="D25" s="3077" t="s">
        <v>1814</v>
      </c>
      <c r="E25" s="1913">
        <f>IFERROR(H25*1000/$C25,"NA")</f>
        <v>72.429990036853383</v>
      </c>
      <c r="F25" s="1913">
        <f t="shared" ref="F25:G30" si="8">IFERROR(I25*1000000/$C25,"NA")</f>
        <v>1.8050074102920066</v>
      </c>
      <c r="G25" s="1913">
        <f t="shared" si="8"/>
        <v>0.80609777638346281</v>
      </c>
      <c r="H25" s="691">
        <v>2337.5496875567087</v>
      </c>
      <c r="I25" s="691">
        <v>5.8253418312204493E-2</v>
      </c>
      <c r="J25" s="691">
        <v>2.601537849676034E-2</v>
      </c>
      <c r="K25" s="3093" t="s">
        <v>2146</v>
      </c>
    </row>
    <row r="26" spans="2:11" ht="18" customHeight="1" x14ac:dyDescent="0.2">
      <c r="B26" s="282" t="s">
        <v>133</v>
      </c>
      <c r="C26" s="691">
        <v>48511.235000000015</v>
      </c>
      <c r="D26" s="3077" t="s">
        <v>1814</v>
      </c>
      <c r="E26" s="1913">
        <f t="shared" ref="E26:E30" si="9">IFERROR(H26*1000/$C26,"NA")</f>
        <v>91.776630261619133</v>
      </c>
      <c r="F26" s="1913">
        <f t="shared" si="8"/>
        <v>0.95238095238095222</v>
      </c>
      <c r="G26" s="1913">
        <f t="shared" si="8"/>
        <v>0.706095238095238</v>
      </c>
      <c r="H26" s="691">
        <v>4452.197678129518</v>
      </c>
      <c r="I26" s="691">
        <v>4.6201176190476194E-2</v>
      </c>
      <c r="J26" s="691">
        <v>3.4253552027619052E-2</v>
      </c>
      <c r="K26" s="3093" t="s">
        <v>2146</v>
      </c>
    </row>
    <row r="27" spans="2:11" ht="18" customHeight="1" x14ac:dyDescent="0.2">
      <c r="B27" s="282" t="s">
        <v>134</v>
      </c>
      <c r="C27" s="691">
        <v>100000.00000000001</v>
      </c>
      <c r="D27" s="3077" t="s">
        <v>1814</v>
      </c>
      <c r="E27" s="1913">
        <f t="shared" si="9"/>
        <v>51.411918339265</v>
      </c>
      <c r="F27" s="1913">
        <f t="shared" si="8"/>
        <v>0.95727272727272739</v>
      </c>
      <c r="G27" s="1913">
        <f t="shared" si="8"/>
        <v>0.57027272727272715</v>
      </c>
      <c r="H27" s="691">
        <v>5141.1918339265003</v>
      </c>
      <c r="I27" s="691">
        <v>9.5727272727272744E-2</v>
      </c>
      <c r="J27" s="691">
        <v>5.7027272727272725E-2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1900</v>
      </c>
      <c r="D30" s="3077" t="s">
        <v>1814</v>
      </c>
      <c r="E30" s="1913">
        <f t="shared" si="9"/>
        <v>94</v>
      </c>
      <c r="F30" s="1913">
        <f t="shared" si="8"/>
        <v>9.1666666666666679</v>
      </c>
      <c r="G30" s="1913">
        <f t="shared" si="8"/>
        <v>5.8333333333333348</v>
      </c>
      <c r="H30" s="691">
        <v>178.6</v>
      </c>
      <c r="I30" s="691">
        <v>1.7416666666666667E-2</v>
      </c>
      <c r="J30" s="691">
        <v>1.1083333333333336E-2</v>
      </c>
      <c r="K30" s="3093" t="s">
        <v>2146</v>
      </c>
    </row>
    <row r="31" spans="2:11" ht="18" customHeight="1" x14ac:dyDescent="0.2">
      <c r="B31" s="1241" t="s">
        <v>153</v>
      </c>
      <c r="C31" s="1913">
        <f>IF(SUM(C32:C37)=0,"NO",SUM(C32:C37))</f>
        <v>85379.062661929202</v>
      </c>
      <c r="D31" s="3077" t="s">
        <v>1814</v>
      </c>
      <c r="E31" s="628"/>
      <c r="F31" s="628"/>
      <c r="G31" s="628"/>
      <c r="H31" s="1913">
        <f>IF(SUM(H32:H36)=0,"NO",SUM(H32:H36))</f>
        <v>5357.5904845348605</v>
      </c>
      <c r="I31" s="1913">
        <f t="shared" ref="I31:K31" si="10">IF(SUM(I32:I37)=0,"NO",SUM(I32:I37))</f>
        <v>0.37132395830007586</v>
      </c>
      <c r="J31" s="1913">
        <f t="shared" si="10"/>
        <v>8.4118773653661577E-2</v>
      </c>
      <c r="K31" s="3065" t="str">
        <f t="shared" si="10"/>
        <v>NO</v>
      </c>
    </row>
    <row r="32" spans="2:11" ht="18" customHeight="1" x14ac:dyDescent="0.2">
      <c r="B32" s="282" t="s">
        <v>132</v>
      </c>
      <c r="C32" s="691">
        <v>51275.541281467697</v>
      </c>
      <c r="D32" s="3077" t="s">
        <v>1814</v>
      </c>
      <c r="E32" s="1913">
        <f>IFERROR(H32*1000/$C32,"NA")</f>
        <v>63.867606538695028</v>
      </c>
      <c r="F32" s="1913">
        <f t="shared" ref="F32:G37" si="11">IFERROR(I32*1000000/$C32,"NA")</f>
        <v>6.6056073189079703</v>
      </c>
      <c r="G32" s="1913">
        <f t="shared" si="11"/>
        <v>1.2925691743652847</v>
      </c>
      <c r="H32" s="691">
        <v>3274.846095623393</v>
      </c>
      <c r="I32" s="691">
        <v>0.33870609076983083</v>
      </c>
      <c r="J32" s="691">
        <v>6.6277184059319774E-2</v>
      </c>
      <c r="K32" s="3093" t="s">
        <v>2146</v>
      </c>
    </row>
    <row r="33" spans="2:11" ht="18" customHeight="1" x14ac:dyDescent="0.2">
      <c r="B33" s="282" t="s">
        <v>133</v>
      </c>
      <c r="C33" s="691">
        <v>8462.4273255813951</v>
      </c>
      <c r="D33" s="3077" t="s">
        <v>1814</v>
      </c>
      <c r="E33" s="1913">
        <f t="shared" ref="E33:E37" si="12">IFERROR(H33*1000/$C33,"NA")</f>
        <v>90.338921188907889</v>
      </c>
      <c r="F33" s="1913">
        <f t="shared" si="11"/>
        <v>0.95238095238095244</v>
      </c>
      <c r="G33" s="1913">
        <f t="shared" si="11"/>
        <v>0.66666666666666663</v>
      </c>
      <c r="H33" s="691">
        <v>764.4865552325582</v>
      </c>
      <c r="I33" s="691">
        <v>8.0594545957918054E-3</v>
      </c>
      <c r="J33" s="691">
        <v>5.6416182170542636E-3</v>
      </c>
      <c r="K33" s="3093" t="s">
        <v>2146</v>
      </c>
    </row>
    <row r="34" spans="2:11" ht="18" customHeight="1" x14ac:dyDescent="0.2">
      <c r="B34" s="282" t="s">
        <v>134</v>
      </c>
      <c r="C34" s="691">
        <v>25641.094054880101</v>
      </c>
      <c r="D34" s="3077" t="s">
        <v>1814</v>
      </c>
      <c r="E34" s="1913">
        <f t="shared" si="12"/>
        <v>51.411918339265</v>
      </c>
      <c r="F34" s="1913">
        <f t="shared" si="11"/>
        <v>0.95777554896411099</v>
      </c>
      <c r="G34" s="1913">
        <f t="shared" si="11"/>
        <v>0.47579761421941341</v>
      </c>
      <c r="H34" s="691">
        <v>1318.257833678909</v>
      </c>
      <c r="I34" s="691">
        <v>2.455841293445319E-2</v>
      </c>
      <c r="J34" s="691">
        <v>1.2199971377287537E-2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35600</v>
      </c>
      <c r="D38" s="3077" t="s">
        <v>1814</v>
      </c>
      <c r="E38" s="628"/>
      <c r="F38" s="628"/>
      <c r="G38" s="628"/>
      <c r="H38" s="1913">
        <f>IF(SUM(H39:H43)=0,"NO",SUM(H39:H43))</f>
        <v>1170.3211962977211</v>
      </c>
      <c r="I38" s="1913">
        <f t="shared" ref="I38:K38" si="13">IF(SUM(I39:I44)=0,"NO",SUM(I39:I44))</f>
        <v>0.16629239826839828</v>
      </c>
      <c r="J38" s="1913">
        <f t="shared" si="13"/>
        <v>0.11060867445887447</v>
      </c>
      <c r="K38" s="3065" t="str">
        <f t="shared" si="13"/>
        <v>NO</v>
      </c>
    </row>
    <row r="39" spans="2:11" ht="18" customHeight="1" x14ac:dyDescent="0.2">
      <c r="B39" s="282" t="s">
        <v>132</v>
      </c>
      <c r="C39" s="691">
        <v>1600</v>
      </c>
      <c r="D39" s="3077" t="s">
        <v>1814</v>
      </c>
      <c r="E39" s="1913">
        <f>IFERROR(H39*1000/$C39,"NA")</f>
        <v>68.775000000000006</v>
      </c>
      <c r="F39" s="1913">
        <f t="shared" ref="F39:G44" si="14">IFERROR(I39*1000000/$C39,"NA")</f>
        <v>0.86886904761904771</v>
      </c>
      <c r="G39" s="1913">
        <f t="shared" si="14"/>
        <v>0.85877380952380955</v>
      </c>
      <c r="H39" s="691">
        <v>110.04000000000002</v>
      </c>
      <c r="I39" s="691">
        <v>1.3901904761904763E-3</v>
      </c>
      <c r="J39" s="691">
        <v>1.3740380952380954E-3</v>
      </c>
      <c r="K39" s="3093" t="s">
        <v>2146</v>
      </c>
    </row>
    <row r="40" spans="2:11" ht="18" customHeight="1" x14ac:dyDescent="0.2">
      <c r="B40" s="282" t="s">
        <v>133</v>
      </c>
      <c r="C40" s="691">
        <v>3599.9999999999995</v>
      </c>
      <c r="D40" s="3077" t="s">
        <v>1814</v>
      </c>
      <c r="E40" s="1913">
        <f t="shared" ref="E40:E44" si="15">IFERROR(H40*1000/$C40,"NA")</f>
        <v>91.731098855599541</v>
      </c>
      <c r="F40" s="1913">
        <f t="shared" si="14"/>
        <v>0.95238095238095233</v>
      </c>
      <c r="G40" s="1913">
        <f t="shared" si="14"/>
        <v>0.66666666666666674</v>
      </c>
      <c r="H40" s="691">
        <v>330.2319558801583</v>
      </c>
      <c r="I40" s="691">
        <v>3.428571428571428E-3</v>
      </c>
      <c r="J40" s="691">
        <v>2.3999999999999998E-3</v>
      </c>
      <c r="K40" s="3093" t="s">
        <v>2146</v>
      </c>
    </row>
    <row r="41" spans="2:11" ht="18" customHeight="1" x14ac:dyDescent="0.2">
      <c r="B41" s="282" t="s">
        <v>134</v>
      </c>
      <c r="C41" s="691">
        <v>14200</v>
      </c>
      <c r="D41" s="3077" t="s">
        <v>1814</v>
      </c>
      <c r="E41" s="1913">
        <f t="shared" si="15"/>
        <v>51.411918339264993</v>
      </c>
      <c r="F41" s="1913">
        <f t="shared" si="14"/>
        <v>0.91363636363636336</v>
      </c>
      <c r="G41" s="1913">
        <f t="shared" si="14"/>
        <v>0.86863636363636354</v>
      </c>
      <c r="H41" s="691">
        <v>730.04924041756294</v>
      </c>
      <c r="I41" s="691">
        <v>1.2973636363636361E-2</v>
      </c>
      <c r="J41" s="691">
        <v>1.2334636363636362E-2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16200</v>
      </c>
      <c r="D44" s="3076" t="s">
        <v>1814</v>
      </c>
      <c r="E44" s="1913">
        <f t="shared" si="15"/>
        <v>93.999999999999986</v>
      </c>
      <c r="F44" s="1913">
        <f t="shared" si="14"/>
        <v>9.1666666666666679</v>
      </c>
      <c r="G44" s="1913">
        <f t="shared" si="14"/>
        <v>5.8333333333333339</v>
      </c>
      <c r="H44" s="691">
        <v>1522.7999999999997</v>
      </c>
      <c r="I44" s="691">
        <v>0.14850000000000002</v>
      </c>
      <c r="J44" s="691">
        <v>9.4500000000000015E-2</v>
      </c>
      <c r="K44" s="3093" t="s">
        <v>2146</v>
      </c>
    </row>
    <row r="45" spans="2:11" ht="18" customHeight="1" x14ac:dyDescent="0.2">
      <c r="B45" s="1241" t="s">
        <v>155</v>
      </c>
      <c r="C45" s="1913">
        <f>IF(SUM(C46:C51)=0,"NO",SUM(C46:C51))</f>
        <v>103656.53826869956</v>
      </c>
      <c r="D45" s="3076" t="s">
        <v>1814</v>
      </c>
      <c r="E45" s="628"/>
      <c r="F45" s="628"/>
      <c r="G45" s="628"/>
      <c r="H45" s="1913">
        <f>IF(SUM(H46:H50)=0,"NO",SUM(H46:H50))</f>
        <v>3001.1603421494779</v>
      </c>
      <c r="I45" s="1913">
        <f t="shared" ref="I45:K45" si="16">IF(SUM(I46:I51)=0,"NO",SUM(I46:I51))</f>
        <v>0.5800840951941717</v>
      </c>
      <c r="J45" s="1913">
        <f t="shared" si="16"/>
        <v>0.38418754816405276</v>
      </c>
      <c r="K45" s="3065" t="str">
        <f t="shared" si="16"/>
        <v>NO</v>
      </c>
    </row>
    <row r="46" spans="2:11" ht="18" customHeight="1" x14ac:dyDescent="0.2">
      <c r="B46" s="282" t="s">
        <v>132</v>
      </c>
      <c r="C46" s="691">
        <v>6100</v>
      </c>
      <c r="D46" s="3076" t="s">
        <v>1814</v>
      </c>
      <c r="E46" s="1913">
        <f>IFERROR(H46*1000/$C46,"NA")</f>
        <v>66.403278688524594</v>
      </c>
      <c r="F46" s="1913">
        <f t="shared" ref="F46:G51" si="17">IFERROR(I46*1000000/$C46,"NA")</f>
        <v>1.844074023051844</v>
      </c>
      <c r="G46" s="1913">
        <f t="shared" si="17"/>
        <v>2.3052257886761267</v>
      </c>
      <c r="H46" s="691">
        <v>405.06</v>
      </c>
      <c r="I46" s="691">
        <v>1.1248851540616247E-2</v>
      </c>
      <c r="J46" s="691">
        <v>1.4061877310924372E-2</v>
      </c>
      <c r="K46" s="3093" t="s">
        <v>2146</v>
      </c>
    </row>
    <row r="47" spans="2:11" ht="18" customHeight="1" x14ac:dyDescent="0.2">
      <c r="B47" s="282" t="s">
        <v>133</v>
      </c>
      <c r="C47" s="691">
        <v>14200</v>
      </c>
      <c r="D47" s="3076" t="s">
        <v>1814</v>
      </c>
      <c r="E47" s="1913">
        <f t="shared" ref="E47:E51" si="18">IFERROR(H47*1000/$C47,"NA")</f>
        <v>91.161971830985919</v>
      </c>
      <c r="F47" s="1913">
        <f t="shared" si="17"/>
        <v>0.95238095238095211</v>
      </c>
      <c r="G47" s="1913">
        <f t="shared" si="17"/>
        <v>0.67523809523809508</v>
      </c>
      <c r="H47" s="691">
        <v>1294.5</v>
      </c>
      <c r="I47" s="691">
        <v>1.352380952380952E-2</v>
      </c>
      <c r="J47" s="691">
        <v>9.5883809523809507E-3</v>
      </c>
      <c r="K47" s="3093" t="s">
        <v>2146</v>
      </c>
    </row>
    <row r="48" spans="2:11" ht="18" customHeight="1" x14ac:dyDescent="0.2">
      <c r="B48" s="282" t="s">
        <v>134</v>
      </c>
      <c r="C48" s="691">
        <v>25299.999999999996</v>
      </c>
      <c r="D48" s="3076" t="s">
        <v>1814</v>
      </c>
      <c r="E48" s="1913">
        <f t="shared" si="18"/>
        <v>51.446653839900321</v>
      </c>
      <c r="F48" s="1913">
        <f t="shared" si="17"/>
        <v>0.91409090909090918</v>
      </c>
      <c r="G48" s="1913">
        <f t="shared" si="17"/>
        <v>0.86459090909090897</v>
      </c>
      <c r="H48" s="691">
        <v>1301.6003421494779</v>
      </c>
      <c r="I48" s="691">
        <v>2.3126500000000001E-2</v>
      </c>
      <c r="J48" s="691">
        <v>2.1874149999999995E-2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58056.538268699558</v>
      </c>
      <c r="D51" s="3076" t="s">
        <v>1814</v>
      </c>
      <c r="E51" s="1913">
        <f t="shared" si="18"/>
        <v>94.941436398011447</v>
      </c>
      <c r="F51" s="1913">
        <f t="shared" si="17"/>
        <v>9.1666666666666661</v>
      </c>
      <c r="G51" s="1913">
        <f t="shared" si="17"/>
        <v>5.833333333333333</v>
      </c>
      <c r="H51" s="691">
        <v>5511.9711355264571</v>
      </c>
      <c r="I51" s="691">
        <v>0.53218493412974599</v>
      </c>
      <c r="J51" s="691">
        <v>0.33866313990074742</v>
      </c>
      <c r="K51" s="3093" t="s">
        <v>2146</v>
      </c>
    </row>
    <row r="52" spans="2:11" ht="18" customHeight="1" x14ac:dyDescent="0.2">
      <c r="B52" s="1241" t="s">
        <v>156</v>
      </c>
      <c r="C52" s="3094">
        <f>IF(SUM(C53:C58)=0,"NO",SUM(C53:C58))</f>
        <v>76600</v>
      </c>
      <c r="D52" s="3076" t="s">
        <v>1814</v>
      </c>
      <c r="E52" s="628"/>
      <c r="F52" s="628"/>
      <c r="G52" s="628"/>
      <c r="H52" s="1913">
        <f>IF(SUM(H53:H57)=0,"NO",SUM(H53:H57))</f>
        <v>4769.2530679668089</v>
      </c>
      <c r="I52" s="1913">
        <f t="shared" ref="I52:K52" si="19">IF(SUM(I53:I58)=0,"NO",SUM(I53:I58))</f>
        <v>0.12930442483432747</v>
      </c>
      <c r="J52" s="1913">
        <f t="shared" si="19"/>
        <v>3.4594478192265223E-2</v>
      </c>
      <c r="K52" s="3065" t="str">
        <f t="shared" si="19"/>
        <v>NO</v>
      </c>
    </row>
    <row r="53" spans="2:11" ht="18" customHeight="1" x14ac:dyDescent="0.2">
      <c r="B53" s="282" t="s">
        <v>132</v>
      </c>
      <c r="C53" s="2147">
        <v>4500</v>
      </c>
      <c r="D53" s="3076" t="s">
        <v>1814</v>
      </c>
      <c r="E53" s="1913">
        <f>IFERROR(H53*1000/$C53,"NA")</f>
        <v>67.513333333333335</v>
      </c>
      <c r="F53" s="1913">
        <f t="shared" ref="F53:G58" si="20">IFERROR(I53*1000000/$C53,"NA")</f>
        <v>11.494381083914998</v>
      </c>
      <c r="G53" s="1913">
        <f t="shared" si="20"/>
        <v>1.6087093433509054</v>
      </c>
      <c r="H53" s="691">
        <v>303.81</v>
      </c>
      <c r="I53" s="691">
        <v>5.1724714877617498E-2</v>
      </c>
      <c r="J53" s="691">
        <v>7.2391920450790744E-3</v>
      </c>
      <c r="K53" s="3093" t="s">
        <v>2146</v>
      </c>
    </row>
    <row r="54" spans="2:11" ht="18" customHeight="1" x14ac:dyDescent="0.2">
      <c r="B54" s="282" t="s">
        <v>133</v>
      </c>
      <c r="C54" s="691">
        <v>20700.000000000004</v>
      </c>
      <c r="D54" s="3076" t="s">
        <v>1814</v>
      </c>
      <c r="E54" s="1913">
        <f t="shared" ref="E54:E58" si="21">IFERROR(H54*1000/$C54,"NA")</f>
        <v>90.048309178743949</v>
      </c>
      <c r="F54" s="1913">
        <f t="shared" si="20"/>
        <v>0.95238095238095233</v>
      </c>
      <c r="G54" s="1913">
        <f t="shared" si="20"/>
        <v>0.82242650103519654</v>
      </c>
      <c r="H54" s="691">
        <v>1864</v>
      </c>
      <c r="I54" s="691">
        <v>1.9714285714285719E-2</v>
      </c>
      <c r="J54" s="691">
        <v>1.7024228571428573E-2</v>
      </c>
      <c r="K54" s="3093" t="s">
        <v>2146</v>
      </c>
    </row>
    <row r="55" spans="2:11" ht="18" customHeight="1" x14ac:dyDescent="0.2">
      <c r="B55" s="282" t="s">
        <v>134</v>
      </c>
      <c r="C55" s="691">
        <v>50599.999999999993</v>
      </c>
      <c r="D55" s="3076" t="s">
        <v>1814</v>
      </c>
      <c r="E55" s="1913">
        <f t="shared" si="21"/>
        <v>51.411918339265007</v>
      </c>
      <c r="F55" s="1913">
        <f t="shared" si="20"/>
        <v>0.9986579231045638</v>
      </c>
      <c r="G55" s="1913">
        <f t="shared" si="20"/>
        <v>0.11194448436938557</v>
      </c>
      <c r="H55" s="691">
        <v>2601.4430679668089</v>
      </c>
      <c r="I55" s="691">
        <v>5.0532090909090915E-2</v>
      </c>
      <c r="J55" s="691">
        <v>5.6643909090909094E-3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800.00000000000011</v>
      </c>
      <c r="D58" s="3076" t="s">
        <v>1814</v>
      </c>
      <c r="E58" s="3095">
        <f t="shared" si="21"/>
        <v>94</v>
      </c>
      <c r="F58" s="3095">
        <f t="shared" si="20"/>
        <v>9.1666666666666679</v>
      </c>
      <c r="G58" s="3095">
        <f t="shared" si="20"/>
        <v>5.8333333333333339</v>
      </c>
      <c r="H58" s="2190">
        <v>75.200000000000017</v>
      </c>
      <c r="I58" s="691">
        <v>7.3333333333333358E-3</v>
      </c>
      <c r="J58" s="691">
        <v>4.6666666666666679E-3</v>
      </c>
      <c r="K58" s="3093" t="s">
        <v>2146</v>
      </c>
    </row>
    <row r="59" spans="2:11" ht="18" customHeight="1" x14ac:dyDescent="0.2">
      <c r="B59" s="1241" t="s">
        <v>157</v>
      </c>
      <c r="C59" s="3094">
        <f>IF(SUM(C61,C68,C75,C82,C89,C96,C103,C112)=0,"NO",SUM(C61,C68,C75,C82,C89,C96,C103,C112))</f>
        <v>94141.608579088468</v>
      </c>
      <c r="D59" s="3076" t="s">
        <v>1814</v>
      </c>
      <c r="E59" s="1914"/>
      <c r="F59" s="1914"/>
      <c r="G59" s="1914"/>
      <c r="H59" s="1913">
        <f>IF(SUM(H61,H68,H75,H82,H89,H96,H103,H112)=0,"NO",SUM(H61,H68,H75,H82,H89,H96,H103,H112))</f>
        <v>6295.3792799762523</v>
      </c>
      <c r="I59" s="1913">
        <f>IF(SUM(I61,I68,I75,I82,I89,I96,I103,I112)=0,"NO",SUM(I61,I68,I75,I82,I89,I96,I103,I112))</f>
        <v>0.32188833581149262</v>
      </c>
      <c r="J59" s="1913">
        <f>IF(SUM(J61,J68,J75,J82,J89,J96,J103,J112)=0,"NO",SUM(J61,J68,J75,J82,J89,J96,J103,J112))</f>
        <v>0.25042183433401571</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8800</v>
      </c>
      <c r="D61" s="3076" t="s">
        <v>1814</v>
      </c>
      <c r="E61" s="628"/>
      <c r="F61" s="628"/>
      <c r="G61" s="628"/>
      <c r="H61" s="1913">
        <f>IF(SUM(H62:H66)=0,"NO",SUM(H62:H66))</f>
        <v>460.42534671412005</v>
      </c>
      <c r="I61" s="1913">
        <f t="shared" ref="I61:K61" si="22">IF(SUM(I62:I67)=0,"NO",SUM(I62:I67))</f>
        <v>4.1144761904761899E-2</v>
      </c>
      <c r="J61" s="1913">
        <f t="shared" si="22"/>
        <v>8.2087619047619027E-3</v>
      </c>
      <c r="K61" s="3065" t="str">
        <f t="shared" si="22"/>
        <v>NO</v>
      </c>
    </row>
    <row r="62" spans="2:11" ht="18" customHeight="1" x14ac:dyDescent="0.2">
      <c r="B62" s="158" t="s">
        <v>132</v>
      </c>
      <c r="C62" s="691">
        <v>800</v>
      </c>
      <c r="D62" s="3076" t="s">
        <v>1814</v>
      </c>
      <c r="E62" s="1913">
        <f>IFERROR(H62*1000/$C62,"NA")</f>
        <v>61.412499999999994</v>
      </c>
      <c r="F62" s="1913">
        <f t="shared" ref="F62:G67" si="23">IFERROR(I62*1000000/$C62,"NA")</f>
        <v>42.130952380952365</v>
      </c>
      <c r="G62" s="1913">
        <f t="shared" si="23"/>
        <v>2.1309523809523809</v>
      </c>
      <c r="H62" s="691">
        <v>49.129999999999995</v>
      </c>
      <c r="I62" s="691">
        <v>3.3704761904761897E-2</v>
      </c>
      <c r="J62" s="691">
        <v>1.7047619047619047E-3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8000</v>
      </c>
      <c r="D64" s="3076" t="s">
        <v>1814</v>
      </c>
      <c r="E64" s="1913">
        <f t="shared" si="24"/>
        <v>51.411918339265007</v>
      </c>
      <c r="F64" s="1913">
        <f t="shared" si="23"/>
        <v>0.93</v>
      </c>
      <c r="G64" s="1913">
        <f t="shared" si="23"/>
        <v>0.81299999999999972</v>
      </c>
      <c r="H64" s="691">
        <v>411.29534671412006</v>
      </c>
      <c r="I64" s="691">
        <v>7.4400000000000004E-3</v>
      </c>
      <c r="J64" s="691">
        <v>6.5039999999999985E-3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35739.999999999993</v>
      </c>
      <c r="D75" s="3077" t="s">
        <v>1814</v>
      </c>
      <c r="E75" s="628"/>
      <c r="F75" s="628"/>
      <c r="G75" s="628"/>
      <c r="H75" s="1913">
        <f>IF(SUM(H76:H80)=0,"NO",SUM(H76:H80))</f>
        <v>2562.6472330953152</v>
      </c>
      <c r="I75" s="1913">
        <f t="shared" ref="I75:K75" si="28">IF(SUM(I76:I81)=0,"NO",SUM(I76:I81))</f>
        <v>0.10315874420024421</v>
      </c>
      <c r="J75" s="1913">
        <f t="shared" si="28"/>
        <v>9.7487452808302788E-2</v>
      </c>
      <c r="K75" s="3065" t="str">
        <f t="shared" si="28"/>
        <v>NO</v>
      </c>
    </row>
    <row r="76" spans="2:11" ht="18" customHeight="1" x14ac:dyDescent="0.2">
      <c r="B76" s="158" t="s">
        <v>132</v>
      </c>
      <c r="C76" s="691">
        <v>25979.999999999996</v>
      </c>
      <c r="D76" s="3077" t="s">
        <v>1814</v>
      </c>
      <c r="E76" s="1913">
        <f>IFERROR(H76*1000/$C76,"NA")</f>
        <v>70.049807544264823</v>
      </c>
      <c r="F76" s="1913">
        <f t="shared" ref="F76:G81" si="29">IFERROR(I76*1000000/$C76,"NA")</f>
        <v>3.4959575648028309</v>
      </c>
      <c r="G76" s="1913">
        <f t="shared" si="29"/>
        <v>3.4528220223878421</v>
      </c>
      <c r="H76" s="691">
        <v>1819.894</v>
      </c>
      <c r="I76" s="691">
        <v>9.0824977533577531E-2</v>
      </c>
      <c r="J76" s="691">
        <v>8.9704316141636126E-2</v>
      </c>
      <c r="K76" s="3093" t="s">
        <v>2146</v>
      </c>
    </row>
    <row r="77" spans="2:11" ht="18" customHeight="1" x14ac:dyDescent="0.2">
      <c r="B77" s="158" t="s">
        <v>133</v>
      </c>
      <c r="C77" s="691">
        <v>8559.9999999999982</v>
      </c>
      <c r="D77" s="3077" t="s">
        <v>1814</v>
      </c>
      <c r="E77" s="1913">
        <f t="shared" ref="E77:E81" si="30">IFERROR(H77*1000/$C77,"NA")</f>
        <v>79.562959239275372</v>
      </c>
      <c r="F77" s="1913">
        <f t="shared" si="29"/>
        <v>1.1639277116964033</v>
      </c>
      <c r="G77" s="1913">
        <f t="shared" si="29"/>
        <v>0.78520500566411799</v>
      </c>
      <c r="H77" s="691">
        <v>681.05893108819703</v>
      </c>
      <c r="I77" s="691">
        <v>9.9632212121212108E-3</v>
      </c>
      <c r="J77" s="691">
        <v>6.7213548484848489E-3</v>
      </c>
      <c r="K77" s="3093" t="s">
        <v>2146</v>
      </c>
    </row>
    <row r="78" spans="2:11" ht="18" customHeight="1" x14ac:dyDescent="0.2">
      <c r="B78" s="158" t="s">
        <v>134</v>
      </c>
      <c r="C78" s="691">
        <v>1200.0000000000002</v>
      </c>
      <c r="D78" s="3077" t="s">
        <v>1814</v>
      </c>
      <c r="E78" s="1913">
        <f t="shared" si="30"/>
        <v>51.411918339265</v>
      </c>
      <c r="F78" s="1913">
        <f t="shared" si="29"/>
        <v>1.9754545454545454</v>
      </c>
      <c r="G78" s="1913">
        <f t="shared" si="29"/>
        <v>0.88481818181818184</v>
      </c>
      <c r="H78" s="691">
        <v>61.694302007118011</v>
      </c>
      <c r="I78" s="691">
        <v>2.370545454545455E-3</v>
      </c>
      <c r="J78" s="691">
        <v>1.0617818181818184E-3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35701.608579088483</v>
      </c>
      <c r="D89" s="3077" t="s">
        <v>1814</v>
      </c>
      <c r="E89" s="628"/>
      <c r="F89" s="628"/>
      <c r="G89" s="628"/>
      <c r="H89" s="1913">
        <f>IF(SUM(H90:H94)=0,"NO",SUM(H90:H94))</f>
        <v>2491.5432147670494</v>
      </c>
      <c r="I89" s="1913">
        <f t="shared" ref="I89:K89" si="36">IF(SUM(I90:I95)=0,"NO",SUM(I90:I95))</f>
        <v>0.13178641412207096</v>
      </c>
      <c r="J89" s="1913">
        <f t="shared" si="36"/>
        <v>0.13109702308415447</v>
      </c>
      <c r="K89" s="3065" t="str">
        <f t="shared" si="36"/>
        <v>NO</v>
      </c>
    </row>
    <row r="90" spans="2:11" ht="18" customHeight="1" x14ac:dyDescent="0.2">
      <c r="B90" s="158" t="s">
        <v>132</v>
      </c>
      <c r="C90" s="691">
        <v>35501.608579088483</v>
      </c>
      <c r="D90" s="3077" t="s">
        <v>1814</v>
      </c>
      <c r="E90" s="1913">
        <f>IFERROR(H90*1000/$C90,"NA")</f>
        <v>69.89150436864243</v>
      </c>
      <c r="F90" s="1913">
        <f t="shared" ref="F90:G95" si="37">IFERROR(I90*1000000/$C90,"NA")</f>
        <v>3.7070037445506587</v>
      </c>
      <c r="G90" s="1913">
        <f t="shared" si="37"/>
        <v>3.6875851585905122</v>
      </c>
      <c r="H90" s="691">
        <v>2481.2608310991964</v>
      </c>
      <c r="I90" s="691">
        <v>0.13160459594025278</v>
      </c>
      <c r="J90" s="691">
        <v>0.1309152049023363</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200.00000000000006</v>
      </c>
      <c r="D92" s="3077" t="s">
        <v>1814</v>
      </c>
      <c r="E92" s="1913">
        <f t="shared" si="38"/>
        <v>51.411918339264986</v>
      </c>
      <c r="F92" s="1913">
        <f t="shared" si="37"/>
        <v>0.90909090909090906</v>
      </c>
      <c r="G92" s="1913">
        <f t="shared" si="37"/>
        <v>0.90909090909090906</v>
      </c>
      <c r="H92" s="691">
        <v>10.282383667853001</v>
      </c>
      <c r="I92" s="691">
        <v>1.8181818181818186E-4</v>
      </c>
      <c r="J92" s="691">
        <v>1.8181818181818186E-4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8200</v>
      </c>
      <c r="D96" s="3076" t="s">
        <v>1814</v>
      </c>
      <c r="E96" s="628"/>
      <c r="F96" s="628"/>
      <c r="G96" s="628"/>
      <c r="H96" s="1913">
        <f>IF(SUM(H97:H101)=0,"NO",SUM(H97:H101))</f>
        <v>479.71508553736953</v>
      </c>
      <c r="I96" s="1913">
        <f t="shared" ref="I96:K96" si="42">IF(SUM(I97:I102)=0,"NO",SUM(I97:I102))</f>
        <v>7.9244329004329005E-3</v>
      </c>
      <c r="J96" s="1913">
        <f t="shared" si="42"/>
        <v>7.7848692640692645E-3</v>
      </c>
      <c r="K96" s="3065" t="str">
        <f t="shared" si="42"/>
        <v>NO</v>
      </c>
    </row>
    <row r="97" spans="2:11" ht="18" customHeight="1" x14ac:dyDescent="0.2">
      <c r="B97" s="158" t="s">
        <v>132</v>
      </c>
      <c r="C97" s="691">
        <v>700</v>
      </c>
      <c r="D97" s="3076" t="s">
        <v>1814</v>
      </c>
      <c r="E97" s="1913">
        <f>IFERROR(H97*1000/$C97,"NA")</f>
        <v>64.028571428571439</v>
      </c>
      <c r="F97" s="1913">
        <f t="shared" ref="F97:G102" si="43">IFERROR(I97*1000000/$C97,"NA")</f>
        <v>1.4406926406926408</v>
      </c>
      <c r="G97" s="1913">
        <f t="shared" si="43"/>
        <v>2.3791119356833637</v>
      </c>
      <c r="H97" s="691">
        <v>44.820000000000007</v>
      </c>
      <c r="I97" s="691">
        <v>1.0084848484848486E-3</v>
      </c>
      <c r="J97" s="691">
        <v>1.6653783549783546E-3</v>
      </c>
      <c r="K97" s="3093" t="s">
        <v>2146</v>
      </c>
    </row>
    <row r="98" spans="2:11" ht="18" customHeight="1" x14ac:dyDescent="0.2">
      <c r="B98" s="158" t="s">
        <v>133</v>
      </c>
      <c r="C98" s="691">
        <v>1200</v>
      </c>
      <c r="D98" s="3076" t="s">
        <v>1814</v>
      </c>
      <c r="E98" s="1913">
        <f t="shared" ref="E98:E102" si="44">IFERROR(H98*1000/$C98,"NA")</f>
        <v>92.5</v>
      </c>
      <c r="F98" s="1913">
        <f t="shared" si="43"/>
        <v>0.95238095238095222</v>
      </c>
      <c r="G98" s="1913">
        <f t="shared" si="43"/>
        <v>0.66666666666666663</v>
      </c>
      <c r="H98" s="691">
        <v>111</v>
      </c>
      <c r="I98" s="691">
        <v>1.1428571428571427E-3</v>
      </c>
      <c r="J98" s="691">
        <v>8.0000000000000004E-4</v>
      </c>
      <c r="K98" s="3093" t="s">
        <v>2146</v>
      </c>
    </row>
    <row r="99" spans="2:11" ht="18" customHeight="1" x14ac:dyDescent="0.2">
      <c r="B99" s="158" t="s">
        <v>134</v>
      </c>
      <c r="C99" s="691">
        <v>6300.0000000000009</v>
      </c>
      <c r="D99" s="3076" t="s">
        <v>1814</v>
      </c>
      <c r="E99" s="1913">
        <f t="shared" si="44"/>
        <v>51.411918339265</v>
      </c>
      <c r="F99" s="1913">
        <f t="shared" si="43"/>
        <v>0.91636363636363638</v>
      </c>
      <c r="G99" s="1913">
        <f t="shared" si="43"/>
        <v>0.84436363636363632</v>
      </c>
      <c r="H99" s="691">
        <v>323.89508553736954</v>
      </c>
      <c r="I99" s="691">
        <v>5.77309090909091E-3</v>
      </c>
      <c r="J99" s="691">
        <v>5.3194909090909098E-3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5700</v>
      </c>
      <c r="D112" s="3076" t="s">
        <v>1814</v>
      </c>
      <c r="E112" s="628"/>
      <c r="F112" s="628"/>
      <c r="G112" s="628"/>
      <c r="H112" s="1913">
        <f>H113</f>
        <v>301.04839986239847</v>
      </c>
      <c r="I112" s="1913">
        <f>I113</f>
        <v>3.787398268398269E-2</v>
      </c>
      <c r="J112" s="1913">
        <f>J113</f>
        <v>5.8437272727272721E-3</v>
      </c>
      <c r="K112" s="3065" t="str">
        <f>K113</f>
        <v>NO</v>
      </c>
    </row>
    <row r="113" spans="2:11" ht="18" customHeight="1" x14ac:dyDescent="0.2">
      <c r="B113" s="3090" t="s">
        <v>2259</v>
      </c>
      <c r="C113" s="3099">
        <f>IF(SUM(C114:C119)=0,"NO",SUM(C114:C119))</f>
        <v>5700</v>
      </c>
      <c r="D113" s="3099" t="s">
        <v>1814</v>
      </c>
      <c r="E113" s="628"/>
      <c r="F113" s="628"/>
      <c r="G113" s="628"/>
      <c r="H113" s="3099">
        <f>IF(SUM(H114:H118)=0,"NO",SUM(H114:H118))</f>
        <v>301.04839986239847</v>
      </c>
      <c r="I113" s="3099">
        <f t="shared" ref="I113" si="51">IF(SUM(I114:I119)=0,"NO",SUM(I114:I119))</f>
        <v>3.787398268398269E-2</v>
      </c>
      <c r="J113" s="3099">
        <f t="shared" ref="J113" si="52">IF(SUM(J114:J119)=0,"NO",SUM(J114:J119))</f>
        <v>5.8437272727272721E-3</v>
      </c>
      <c r="K113" s="3100" t="str">
        <f t="shared" ref="K113" si="53">IF(SUM(K114:K119)=0,"NO",SUM(K114:K119))</f>
        <v>NO</v>
      </c>
    </row>
    <row r="114" spans="2:11" ht="18" customHeight="1" x14ac:dyDescent="0.2">
      <c r="B114" s="158" t="s">
        <v>132</v>
      </c>
      <c r="C114" s="691">
        <v>799.99999999999989</v>
      </c>
      <c r="D114" s="3076" t="s">
        <v>1814</v>
      </c>
      <c r="E114" s="1913">
        <f>IFERROR(H114*1000/$C114,"NA")</f>
        <v>61.412500000000016</v>
      </c>
      <c r="F114" s="1913">
        <f t="shared" ref="F114:G119" si="54">IFERROR(I114*1000000/$C114,"NA")</f>
        <v>41.768614718614735</v>
      </c>
      <c r="G114" s="1913">
        <f t="shared" si="54"/>
        <v>1.7645454545454544</v>
      </c>
      <c r="H114" s="691">
        <v>49.13000000000001</v>
      </c>
      <c r="I114" s="691">
        <v>3.3414891774891778E-2</v>
      </c>
      <c r="J114" s="691">
        <v>1.4116363636363634E-3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4900</v>
      </c>
      <c r="D116" s="3076" t="s">
        <v>1814</v>
      </c>
      <c r="E116" s="1913">
        <f t="shared" si="55"/>
        <v>51.411918339264993</v>
      </c>
      <c r="F116" s="1913">
        <f t="shared" si="54"/>
        <v>0.91001855287569566</v>
      </c>
      <c r="G116" s="1913">
        <f t="shared" si="54"/>
        <v>0.90450834879406306</v>
      </c>
      <c r="H116" s="691">
        <v>251.91839986239847</v>
      </c>
      <c r="I116" s="691">
        <v>4.4590909090909091E-3</v>
      </c>
      <c r="J116" s="691">
        <v>4.432090909090909E-3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5571.9524256448776</v>
      </c>
      <c r="D10" s="4413">
        <f t="shared" ref="D10:F10" si="0">SUM(D11:D16)</f>
        <v>25240.75650486357</v>
      </c>
      <c r="E10" s="4413">
        <f t="shared" si="0"/>
        <v>2335.041637733746</v>
      </c>
      <c r="F10" s="4413">
        <f t="shared" si="0"/>
        <v>2338.5442788635423</v>
      </c>
      <c r="G10" s="4414" t="s">
        <v>2146</v>
      </c>
      <c r="H10" s="4415" t="s">
        <v>2312</v>
      </c>
      <c r="I10" s="4416" t="s">
        <v>2313</v>
      </c>
    </row>
    <row r="11" spans="2:9" ht="18" customHeight="1" x14ac:dyDescent="0.2">
      <c r="B11" s="1558" t="s">
        <v>1476</v>
      </c>
      <c r="C11" s="4417">
        <f>Table1!D10</f>
        <v>1361.1543789293739</v>
      </c>
      <c r="D11" s="4418">
        <f>Table1!G10</f>
        <v>5471.1899284091569</v>
      </c>
      <c r="E11" s="4418">
        <f>Table1!H10</f>
        <v>805.06612498682421</v>
      </c>
      <c r="F11" s="4418">
        <f>Table1!F10</f>
        <v>1576.6896524200988</v>
      </c>
      <c r="G11" s="4419" t="s">
        <v>2146</v>
      </c>
      <c r="H11" s="4420" t="s">
        <v>2154</v>
      </c>
      <c r="I11" s="4421" t="s">
        <v>2154</v>
      </c>
    </row>
    <row r="12" spans="2:9" ht="18" customHeight="1" x14ac:dyDescent="0.2">
      <c r="B12" s="2393" t="s">
        <v>1551</v>
      </c>
      <c r="C12" s="4422">
        <f>'Table2(I)'!D10</f>
        <v>3.2901835568798088</v>
      </c>
      <c r="D12" s="4388">
        <f>'Table2(I)'!L10</f>
        <v>10.48884127574914</v>
      </c>
      <c r="E12" s="4388">
        <f>'Table2(I)'!M10</f>
        <v>204.00632895773231</v>
      </c>
      <c r="F12" s="4388">
        <f>'Table2(I)'!K10</f>
        <v>39.312014006946093</v>
      </c>
      <c r="G12" s="4423" t="s">
        <v>2146</v>
      </c>
      <c r="H12" s="4424" t="s">
        <v>2146</v>
      </c>
      <c r="I12" s="4425" t="s">
        <v>2146</v>
      </c>
    </row>
    <row r="13" spans="2:9" ht="18" customHeight="1" x14ac:dyDescent="0.2">
      <c r="B13" s="2393" t="s">
        <v>1552</v>
      </c>
      <c r="C13" s="4422">
        <f>Table3!D10</f>
        <v>2747.9990242827726</v>
      </c>
      <c r="D13" s="4388">
        <f>Table3!G10</f>
        <v>414.51006766318534</v>
      </c>
      <c r="E13" s="4388">
        <f>Table3!H10</f>
        <v>24.179753947019147</v>
      </c>
      <c r="F13" s="4388">
        <f>Table3!F10</f>
        <v>25.267327736104672</v>
      </c>
      <c r="G13" s="4426"/>
      <c r="H13" s="4424" t="s">
        <v>2154</v>
      </c>
      <c r="I13" s="4425" t="s">
        <v>2153</v>
      </c>
    </row>
    <row r="14" spans="2:9" ht="18" customHeight="1" x14ac:dyDescent="0.2">
      <c r="B14" s="2393" t="s">
        <v>1553</v>
      </c>
      <c r="C14" s="4422">
        <f>Table4!D10</f>
        <v>642.35938777762067</v>
      </c>
      <c r="D14" s="4388">
        <f>Table4!G10</f>
        <v>19344.567667515479</v>
      </c>
      <c r="E14" s="4423">
        <f>Table4!H10</f>
        <v>824.18921818552553</v>
      </c>
      <c r="F14" s="4423">
        <f>Table4!F10</f>
        <v>697.27528470039272</v>
      </c>
      <c r="G14" s="4426"/>
      <c r="H14" s="4427" t="s">
        <v>2154</v>
      </c>
      <c r="I14" s="4425" t="s">
        <v>2154</v>
      </c>
    </row>
    <row r="15" spans="2:9" ht="18" customHeight="1" x14ac:dyDescent="0.2">
      <c r="B15" s="2393" t="s">
        <v>1554</v>
      </c>
      <c r="C15" s="4422">
        <f>Table5!D10</f>
        <v>817.14945109823088</v>
      </c>
      <c r="D15" s="4388" t="str">
        <f>Table5!G10</f>
        <v>NO</v>
      </c>
      <c r="E15" s="4423">
        <f>Table5!H10</f>
        <v>477.600211656645</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1992</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379212.29917090805</v>
      </c>
      <c r="D10" s="4193">
        <f>SUM(D11,D22,D30,D41,D50,D56)</f>
        <v>377828.83068512147</v>
      </c>
      <c r="E10" s="3840">
        <f>IF(D10="NO",IF(C10="NO","NA",-C10),IF(C10="NO",D10,D10-C10))</f>
        <v>-1383.4684857865795</v>
      </c>
      <c r="F10" s="3838">
        <f>IF(E10="NA","NA",E10/C10*100)</f>
        <v>-0.3648269027168502</v>
      </c>
      <c r="G10" s="3841">
        <f>IF(E10="NA","NA",E10/Table8s2!$G$35*100)</f>
        <v>-0.31317751176539621</v>
      </c>
      <c r="H10" s="3842">
        <f>IF(E10="NA","NA",E10/Table8s2!$G$34*100)</f>
        <v>-0.24848305822970349</v>
      </c>
      <c r="I10" s="4194">
        <f>SUM(I11,I22,I30,I41,I50,I56)</f>
        <v>158559.36045184472</v>
      </c>
      <c r="J10" s="4193">
        <f>SUM(J11,J22,J30,J41,J50,J56)</f>
        <v>156014.6679180566</v>
      </c>
      <c r="K10" s="3840">
        <f t="shared" ref="K10:K12" si="0">IF(J10="NO",IF(I10="NO","NA",-I10),IF(I10="NO",J10,J10-I10))</f>
        <v>-2544.6925337881257</v>
      </c>
      <c r="L10" s="3838">
        <f t="shared" ref="L10:L12" si="1">IF(K10="NA","NA",K10/I10*100)</f>
        <v>-1.6048831973946829</v>
      </c>
      <c r="M10" s="3841">
        <f>IF(K10="NA","NA",K10/Table8s2!$G$35*100)</f>
        <v>-0.57604526892178631</v>
      </c>
      <c r="N10" s="3842">
        <f>IF(K10="NA","NA",K10/Table8s2!$G$34*100)</f>
        <v>-0.45704906873282414</v>
      </c>
      <c r="O10" s="4194">
        <f>SUM(O11,O22,O30,O41,O50,O56)</f>
        <v>17527.917561344599</v>
      </c>
      <c r="P10" s="4193">
        <f>SUM(P11,P22,P30,P41,P50,P56)</f>
        <v>17399.015295343495</v>
      </c>
      <c r="Q10" s="3840">
        <f t="shared" ref="Q10:Q12" si="2">IF(P10="NO",IF(O10="NO","NA",-O10),IF(O10="NO",P10,P10-O10))</f>
        <v>-128.90226600110327</v>
      </c>
      <c r="R10" s="3838">
        <f t="shared" ref="R10:R12" si="3">IF(Q10="NA","NA",Q10/O10*100)</f>
        <v>-0.73541118361589863</v>
      </c>
      <c r="S10" s="3841">
        <f>IF(Q10="NA","NA",Q10/Table8s2!$G$35*100)</f>
        <v>-2.917976906730517E-2</v>
      </c>
      <c r="T10" s="3842">
        <f>IF(Q10="NA","NA",Q10/Table8s2!$G$34*100)</f>
        <v>-2.3151976064335143E-2</v>
      </c>
    </row>
    <row r="11" spans="2:20" ht="18" customHeight="1" x14ac:dyDescent="0.2">
      <c r="B11" s="1405" t="s">
        <v>1476</v>
      </c>
      <c r="C11" s="3839">
        <f>SUM(C12,C18,C21)</f>
        <v>265474.81004827231</v>
      </c>
      <c r="D11" s="3839">
        <f>Summary2!C11</f>
        <v>265479.52700305701</v>
      </c>
      <c r="E11" s="3843">
        <f t="shared" ref="E11:E38" si="4">IF(D11="NO",IF(C11="NO","NA",-C11),IF(C11="NO",D11,D11-C11))</f>
        <v>4.716954784700647</v>
      </c>
      <c r="F11" s="3839">
        <f t="shared" ref="F11:F38" si="5">IF(E11="NA","NA",E11/C11*100)</f>
        <v>1.7767993821496454E-3</v>
      </c>
      <c r="G11" s="3844">
        <f>IF(E11="NA","NA",E11/Table8s2!$G$35*100)</f>
        <v>1.0677830234365857E-3</v>
      </c>
      <c r="H11" s="3845">
        <f>IF(E11="NA","NA",E11/Table8s2!$G$34*100)</f>
        <v>8.4720639644151642E-4</v>
      </c>
      <c r="I11" s="3846">
        <f>SUM(I12,I18,I21)</f>
        <v>38111.919722706814</v>
      </c>
      <c r="J11" s="3839">
        <f>Summary2!D11</f>
        <v>38112.322610022471</v>
      </c>
      <c r="K11" s="3843">
        <f t="shared" si="0"/>
        <v>0.40288731565669877</v>
      </c>
      <c r="L11" s="3839">
        <f t="shared" si="1"/>
        <v>1.057116300065728E-3</v>
      </c>
      <c r="M11" s="3844">
        <f>IF(K11="NA","NA",K11/Table8s2!$G$35*100)</f>
        <v>9.1202111457903547E-5</v>
      </c>
      <c r="N11" s="3845">
        <f>IF(K11="NA","NA",K11/Table8s2!$G$34*100)</f>
        <v>7.236209089317555E-5</v>
      </c>
      <c r="O11" s="3846">
        <f>SUM(O12,O18,O21)</f>
        <v>1829.5446444832844</v>
      </c>
      <c r="P11" s="3839">
        <f>Summary2!E11</f>
        <v>1829.575874716684</v>
      </c>
      <c r="Q11" s="3843">
        <f t="shared" si="2"/>
        <v>3.1230233399583085E-2</v>
      </c>
      <c r="R11" s="3839">
        <f t="shared" si="3"/>
        <v>1.7069948795047521E-3</v>
      </c>
      <c r="S11" s="3844">
        <f>IF(Q11="NA","NA",Q11/Table8s2!$G$35*100)</f>
        <v>7.0696274533302272E-6</v>
      </c>
      <c r="T11" s="3845">
        <f>IF(Q11="NA","NA",Q11/Table8s2!$G$34*100)</f>
        <v>5.6092234728019361E-6</v>
      </c>
    </row>
    <row r="12" spans="2:20" ht="18" customHeight="1" x14ac:dyDescent="0.2">
      <c r="B12" s="620" t="s">
        <v>131</v>
      </c>
      <c r="C12" s="3839">
        <f>SUM(C13:C17)</f>
        <v>258171.10954310888</v>
      </c>
      <c r="D12" s="3839">
        <f>Summary2!C12</f>
        <v>258175.82649789355</v>
      </c>
      <c r="E12" s="3839">
        <f t="shared" si="4"/>
        <v>4.7169547846715432</v>
      </c>
      <c r="F12" s="3847">
        <f t="shared" si="5"/>
        <v>1.8270653106845468E-3</v>
      </c>
      <c r="G12" s="3844">
        <f>IF(E12="NA","NA",E12/Table8s2!$G$35*100)</f>
        <v>1.0677830234299974E-3</v>
      </c>
      <c r="H12" s="3845">
        <f>IF(E12="NA","NA",E12/Table8s2!$G$34*100)</f>
        <v>8.4720639643628905E-4</v>
      </c>
      <c r="I12" s="3846">
        <f>SUM(I13:I17)</f>
        <v>3847.8987985749463</v>
      </c>
      <c r="J12" s="3839">
        <f>Summary2!D12</f>
        <v>3847.9755549260153</v>
      </c>
      <c r="K12" s="3839">
        <f t="shared" si="0"/>
        <v>7.6756351068979711E-2</v>
      </c>
      <c r="L12" s="3847">
        <f t="shared" si="1"/>
        <v>1.9947601297987906E-3</v>
      </c>
      <c r="M12" s="3844">
        <f>IF(K12="NA","NA",K12/Table8s2!$G$35*100)</f>
        <v>1.737543231879772E-5</v>
      </c>
      <c r="N12" s="3845">
        <f>IF(K12="NA","NA",K12/Table8s2!$G$34*100)</f>
        <v>1.3786112982059706E-5</v>
      </c>
      <c r="O12" s="3848">
        <f>SUM(O13:O17)</f>
        <v>1795.7864986041482</v>
      </c>
      <c r="P12" s="3847">
        <f>Summary2!E12</f>
        <v>1795.8177288375477</v>
      </c>
      <c r="Q12" s="3839">
        <f t="shared" si="2"/>
        <v>3.1230233399583085E-2</v>
      </c>
      <c r="R12" s="3847">
        <f t="shared" si="3"/>
        <v>1.7390838734926517E-3</v>
      </c>
      <c r="S12" s="3844">
        <f>IF(Q12="NA","NA",Q12/Table8s2!$G$35*100)</f>
        <v>7.0696274533302272E-6</v>
      </c>
      <c r="T12" s="3845">
        <f>IF(Q12="NA","NA",Q12/Table8s2!$G$34*100)</f>
        <v>5.6092234728019361E-6</v>
      </c>
    </row>
    <row r="13" spans="2:20" ht="18" customHeight="1" x14ac:dyDescent="0.2">
      <c r="B13" s="1392" t="s">
        <v>1478</v>
      </c>
      <c r="C13" s="3847">
        <v>149113.82400872983</v>
      </c>
      <c r="D13" s="3839">
        <f>Summary2!C13</f>
        <v>149114.46071351453</v>
      </c>
      <c r="E13" s="3839">
        <f t="shared" si="4"/>
        <v>0.63670478470157832</v>
      </c>
      <c r="F13" s="3847">
        <f t="shared" si="5"/>
        <v>4.2699245957524538E-4</v>
      </c>
      <c r="G13" s="3844">
        <f>IF(E13="NA","NA",E13/Table8s2!$G$35*100)</f>
        <v>1.4413166779768863E-4</v>
      </c>
      <c r="H13" s="3845">
        <f>IF(E13="NA","NA",E13/Table8s2!$G$34*100)</f>
        <v>1.1435775640540279E-4</v>
      </c>
      <c r="I13" s="3846">
        <v>165.93659714435154</v>
      </c>
      <c r="J13" s="3839">
        <f>Summary2!D13</f>
        <v>165.93755714435159</v>
      </c>
      <c r="K13" s="3839">
        <f t="shared" ref="K13" si="6">IF(J13="NO",IF(I13="NO","NA",-I13),IF(I13="NO",J13,J13-I13))</f>
        <v>9.6000000004892172E-4</v>
      </c>
      <c r="L13" s="3847">
        <f t="shared" ref="L13" si="7">IF(K13="NA","NA",K13/I13*100)</f>
        <v>5.7853422124463526E-4</v>
      </c>
      <c r="M13" s="3844">
        <f>IF(K13="NA","NA",K13/Table8s2!$G$35*100)</f>
        <v>2.173164147929E-7</v>
      </c>
      <c r="N13" s="3845">
        <f>IF(K13="NA","NA",K13/Table8s2!$G$34*100)</f>
        <v>1.7242440891383662E-7</v>
      </c>
      <c r="O13" s="3848">
        <v>439.39652554059023</v>
      </c>
      <c r="P13" s="3847">
        <f>Summary2!E13</f>
        <v>439.3974341120188</v>
      </c>
      <c r="Q13" s="3839">
        <f t="shared" ref="Q13" si="8">IF(P13="NO",IF(O13="NO","NA",-O13),IF(O13="NO",P13,P13-O13))</f>
        <v>9.0857142856748396E-4</v>
      </c>
      <c r="R13" s="3847">
        <f t="shared" ref="R13" si="9">IF(Q13="NA","NA",Q13/O13*100)</f>
        <v>2.0677710809152784E-4</v>
      </c>
      <c r="S13" s="3844">
        <f>IF(Q13="NA","NA",Q13/Table8s2!$G$35*100)</f>
        <v>2.0567446398904904E-7</v>
      </c>
      <c r="T13" s="3845">
        <f>IF(Q13="NA","NA",Q13/Table8s2!$G$34*100)</f>
        <v>1.6318738699871369E-7</v>
      </c>
    </row>
    <row r="14" spans="2:20" ht="18" customHeight="1" x14ac:dyDescent="0.2">
      <c r="B14" s="1392" t="s">
        <v>1517</v>
      </c>
      <c r="C14" s="3847">
        <v>34991.925261337397</v>
      </c>
      <c r="D14" s="3839">
        <f>Summary2!C14</f>
        <v>34991.925261337383</v>
      </c>
      <c r="E14" s="3839">
        <f t="shared" si="4"/>
        <v>-1.4551915228366852E-11</v>
      </c>
      <c r="F14" s="3847">
        <f t="shared" si="5"/>
        <v>-4.1586494940434939E-14</v>
      </c>
      <c r="G14" s="3844">
        <f>IF(E14="NA","NA",E14/Table8s2!$G$35*100)</f>
        <v>-3.2941354642059728E-15</v>
      </c>
      <c r="H14" s="3845">
        <f>IF(E14="NA","NA",E14/Table8s2!$G$34*100)</f>
        <v>-2.6136514392578625E-15</v>
      </c>
      <c r="I14" s="3846">
        <v>52.551294448258822</v>
      </c>
      <c r="J14" s="3839">
        <f>Summary2!D14</f>
        <v>52.551294448258822</v>
      </c>
      <c r="K14" s="3839">
        <f t="shared" ref="K14:K20" si="10">IF(J14="NO",IF(I14="NO","NA",-I14),IF(I14="NO",J14,J14-I14))</f>
        <v>0</v>
      </c>
      <c r="L14" s="3847">
        <f t="shared" ref="L14:L20" si="11">IF(K14="NA","NA",K14/I14*100)</f>
        <v>0</v>
      </c>
      <c r="M14" s="3844">
        <f>IF(K14="NA","NA",K14/Table8s2!$G$35*100)</f>
        <v>0</v>
      </c>
      <c r="N14" s="3845">
        <f>IF(K14="NA","NA",K14/Table8s2!$G$34*100)</f>
        <v>0</v>
      </c>
      <c r="O14" s="3848">
        <v>271.44235776090716</v>
      </c>
      <c r="P14" s="3847">
        <f>Summary2!E14</f>
        <v>271.44235776090721</v>
      </c>
      <c r="Q14" s="3839">
        <f t="shared" ref="Q14:Q20" si="12">IF(P14="NO",IF(O14="NO","NA",-O14),IF(O14="NO",P14,P14-O14))</f>
        <v>5.6843418860808015E-14</v>
      </c>
      <c r="R14" s="3847">
        <f t="shared" ref="R14:R20" si="13">IF(Q14="NA","NA",Q14/O14*100)</f>
        <v>2.0941248569199743E-14</v>
      </c>
      <c r="S14" s="3844">
        <f>IF(Q14="NA","NA",Q14/Table8s2!$G$35*100)</f>
        <v>1.2867716657054581E-17</v>
      </c>
      <c r="T14" s="3845">
        <f>IF(Q14="NA","NA",Q14/Table8s2!$G$34*100)</f>
        <v>1.0209575934601025E-17</v>
      </c>
    </row>
    <row r="15" spans="2:20" ht="18" customHeight="1" x14ac:dyDescent="0.2">
      <c r="B15" s="1392" t="s">
        <v>1480</v>
      </c>
      <c r="C15" s="3847">
        <v>60087.580798513882</v>
      </c>
      <c r="D15" s="3839">
        <f>Summary2!C15</f>
        <v>60120.186322479196</v>
      </c>
      <c r="E15" s="3839">
        <f t="shared" si="4"/>
        <v>32.605523965314205</v>
      </c>
      <c r="F15" s="3847">
        <f t="shared" si="5"/>
        <v>5.426333284185178E-2</v>
      </c>
      <c r="G15" s="3844">
        <f>IF(E15="NA","NA",E15/Table8s2!$G$35*100)</f>
        <v>7.3809537189843486E-3</v>
      </c>
      <c r="H15" s="3845">
        <f>IF(E15="NA","NA",E15/Table8s2!$G$34*100)</f>
        <v>5.8562377049570192E-3</v>
      </c>
      <c r="I15" s="3846">
        <v>755.71668352571874</v>
      </c>
      <c r="J15" s="3839">
        <f>Summary2!D15</f>
        <v>755.88258515622226</v>
      </c>
      <c r="K15" s="3839">
        <f t="shared" si="10"/>
        <v>0.16590163050352658</v>
      </c>
      <c r="L15" s="3847">
        <f t="shared" si="11"/>
        <v>2.1952887122926746E-2</v>
      </c>
      <c r="M15" s="3844">
        <f>IF(K15="NA","NA",K15/Table8s2!$G$35*100)</f>
        <v>3.755536202863077E-5</v>
      </c>
      <c r="N15" s="3845">
        <f>IF(K15="NA","NA",K15/Table8s2!$G$34*100)</f>
        <v>2.9797386016619331E-5</v>
      </c>
      <c r="O15" s="3848">
        <v>933.8153129945199</v>
      </c>
      <c r="P15" s="3847">
        <f>Summary2!E15</f>
        <v>934.06190162060182</v>
      </c>
      <c r="Q15" s="3839">
        <f t="shared" si="12"/>
        <v>0.24658862608191612</v>
      </c>
      <c r="R15" s="3847">
        <f t="shared" si="13"/>
        <v>2.6406573403810012E-2</v>
      </c>
      <c r="S15" s="3844">
        <f>IF(Q15="NA","NA",Q15/Table8s2!$G$35*100)</f>
        <v>5.5820579318852246E-5</v>
      </c>
      <c r="T15" s="3845">
        <f>IF(Q15="NA","NA",Q15/Table8s2!$G$34*100)</f>
        <v>4.4289477182169527E-5</v>
      </c>
    </row>
    <row r="16" spans="2:20" ht="18" customHeight="1" x14ac:dyDescent="0.2">
      <c r="B16" s="1392" t="s">
        <v>1481</v>
      </c>
      <c r="C16" s="3847">
        <v>13484.545646595354</v>
      </c>
      <c r="D16" s="3839">
        <f>Summary2!C16</f>
        <v>13489.892046300974</v>
      </c>
      <c r="E16" s="3839">
        <f t="shared" si="4"/>
        <v>5.3463997056205699</v>
      </c>
      <c r="F16" s="3847">
        <f t="shared" si="5"/>
        <v>3.9648348900583504E-2</v>
      </c>
      <c r="G16" s="3844">
        <f>IF(E16="NA","NA",E16/Table8s2!$G$35*100)</f>
        <v>1.2102712666834058E-3</v>
      </c>
      <c r="H16" s="3845">
        <f>IF(E16="NA","NA",E16/Table8s2!$G$34*100)</f>
        <v>9.6026021772058255E-4</v>
      </c>
      <c r="I16" s="3846">
        <v>2872.9713483035339</v>
      </c>
      <c r="J16" s="3839">
        <f>Summary2!D16</f>
        <v>2872.9725852046899</v>
      </c>
      <c r="K16" s="3839">
        <f t="shared" si="10"/>
        <v>1.2369011560622312E-3</v>
      </c>
      <c r="L16" s="3847">
        <f t="shared" si="11"/>
        <v>4.305302789714945E-5</v>
      </c>
      <c r="M16" s="3844">
        <f>IF(K16="NA","NA",K16/Table8s2!$G$35*100)</f>
        <v>2.7999887986972843E-7</v>
      </c>
      <c r="N16" s="3845">
        <f>IF(K16="NA","NA",K16/Table8s2!$G$34*100)</f>
        <v>2.2215828198750315E-7</v>
      </c>
      <c r="O16" s="3848">
        <v>147.59373264385383</v>
      </c>
      <c r="P16" s="3847">
        <f>Summary2!E16</f>
        <v>147.59375865804481</v>
      </c>
      <c r="Q16" s="3839">
        <f t="shared" si="12"/>
        <v>2.6014190979140039E-5</v>
      </c>
      <c r="R16" s="3847">
        <f t="shared" si="13"/>
        <v>1.7625539047726857E-5</v>
      </c>
      <c r="S16" s="3844">
        <f>IF(Q16="NA","NA",Q16/Table8s2!$G$35*100)</f>
        <v>5.8888653302462709E-9</v>
      </c>
      <c r="T16" s="3845">
        <f>IF(Q16="NA","NA",Q16/Table8s2!$G$34*100)</f>
        <v>4.6723765653346891E-9</v>
      </c>
    </row>
    <row r="17" spans="2:20" ht="18" customHeight="1" x14ac:dyDescent="0.2">
      <c r="B17" s="1392" t="s">
        <v>1482</v>
      </c>
      <c r="C17" s="3847">
        <v>493.23382793240955</v>
      </c>
      <c r="D17" s="3839">
        <f>Summary2!C17</f>
        <v>459.36215426147743</v>
      </c>
      <c r="E17" s="3839">
        <f t="shared" si="4"/>
        <v>-33.871673670932125</v>
      </c>
      <c r="F17" s="3847">
        <f t="shared" si="5"/>
        <v>-6.8672649264384473</v>
      </c>
      <c r="G17" s="3844">
        <f>IF(E17="NA","NA",E17/Table8s2!$G$35*100)</f>
        <v>-7.6675736300280449E-3</v>
      </c>
      <c r="H17" s="3845">
        <f>IF(E17="NA","NA",E17/Table8s2!$G$34*100)</f>
        <v>-6.0836492826408456E-3</v>
      </c>
      <c r="I17" s="3846">
        <v>0.72287515308351646</v>
      </c>
      <c r="J17" s="3839">
        <f>Summary2!D17</f>
        <v>0.63153297249244067</v>
      </c>
      <c r="K17" s="3839">
        <f t="shared" si="10"/>
        <v>-9.1342180591075794E-2</v>
      </c>
      <c r="L17" s="3847">
        <f t="shared" si="11"/>
        <v>-12.635955213212688</v>
      </c>
      <c r="M17" s="3844">
        <f>IF(K17="NA","NA",K17/Table8s2!$G$35*100)</f>
        <v>-2.0677245004590247E-5</v>
      </c>
      <c r="N17" s="3845">
        <f>IF(K17="NA","NA",K17/Table8s2!$G$34*100)</f>
        <v>-1.6405855725536E-5</v>
      </c>
      <c r="O17" s="3848">
        <v>3.5385696642770781</v>
      </c>
      <c r="P17" s="3847">
        <f>Summary2!E17</f>
        <v>3.3222766859750958</v>
      </c>
      <c r="Q17" s="3839">
        <f t="shared" si="12"/>
        <v>-0.21629297830198224</v>
      </c>
      <c r="R17" s="3847">
        <f t="shared" si="13"/>
        <v>-6.1124408680016877</v>
      </c>
      <c r="S17" s="3844">
        <f>IF(Q17="NA","NA",Q17/Table8s2!$G$35*100)</f>
        <v>-4.8962515194864536E-5</v>
      </c>
      <c r="T17" s="3845">
        <f>IF(Q17="NA","NA",Q17/Table8s2!$G$34*100)</f>
        <v>-3.8848113472950062E-5</v>
      </c>
    </row>
    <row r="18" spans="2:20" ht="18" customHeight="1" x14ac:dyDescent="0.2">
      <c r="B18" s="620" t="s">
        <v>99</v>
      </c>
      <c r="C18" s="3847">
        <f>SUM(C19:C20)</f>
        <v>7303.7005051634515</v>
      </c>
      <c r="D18" s="3839">
        <f>Summary2!C18</f>
        <v>7303.7005051634515</v>
      </c>
      <c r="E18" s="3839">
        <f t="shared" si="4"/>
        <v>0</v>
      </c>
      <c r="F18" s="3847">
        <f t="shared" si="5"/>
        <v>0</v>
      </c>
      <c r="G18" s="3844">
        <f>IF(E18="NA","NA",E18/Table8s2!$G$35*100)</f>
        <v>0</v>
      </c>
      <c r="H18" s="3845">
        <f>IF(E18="NA","NA",E18/Table8s2!$G$34*100)</f>
        <v>0</v>
      </c>
      <c r="I18" s="3846">
        <f>SUM(I19:I20)</f>
        <v>34264.020924131866</v>
      </c>
      <c r="J18" s="3839">
        <f>Summary2!D18</f>
        <v>34264.347055096456</v>
      </c>
      <c r="K18" s="3839">
        <f t="shared" si="10"/>
        <v>0.32613096458953805</v>
      </c>
      <c r="L18" s="3847">
        <f t="shared" si="11"/>
        <v>9.5181755028595231E-4</v>
      </c>
      <c r="M18" s="3844">
        <f>IF(K18="NA","NA",K18/Table8s2!$G$35*100)</f>
        <v>7.3826679139517607E-5</v>
      </c>
      <c r="N18" s="3845">
        <f>IF(K18="NA","NA",K18/Table8s2!$G$34*100)</f>
        <v>5.8575977911442546E-5</v>
      </c>
      <c r="O18" s="3848">
        <f>SUM(O19:O20)</f>
        <v>33.758145879136329</v>
      </c>
      <c r="P18" s="3847">
        <f>Summary2!E18</f>
        <v>33.758145879136322</v>
      </c>
      <c r="Q18" s="3839">
        <f t="shared" si="12"/>
        <v>-7.1054273576010019E-15</v>
      </c>
      <c r="R18" s="3847">
        <f t="shared" si="13"/>
        <v>-2.1048037955166238E-14</v>
      </c>
      <c r="S18" s="3844">
        <f>IF(Q18="NA","NA",Q18/Table8s2!$G$35*100)</f>
        <v>-1.6084645821318227E-18</v>
      </c>
      <c r="T18" s="3845">
        <f>IF(Q18="NA","NA",Q18/Table8s2!$G$34*100)</f>
        <v>-1.2761969918251282E-18</v>
      </c>
    </row>
    <row r="19" spans="2:20" ht="18" customHeight="1" x14ac:dyDescent="0.2">
      <c r="B19" s="1392" t="s">
        <v>1483</v>
      </c>
      <c r="C19" s="3847">
        <v>1300.9915961012318</v>
      </c>
      <c r="D19" s="3839">
        <f>Summary2!C19</f>
        <v>1300.9915961012321</v>
      </c>
      <c r="E19" s="3839">
        <f t="shared" si="4"/>
        <v>2.2737367544323206E-13</v>
      </c>
      <c r="F19" s="3847">
        <f t="shared" si="5"/>
        <v>1.747695189766159E-14</v>
      </c>
      <c r="G19" s="3844">
        <f>IF(E19="NA","NA",E19/Table8s2!$G$35*100)</f>
        <v>5.1470866628218325E-17</v>
      </c>
      <c r="H19" s="3845">
        <f>IF(E19="NA","NA",E19/Table8s2!$G$34*100)</f>
        <v>4.0838303738404101E-17</v>
      </c>
      <c r="I19" s="3846">
        <v>25855.610318769861</v>
      </c>
      <c r="J19" s="3839">
        <f>Summary2!D19</f>
        <v>25855.610318769857</v>
      </c>
      <c r="K19" s="3839">
        <f t="shared" si="10"/>
        <v>-3.637978807091713E-12</v>
      </c>
      <c r="L19" s="3847">
        <f t="shared" si="11"/>
        <v>-1.4070365240810907E-14</v>
      </c>
      <c r="M19" s="3844">
        <f>IF(K19="NA","NA",K19/Table8s2!$G$35*100)</f>
        <v>-8.235338660514932E-16</v>
      </c>
      <c r="N19" s="3845">
        <f>IF(K19="NA","NA",K19/Table8s2!$G$34*100)</f>
        <v>-6.5341285981446561E-16</v>
      </c>
      <c r="O19" s="3848">
        <v>3.743958013571978E-4</v>
      </c>
      <c r="P19" s="3847">
        <f>Summary2!E19</f>
        <v>3.743958013571978E-4</v>
      </c>
      <c r="Q19" s="3839">
        <f t="shared" si="12"/>
        <v>0</v>
      </c>
      <c r="R19" s="3847">
        <f t="shared" si="13"/>
        <v>0</v>
      </c>
      <c r="S19" s="3844">
        <f>IF(Q19="NA","NA",Q19/Table8s2!$G$35*100)</f>
        <v>0</v>
      </c>
      <c r="T19" s="3845">
        <f>IF(Q19="NA","NA",Q19/Table8s2!$G$34*100)</f>
        <v>0</v>
      </c>
    </row>
    <row r="20" spans="2:20" ht="18" customHeight="1" x14ac:dyDescent="0.2">
      <c r="B20" s="1393" t="s">
        <v>1484</v>
      </c>
      <c r="C20" s="3849">
        <v>6002.7089090622194</v>
      </c>
      <c r="D20" s="3850">
        <f>Summary2!C20</f>
        <v>6002.7089090622194</v>
      </c>
      <c r="E20" s="3850">
        <f t="shared" si="4"/>
        <v>0</v>
      </c>
      <c r="F20" s="3849">
        <f t="shared" si="5"/>
        <v>0</v>
      </c>
      <c r="G20" s="3851">
        <f>IF(E20="NA","NA",E20/Table8s2!$G$35*100)</f>
        <v>0</v>
      </c>
      <c r="H20" s="3852">
        <f>IF(E20="NA","NA",E20/Table8s2!$G$34*100)</f>
        <v>0</v>
      </c>
      <c r="I20" s="3853">
        <v>8408.4106053620017</v>
      </c>
      <c r="J20" s="3850">
        <f>Summary2!D20</f>
        <v>8408.7367363266021</v>
      </c>
      <c r="K20" s="3839">
        <f t="shared" si="10"/>
        <v>0.32613096460045199</v>
      </c>
      <c r="L20" s="3847">
        <f t="shared" si="11"/>
        <v>3.87862795844532E-3</v>
      </c>
      <c r="M20" s="3844">
        <f>IF(K20="NA","NA",K20/Table8s2!$G$35*100)</f>
        <v>7.3826679141988192E-5</v>
      </c>
      <c r="N20" s="3845">
        <f>IF(K20="NA","NA",K20/Table8s2!$G$34*100)</f>
        <v>5.8575977913402776E-5</v>
      </c>
      <c r="O20" s="3854">
        <v>33.75777148333497</v>
      </c>
      <c r="P20" s="3849">
        <f>Summary2!E20</f>
        <v>33.75777148333497</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18286.595737233616</v>
      </c>
      <c r="D22" s="3839">
        <f>Summary2!C22</f>
        <v>18285.307489733619</v>
      </c>
      <c r="E22" s="3861">
        <f t="shared" si="4"/>
        <v>-1.2882474999969418</v>
      </c>
      <c r="F22" s="3861">
        <f t="shared" si="5"/>
        <v>-7.0447639271311799E-3</v>
      </c>
      <c r="G22" s="3862">
        <f>IF(E22="NA","NA",E22/Table8s2!$G$35*100)</f>
        <v>-2.9162221671977619E-4</v>
      </c>
      <c r="H22" s="3863">
        <f>IF(E22="NA","NA",E22/Table8s2!$G$34*100)</f>
        <v>-2.313805351149801E-4</v>
      </c>
      <c r="I22" s="3839">
        <f>SUM(I23:I29)</f>
        <v>92.125139592634639</v>
      </c>
      <c r="J22" s="3839">
        <f>Summary2!D22</f>
        <v>92.125139592634639</v>
      </c>
      <c r="K22" s="3861">
        <f t="shared" ref="K22" si="14">IF(J22="NO",IF(I22="NO","NA",-I22),IF(I22="NO",J22,J22-I22))</f>
        <v>0</v>
      </c>
      <c r="L22" s="3861">
        <f t="shared" ref="L22" si="15">IF(K22="NA","NA",K22/I22*100)</f>
        <v>0</v>
      </c>
      <c r="M22" s="3862">
        <f>IF(K22="NA","NA",K22/Table8s2!$G$35*100)</f>
        <v>0</v>
      </c>
      <c r="N22" s="3863">
        <f>IF(K22="NA","NA",K22/Table8s2!$G$34*100)</f>
        <v>0</v>
      </c>
      <c r="O22" s="3839">
        <f>SUM(O23:O29)</f>
        <v>988.33534113663268</v>
      </c>
      <c r="P22" s="3839">
        <f>Summary2!E22</f>
        <v>988.33534113663256</v>
      </c>
      <c r="Q22" s="3861">
        <f t="shared" ref="Q22" si="16">IF(P22="NO",IF(O22="NO","NA",-O22),IF(O22="NO",P22,P22-O22))</f>
        <v>-1.1368683772161603E-13</v>
      </c>
      <c r="R22" s="3864">
        <f t="shared" ref="R22" si="17">IF(Q22="NA","NA",Q22/O22*100)</f>
        <v>-1.1502860718394502E-14</v>
      </c>
      <c r="S22" s="3865">
        <f>IF(Q22="NA","NA",Q22/Table8s2!$G$35*100)</f>
        <v>-2.5735433314109162E-17</v>
      </c>
      <c r="T22" s="3866">
        <f>IF(Q22="NA","NA",Q22/Table8s2!$G$34*100)</f>
        <v>-2.041915186920205E-17</v>
      </c>
    </row>
    <row r="23" spans="2:20" ht="18" customHeight="1" x14ac:dyDescent="0.2">
      <c r="B23" s="1394" t="s">
        <v>1487</v>
      </c>
      <c r="C23" s="3839">
        <v>4966.195058905646</v>
      </c>
      <c r="D23" s="3839">
        <f>Summary2!C23</f>
        <v>4966.1950589056469</v>
      </c>
      <c r="E23" s="3839">
        <f t="shared" si="4"/>
        <v>9.0949470177292824E-13</v>
      </c>
      <c r="F23" s="3847">
        <f t="shared" si="5"/>
        <v>1.8313712832160585E-14</v>
      </c>
      <c r="G23" s="3844">
        <f>IF(E23="NA","NA",E23/Table8s2!$G$35*100)</f>
        <v>2.058834665128733E-16</v>
      </c>
      <c r="H23" s="3845">
        <f>IF(E23="NA","NA",E23/Table8s2!$G$34*100)</f>
        <v>1.633532149536164E-16</v>
      </c>
      <c r="I23" s="1925"/>
      <c r="J23" s="1925"/>
      <c r="K23" s="1925"/>
      <c r="L23" s="1925"/>
      <c r="M23" s="1925"/>
      <c r="N23" s="1925"/>
      <c r="O23" s="1925"/>
      <c r="P23" s="1925"/>
      <c r="Q23" s="1925"/>
      <c r="R23" s="1925"/>
      <c r="S23" s="1925"/>
      <c r="T23" s="1925"/>
    </row>
    <row r="24" spans="2:20" ht="18" customHeight="1" x14ac:dyDescent="0.2">
      <c r="B24" s="1394" t="s">
        <v>621</v>
      </c>
      <c r="C24" s="3839">
        <v>1114.749928465468</v>
      </c>
      <c r="D24" s="3839">
        <f>Summary2!C24</f>
        <v>1114.7499284654682</v>
      </c>
      <c r="E24" s="3839">
        <f t="shared" si="4"/>
        <v>2.2737367544323206E-13</v>
      </c>
      <c r="F24" s="3847">
        <f t="shared" si="5"/>
        <v>2.0396832476699771E-14</v>
      </c>
      <c r="G24" s="3844">
        <f>IF(E24="NA","NA",E24/Table8s2!$G$35*100)</f>
        <v>5.1470866628218325E-17</v>
      </c>
      <c r="H24" s="3845">
        <f>IF(E24="NA","NA",E24/Table8s2!$G$34*100)</f>
        <v>4.0838303738404101E-17</v>
      </c>
      <c r="I24" s="3846">
        <v>11.413046848</v>
      </c>
      <c r="J24" s="3839">
        <f>Summary2!D24</f>
        <v>11.413046848</v>
      </c>
      <c r="K24" s="3839">
        <f t="shared" ref="K24" si="18">IF(J24="NO",IF(I24="NO","NA",-I24),IF(I24="NO",J24,J24-I24))</f>
        <v>0</v>
      </c>
      <c r="L24" s="3847">
        <f t="shared" ref="L24" si="19">IF(K24="NA","NA",K24/I24*100)</f>
        <v>0</v>
      </c>
      <c r="M24" s="3844">
        <f>IF(K24="NA","NA",K24/Table8s2!$G$35*100)</f>
        <v>0</v>
      </c>
      <c r="N24" s="3845">
        <f>IF(K24="NA","NA",K24/Table8s2!$G$34*100)</f>
        <v>0</v>
      </c>
      <c r="O24" s="3848">
        <v>968.06301521290345</v>
      </c>
      <c r="P24" s="3847">
        <f>Summary2!E24</f>
        <v>968.06301521290345</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11860.438182471729</v>
      </c>
      <c r="D25" s="3839">
        <f>Summary2!C25</f>
        <v>11860.438182471731</v>
      </c>
      <c r="E25" s="3839">
        <f t="shared" si="4"/>
        <v>1.8189894035458565E-12</v>
      </c>
      <c r="F25" s="3847">
        <f t="shared" si="5"/>
        <v>1.5336612151767708E-14</v>
      </c>
      <c r="G25" s="3844">
        <f>IF(E25="NA","NA",E25/Table8s2!$G$35*100)</f>
        <v>4.117669330257466E-16</v>
      </c>
      <c r="H25" s="3845">
        <f>IF(E25="NA","NA",E25/Table8s2!$G$34*100)</f>
        <v>3.2670642990723281E-16</v>
      </c>
      <c r="I25" s="3846">
        <v>80.712092744634646</v>
      </c>
      <c r="J25" s="3839">
        <f>Summary2!D25</f>
        <v>80.712092744634646</v>
      </c>
      <c r="K25" s="3839">
        <f t="shared" ref="K25:K26" si="22">IF(J25="NO",IF(I25="NO","NA",-I25),IF(I25="NO",J25,J25-I25))</f>
        <v>0</v>
      </c>
      <c r="L25" s="3847">
        <f t="shared" ref="L25:L26" si="23">IF(K25="NA","NA",K25/I25*100)</f>
        <v>0</v>
      </c>
      <c r="M25" s="3844">
        <f>IF(K25="NA","NA",K25/Table8s2!$G$35*100)</f>
        <v>0</v>
      </c>
      <c r="N25" s="3845">
        <f>IF(K25="NA","NA",K25/Table8s2!$G$34*100)</f>
        <v>0</v>
      </c>
      <c r="O25" s="3848">
        <v>20.272325923729191</v>
      </c>
      <c r="P25" s="3847">
        <f>Summary2!E25</f>
        <v>20.272325923729191</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257.64949999999999</v>
      </c>
      <c r="D26" s="3839">
        <f>Summary2!C26</f>
        <v>256.36125249999992</v>
      </c>
      <c r="E26" s="3839">
        <f t="shared" si="4"/>
        <v>-1.2882475000000682</v>
      </c>
      <c r="F26" s="3847">
        <f t="shared" si="5"/>
        <v>-0.50000000000002642</v>
      </c>
      <c r="G26" s="3844">
        <f>IF(E26="NA","NA",E26/Table8s2!$G$35*100)</f>
        <v>-2.9162221672048391E-4</v>
      </c>
      <c r="H26" s="3845">
        <f>IF(E26="NA","NA",E26/Table8s2!$G$34*100)</f>
        <v>-2.3138053511554164E-4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87.563067390773512</v>
      </c>
      <c r="D29" s="3855">
        <f>Summary2!C30</f>
        <v>87.563067390773512</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689.81122303868347</v>
      </c>
      <c r="D30" s="3875">
        <f>Summary2!C31</f>
        <v>689.81122303868347</v>
      </c>
      <c r="E30" s="3861">
        <f t="shared" si="4"/>
        <v>0</v>
      </c>
      <c r="F30" s="3876">
        <f t="shared" si="5"/>
        <v>0</v>
      </c>
      <c r="G30" s="3877">
        <f>IF(E30="NA","NA",E30/Table8s2!$G$35*100)</f>
        <v>0</v>
      </c>
      <c r="H30" s="3878">
        <f>IF(E30="NA","NA",E30/Table8s2!$G$34*100)</f>
        <v>0</v>
      </c>
      <c r="I30" s="3874">
        <f>SUM(I31:I40)</f>
        <v>76943.972679917613</v>
      </c>
      <c r="J30" s="3875">
        <f>Summary2!D31</f>
        <v>76943.972679917628</v>
      </c>
      <c r="K30" s="3861">
        <f t="shared" ref="K30" si="28">IF(J30="NO",IF(I30="NO","NA",-I30),IF(I30="NO",J30,J30-I30))</f>
        <v>1.4551915228366852E-11</v>
      </c>
      <c r="L30" s="3876">
        <f t="shared" ref="L30" si="29">IF(K30="NA","NA",K30/I30*100)</f>
        <v>1.8912352353967948E-14</v>
      </c>
      <c r="M30" s="3877">
        <f>IF(K30="NA","NA",K30/Table8s2!$G$35*100)</f>
        <v>3.2941354642059728E-15</v>
      </c>
      <c r="N30" s="3878">
        <f>IF(K30="NA","NA",K30/Table8s2!$G$34*100)</f>
        <v>2.6136514392578625E-15</v>
      </c>
      <c r="O30" s="3874">
        <f>SUM(O31:O40)</f>
        <v>10683.918781992987</v>
      </c>
      <c r="P30" s="3875">
        <f>Summary2!E31</f>
        <v>10683.642729875355</v>
      </c>
      <c r="Q30" s="3861">
        <f t="shared" ref="Q30" si="30">IF(P30="NO",IF(O30="NO","NA",-O30),IF(O30="NO",P30,P30-O30))</f>
        <v>-0.27605211763147963</v>
      </c>
      <c r="R30" s="3880">
        <f t="shared" ref="R30" si="31">IF(Q30="NA","NA",Q30/O30*100)</f>
        <v>-2.5838095858304964E-3</v>
      </c>
      <c r="S30" s="3881">
        <f>IF(Q30="NA","NA",Q30/Table8s2!$G$35*100)</f>
        <v>-6.2490267183962407E-5</v>
      </c>
      <c r="T30" s="3882">
        <f>IF(Q30="NA","NA",Q30/Table8s2!$G$34*100)</f>
        <v>-4.9581378343328297E-5</v>
      </c>
    </row>
    <row r="31" spans="2:20" ht="18" customHeight="1" x14ac:dyDescent="0.2">
      <c r="B31" s="620" t="s">
        <v>1492</v>
      </c>
      <c r="C31" s="3867"/>
      <c r="D31" s="3867"/>
      <c r="E31" s="3868"/>
      <c r="F31" s="3868"/>
      <c r="G31" s="3869"/>
      <c r="H31" s="3870"/>
      <c r="I31" s="3846">
        <v>69372.533398599189</v>
      </c>
      <c r="J31" s="3839">
        <f>Summary2!D32</f>
        <v>69372.533398599204</v>
      </c>
      <c r="K31" s="3883">
        <f t="shared" ref="K31:K33" si="32">IF(J31="NO",IF(I31="NO","NA",-I31),IF(I31="NO",J31,J31-I31))</f>
        <v>1.4551915228366852E-11</v>
      </c>
      <c r="L31" s="3883">
        <f t="shared" ref="L31:L33" si="33">IF(K31="NA","NA",K31/I31*100)</f>
        <v>2.0976479473158022E-14</v>
      </c>
      <c r="M31" s="3884">
        <f>IF(K31="NA","NA",K31/Table8s2!$G$35*100)</f>
        <v>3.2941354642059728E-15</v>
      </c>
      <c r="N31" s="3885">
        <f>IF(K31="NA","NA",K31/Table8s2!$G$34*100)</f>
        <v>2.6136514392578625E-15</v>
      </c>
      <c r="O31" s="3886"/>
      <c r="P31" s="3887"/>
      <c r="Q31" s="3868"/>
      <c r="R31" s="3888"/>
      <c r="S31" s="3889"/>
      <c r="T31" s="3890"/>
    </row>
    <row r="32" spans="2:20" ht="18" customHeight="1" x14ac:dyDescent="0.2">
      <c r="B32" s="620" t="s">
        <v>1493</v>
      </c>
      <c r="C32" s="3891"/>
      <c r="D32" s="3891"/>
      <c r="E32" s="3892"/>
      <c r="F32" s="3892"/>
      <c r="G32" s="3869"/>
      <c r="H32" s="3870"/>
      <c r="I32" s="3846">
        <v>6697.5984783632548</v>
      </c>
      <c r="J32" s="3847">
        <f>Summary2!D33</f>
        <v>6697.598478363253</v>
      </c>
      <c r="K32" s="3893">
        <f t="shared" si="32"/>
        <v>-1.8189894035458565E-12</v>
      </c>
      <c r="L32" s="3893">
        <f t="shared" si="33"/>
        <v>-2.7158830279571753E-14</v>
      </c>
      <c r="M32" s="3884">
        <f>IF(K32="NA","NA",K32/Table8s2!$G$35*100)</f>
        <v>-4.117669330257466E-16</v>
      </c>
      <c r="N32" s="3885">
        <f>IF(K32="NA","NA",K32/Table8s2!$G$34*100)</f>
        <v>-3.2670642990723281E-16</v>
      </c>
      <c r="O32" s="3848">
        <v>215.03603091492323</v>
      </c>
      <c r="P32" s="3847">
        <f>Summary2!E33</f>
        <v>215.03603091492326</v>
      </c>
      <c r="Q32" s="3893">
        <f t="shared" ref="Q32" si="34">IF(P32="NO",IF(O32="NO","NA",-O32),IF(O32="NO",P32,P32-O32))</f>
        <v>2.8421709430404007E-14</v>
      </c>
      <c r="R32" s="3894">
        <f t="shared" ref="R32" si="35">IF(Q32="NA","NA",Q32/O32*100)</f>
        <v>1.3217184724567746E-14</v>
      </c>
      <c r="S32" s="3895">
        <f>IF(Q32="NA","NA",Q32/Table8s2!$G$35*100)</f>
        <v>6.4338583285272906E-18</v>
      </c>
      <c r="T32" s="3896">
        <f>IF(Q32="NA","NA",Q32/Table8s2!$G$34*100)</f>
        <v>5.1047879673005126E-18</v>
      </c>
    </row>
    <row r="33" spans="2:21" ht="18" customHeight="1" x14ac:dyDescent="0.2">
      <c r="B33" s="620" t="s">
        <v>1494</v>
      </c>
      <c r="C33" s="3891"/>
      <c r="D33" s="3891"/>
      <c r="E33" s="3892"/>
      <c r="F33" s="3892"/>
      <c r="G33" s="3897"/>
      <c r="H33" s="3898"/>
      <c r="I33" s="3848">
        <v>576.2438312995539</v>
      </c>
      <c r="J33" s="3847">
        <f>Summary2!D34</f>
        <v>576.2438312995539</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10352.987848662811</v>
      </c>
      <c r="P34" s="3847">
        <f>Summary2!E35</f>
        <v>10352.71179654518</v>
      </c>
      <c r="Q34" s="3893">
        <f t="shared" ref="Q34" si="36">IF(P34="NO",IF(O34="NO","NA",-O34),IF(O34="NO",P34,P34-O34))</f>
        <v>-0.27605211763147963</v>
      </c>
      <c r="R34" s="3894">
        <f t="shared" ref="R34" si="37">IF(Q34="NA","NA",Q34/O34*100)</f>
        <v>-2.6664004794242509E-3</v>
      </c>
      <c r="S34" s="3895">
        <f>IF(Q34="NA","NA",Q34/Table8s2!$G$35*100)</f>
        <v>-6.2490267183962407E-5</v>
      </c>
      <c r="T34" s="3896">
        <f>IF(Q34="NA","NA",Q34/Table8s2!$G$34*100)</f>
        <v>-4.9581378343328297E-5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297.59697165562022</v>
      </c>
      <c r="J36" s="3847">
        <f>Summary2!D37</f>
        <v>297.59697165562022</v>
      </c>
      <c r="K36" s="3893">
        <f t="shared" ref="K36" si="38">IF(J36="NO",IF(I36="NO","NA",-I36),IF(I36="NO",J36,J36-I36))</f>
        <v>0</v>
      </c>
      <c r="L36" s="3893">
        <f t="shared" ref="L36" si="39">IF(K36="NA","NA",K36/I36*100)</f>
        <v>0</v>
      </c>
      <c r="M36" s="3884">
        <f>IF(K36="NA","NA",K36/Table8s2!$G$35*100)</f>
        <v>0</v>
      </c>
      <c r="N36" s="3885">
        <f>IF(K36="NA","NA",K36/Table8s2!$G$34*100)</f>
        <v>0</v>
      </c>
      <c r="O36" s="3848">
        <v>115.89490241525114</v>
      </c>
      <c r="P36" s="3847">
        <f>Summary2!E37</f>
        <v>115.89490241525114</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316.7677447778139</v>
      </c>
      <c r="D37" s="3847">
        <f>Summary2!C38</f>
        <v>316.7677447778139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373.04347826086962</v>
      </c>
      <c r="D38" s="3847">
        <f>Summary2!C39</f>
        <v>373.04347826086962</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94686.954550144859</v>
      </c>
      <c r="D41" s="3839">
        <f>Summary2!C42</f>
        <v>93300.057357073572</v>
      </c>
      <c r="E41" s="3929">
        <f t="shared" ref="E41" si="42">IF(D41="NO",IF(C41="NO","NA",-C41),IF(C41="NO",D41,D41-C41))</f>
        <v>-1386.8971930712869</v>
      </c>
      <c r="F41" s="3929">
        <f t="shared" ref="F41" si="43">IF(E41="NA","NA",E41/C41*100)</f>
        <v>-1.464718344422838</v>
      </c>
      <c r="G41" s="3869"/>
      <c r="H41" s="3929">
        <f>IF(E41="NA","NA",E41/Table8s2!$G$34*100)</f>
        <v>-0.24909888409103068</v>
      </c>
      <c r="I41" s="3846">
        <f>SUM(I42:I49)</f>
        <v>20530.73567047196</v>
      </c>
      <c r="J41" s="3839">
        <f>Summary2!D42</f>
        <v>17986.062857773381</v>
      </c>
      <c r="K41" s="3929">
        <f t="shared" ref="K41:K46" si="44">IF(J41="NO",IF(I41="NO","NA",-I41),IF(I41="NO",J41,J41-I41))</f>
        <v>-2544.6728126985799</v>
      </c>
      <c r="L41" s="3929">
        <f t="shared" ref="L41:L46" si="45">IF(K41="NA","NA",K41/I41*100)</f>
        <v>-12.394455091828101</v>
      </c>
      <c r="M41" s="3889"/>
      <c r="N41" s="3930">
        <f>IF(K41="NA","NA",K41/Table8s2!$G$34*100)</f>
        <v>-0.45704552665239923</v>
      </c>
      <c r="O41" s="3846">
        <f>SUM(O42:O49)</f>
        <v>3732.5175122191495</v>
      </c>
      <c r="P41" s="3839">
        <f>Summary2!E42</f>
        <v>3727.4187079492681</v>
      </c>
      <c r="Q41" s="3929">
        <f t="shared" ref="Q41" si="46">IF(P41="NO",IF(O41="NO","NA",-O41),IF(O41="NO",P41,P41-O41))</f>
        <v>-5.0988042698813842</v>
      </c>
      <c r="R41" s="3929">
        <f t="shared" ref="R41" si="47">IF(Q41="NA","NA",Q41/O41*100)</f>
        <v>-0.13660496576879866</v>
      </c>
      <c r="S41" s="3889"/>
      <c r="T41" s="3930">
        <f>IF(Q41="NA","NA",Q41/Table8s2!$G$34*100)</f>
        <v>-9.1578990870504369E-4</v>
      </c>
      <c r="U41" s="713"/>
    </row>
    <row r="42" spans="2:21" ht="18" customHeight="1" x14ac:dyDescent="0.2">
      <c r="B42" s="620" t="s">
        <v>981</v>
      </c>
      <c r="C42" s="3847">
        <v>-15694.875856813391</v>
      </c>
      <c r="D42" s="3847">
        <f>Summary2!C43</f>
        <v>-16278.679950053735</v>
      </c>
      <c r="E42" s="3931">
        <f t="shared" ref="E42:E50" si="48">IF(D42="NO",IF(C42="NO","NA",-C42),IF(C42="NO",D42,D42-C42))</f>
        <v>-583.80409324034372</v>
      </c>
      <c r="F42" s="3931">
        <f t="shared" ref="F42:F50" si="49">IF(E42="NA","NA",E42/C42*100)</f>
        <v>3.7197114431899458</v>
      </c>
      <c r="G42" s="3889"/>
      <c r="H42" s="3931">
        <f>IF(E42="NA","NA",E42/Table8s2!$G$34*100)</f>
        <v>-0.10485632884720299</v>
      </c>
      <c r="I42" s="3848">
        <v>7081.6884972342204</v>
      </c>
      <c r="J42" s="3847">
        <f>Summary2!D43</f>
        <v>7014.9065211676143</v>
      </c>
      <c r="K42" s="3931">
        <f t="shared" si="44"/>
        <v>-66.781976066606148</v>
      </c>
      <c r="L42" s="3931">
        <f t="shared" si="45"/>
        <v>-0.94302334948350375</v>
      </c>
      <c r="M42" s="3889"/>
      <c r="N42" s="3932">
        <f>IF(K42="NA","NA",K42/Table8s2!$G$34*100)</f>
        <v>-1.1994627863328907E-2</v>
      </c>
      <c r="O42" s="3848">
        <v>1326.5622934687656</v>
      </c>
      <c r="P42" s="3847">
        <f>Summary2!E43</f>
        <v>1317.9307276533962</v>
      </c>
      <c r="Q42" s="3931">
        <f t="shared" ref="Q42:Q46" si="50">IF(P42="NO",IF(O42="NO","NA",-O42),IF(O42="NO",P42,P42-O42))</f>
        <v>-8.631565815369413</v>
      </c>
      <c r="R42" s="3931">
        <f t="shared" ref="R42:R46" si="51">IF(Q42="NA","NA",Q42/O42*100)</f>
        <v>-0.65067172931616624</v>
      </c>
      <c r="S42" s="3889"/>
      <c r="T42" s="3932">
        <f>IF(Q42="NA","NA",Q42/Table8s2!$G$34*100)</f>
        <v>-1.5503048267084434E-3</v>
      </c>
      <c r="U42" s="713"/>
    </row>
    <row r="43" spans="2:21" ht="18" customHeight="1" x14ac:dyDescent="0.2">
      <c r="B43" s="620" t="s">
        <v>984</v>
      </c>
      <c r="C43" s="3847">
        <v>26919.843407677545</v>
      </c>
      <c r="D43" s="3847">
        <f>Summary2!C44</f>
        <v>26788.73302578416</v>
      </c>
      <c r="E43" s="3931">
        <f t="shared" si="48"/>
        <v>-131.11038189338433</v>
      </c>
      <c r="F43" s="3931">
        <f t="shared" si="49"/>
        <v>-0.48703991292903148</v>
      </c>
      <c r="G43" s="3889"/>
      <c r="H43" s="3931">
        <f>IF(E43="NA","NA",E43/Table8s2!$G$34*100)</f>
        <v>-2.3548573020085565E-2</v>
      </c>
      <c r="I43" s="3848">
        <v>284.49954701526985</v>
      </c>
      <c r="J43" s="3847">
        <f>Summary2!D44</f>
        <v>285.06623040000005</v>
      </c>
      <c r="K43" s="3931">
        <f t="shared" si="44"/>
        <v>0.5666833847301973</v>
      </c>
      <c r="L43" s="3931">
        <f t="shared" si="45"/>
        <v>0.19918604112919092</v>
      </c>
      <c r="M43" s="3889"/>
      <c r="N43" s="3932">
        <f>IF(K43="NA","NA",K43/Table8s2!$G$34*100)</f>
        <v>1.0178129963376793E-4</v>
      </c>
      <c r="O43" s="3848">
        <v>92.115686741137154</v>
      </c>
      <c r="P43" s="3847">
        <f>Summary2!E44</f>
        <v>92.031639236912781</v>
      </c>
      <c r="Q43" s="3931">
        <f t="shared" si="50"/>
        <v>-8.404750422437246E-2</v>
      </c>
      <c r="R43" s="3931">
        <f t="shared" si="51"/>
        <v>-9.1241250212422728E-2</v>
      </c>
      <c r="S43" s="3889"/>
      <c r="T43" s="3932">
        <f>IF(Q43="NA","NA",Q43/Table8s2!$G$34*100)</f>
        <v>-1.5095667953991772E-5</v>
      </c>
      <c r="U43" s="713"/>
    </row>
    <row r="44" spans="2:21" ht="18" customHeight="1" x14ac:dyDescent="0.2">
      <c r="B44" s="620" t="s">
        <v>987</v>
      </c>
      <c r="C44" s="3847">
        <v>81507.893640884504</v>
      </c>
      <c r="D44" s="3847">
        <f>Summary2!C45</f>
        <v>81142.990304352454</v>
      </c>
      <c r="E44" s="3931">
        <f t="shared" si="48"/>
        <v>-364.90333653205016</v>
      </c>
      <c r="F44" s="3931">
        <f t="shared" si="49"/>
        <v>-0.44769079439075826</v>
      </c>
      <c r="G44" s="3889"/>
      <c r="H44" s="3931">
        <f>IF(E44="NA","NA",E44/Table8s2!$G$34*100)</f>
        <v>-6.5539835530228366E-2</v>
      </c>
      <c r="I44" s="3848">
        <v>8132.8123030595589</v>
      </c>
      <c r="J44" s="3847">
        <f>Summary2!D45</f>
        <v>8142.2072029664168</v>
      </c>
      <c r="K44" s="3931">
        <f t="shared" si="44"/>
        <v>9.3948999068579724</v>
      </c>
      <c r="L44" s="3931">
        <f t="shared" si="45"/>
        <v>0.11551846466841018</v>
      </c>
      <c r="M44" s="3889"/>
      <c r="N44" s="3932">
        <f>IF(K44="NA","NA",K44/Table8s2!$G$34*100)</f>
        <v>1.6874063157938479E-3</v>
      </c>
      <c r="O44" s="3848">
        <v>2213.2602504200727</v>
      </c>
      <c r="P44" s="3847">
        <f>Summary2!E45</f>
        <v>2216.6651942945314</v>
      </c>
      <c r="Q44" s="3931">
        <f t="shared" si="50"/>
        <v>3.4049438744586951</v>
      </c>
      <c r="R44" s="3931">
        <f t="shared" si="51"/>
        <v>0.15384290545192067</v>
      </c>
      <c r="S44" s="3889"/>
      <c r="T44" s="3932">
        <f>IF(Q44="NA","NA",Q44/Table8s2!$G$34*100)</f>
        <v>6.1155774469626124E-4</v>
      </c>
      <c r="U44" s="713"/>
    </row>
    <row r="45" spans="2:21" ht="18" customHeight="1" x14ac:dyDescent="0.2">
      <c r="B45" s="620" t="s">
        <v>1525</v>
      </c>
      <c r="C45" s="3847">
        <v>2183.365032849571</v>
      </c>
      <c r="D45" s="3847">
        <f>Summary2!C46</f>
        <v>1945.4130819571167</v>
      </c>
      <c r="E45" s="3931">
        <f t="shared" si="48"/>
        <v>-237.95195089245431</v>
      </c>
      <c r="F45" s="3931">
        <f t="shared" si="49"/>
        <v>-10.89840440386171</v>
      </c>
      <c r="G45" s="3889"/>
      <c r="H45" s="3931">
        <f>IF(E45="NA","NA",E45/Table8s2!$G$34*100)</f>
        <v>-4.2738254667119675E-2</v>
      </c>
      <c r="I45" s="3848">
        <v>4897.8044340344704</v>
      </c>
      <c r="J45" s="3847">
        <f>Summary2!D46</f>
        <v>2409.3159112393455</v>
      </c>
      <c r="K45" s="3931">
        <f t="shared" si="44"/>
        <v>-2488.4885227951249</v>
      </c>
      <c r="L45" s="3931">
        <f t="shared" si="45"/>
        <v>-50.808245945934615</v>
      </c>
      <c r="M45" s="3889"/>
      <c r="N45" s="3932">
        <f>IF(K45="NA","NA",K45/Table8s2!$G$34*100)</f>
        <v>-0.44695433605203133</v>
      </c>
      <c r="O45" s="3848">
        <v>61.312121288270689</v>
      </c>
      <c r="P45" s="3847">
        <f>Summary2!E46</f>
        <v>61.38438961045356</v>
      </c>
      <c r="Q45" s="3931">
        <f t="shared" si="50"/>
        <v>7.2268322182871714E-2</v>
      </c>
      <c r="R45" s="3931">
        <f t="shared" si="51"/>
        <v>0.11786955118236467</v>
      </c>
      <c r="S45" s="3889"/>
      <c r="T45" s="3932">
        <f>IF(Q45="NA","NA",Q45/Table8s2!$G$34*100)</f>
        <v>1.2980023682230581E-5</v>
      </c>
      <c r="U45" s="713"/>
    </row>
    <row r="46" spans="2:21" ht="18" customHeight="1" x14ac:dyDescent="0.2">
      <c r="B46" s="620" t="s">
        <v>1526</v>
      </c>
      <c r="C46" s="3847">
        <v>6474.7193503879207</v>
      </c>
      <c r="D46" s="3847">
        <f>Summary2!C47</f>
        <v>6400.8493995465396</v>
      </c>
      <c r="E46" s="3931">
        <f t="shared" si="48"/>
        <v>-73.869950841381069</v>
      </c>
      <c r="F46" s="3931">
        <f t="shared" si="49"/>
        <v>-1.1408981122394948</v>
      </c>
      <c r="G46" s="3889"/>
      <c r="H46" s="3931">
        <f>IF(E46="NA","NA",E46/Table8s2!$G$34*100)</f>
        <v>-1.3267690218406479E-2</v>
      </c>
      <c r="I46" s="3848">
        <v>133.93088912844078</v>
      </c>
      <c r="J46" s="3847">
        <f>Summary2!D47</f>
        <v>134.56699199999997</v>
      </c>
      <c r="K46" s="3931">
        <f t="shared" si="44"/>
        <v>0.63610287155918854</v>
      </c>
      <c r="L46" s="3931">
        <f t="shared" si="45"/>
        <v>0.47494859154497276</v>
      </c>
      <c r="M46" s="3889"/>
      <c r="N46" s="3932">
        <f>IF(K46="NA","NA",K46/Table8s2!$G$34*100)</f>
        <v>1.1424964753270618E-4</v>
      </c>
      <c r="O46" s="3848">
        <v>31.814296515189159</v>
      </c>
      <c r="P46" s="3847">
        <f>Summary2!E47</f>
        <v>31.953893368259251</v>
      </c>
      <c r="Q46" s="3931">
        <f t="shared" si="50"/>
        <v>0.13959685307009195</v>
      </c>
      <c r="R46" s="3931">
        <f t="shared" si="51"/>
        <v>0.43878654680748308</v>
      </c>
      <c r="S46" s="3889"/>
      <c r="T46" s="3932">
        <f>IF(Q46="NA","NA",Q46/Table8s2!$G$34*100)</f>
        <v>2.5072817578766352E-5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-6703.9910248412871</v>
      </c>
      <c r="D48" s="3847">
        <f>Summary2!C49</f>
        <v>-6699.2485045129597</v>
      </c>
      <c r="E48" s="3931">
        <f t="shared" si="48"/>
        <v>4.7425203283273731</v>
      </c>
      <c r="F48" s="3931">
        <f t="shared" si="49"/>
        <v>-7.0741746382926421E-2</v>
      </c>
      <c r="G48" s="3889"/>
      <c r="H48" s="3931">
        <f>IF(E48="NA","NA",E48/Table8s2!$G$34*100)</f>
        <v>8.517981920125316E-4</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7.4528637857142863</v>
      </c>
      <c r="P49" s="3855">
        <f>Summary2!E50</f>
        <v>7.4528637857142863</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74.127612218528455</v>
      </c>
      <c r="D50" s="3839">
        <f>Summary2!C51</f>
        <v>74.127612218528441</v>
      </c>
      <c r="E50" s="3839">
        <f t="shared" si="48"/>
        <v>-1.4210854715202004E-14</v>
      </c>
      <c r="F50" s="3839">
        <f t="shared" si="49"/>
        <v>-1.9170797884745503E-14</v>
      </c>
      <c r="G50" s="3844">
        <f>IF(E50="NA","NA",E50/Table8s2!$G$35*100)</f>
        <v>-3.2169291642636453E-18</v>
      </c>
      <c r="H50" s="3845">
        <f>IF(E50="NA","NA",E50/Table8s2!$G$34*100)</f>
        <v>-2.5523939836502563E-18</v>
      </c>
      <c r="I50" s="3839">
        <f>SUM(I51:I55)</f>
        <v>22880.607239155692</v>
      </c>
      <c r="J50" s="3839">
        <f>Summary2!D51</f>
        <v>22880.184630750464</v>
      </c>
      <c r="K50" s="3839">
        <f t="shared" ref="K50" si="54">IF(J50="NO",IF(I50="NO","NA",-I50),IF(I50="NO",J50,J50-I50))</f>
        <v>-0.42260840522794751</v>
      </c>
      <c r="L50" s="3839">
        <f t="shared" ref="L50" si="55">IF(K50="NA","NA",K50/I50*100)</f>
        <v>-1.8470156880484173E-3</v>
      </c>
      <c r="M50" s="3844">
        <f>IF(K50="NA","NA",K50/Table8s2!$G$35*100)</f>
        <v>-9.5666399459169208E-5</v>
      </c>
      <c r="N50" s="3845">
        <f>IF(K50="NA","NA",K50/Table8s2!$G$34*100)</f>
        <v>-7.5904171322640235E-5</v>
      </c>
      <c r="O50" s="3839">
        <f>SUM(O51:O55)</f>
        <v>293.60128151254764</v>
      </c>
      <c r="P50" s="3839">
        <f>Summary2!E51</f>
        <v>170.04264166555382</v>
      </c>
      <c r="Q50" s="3839">
        <f t="shared" si="52"/>
        <v>-123.55863984699383</v>
      </c>
      <c r="R50" s="3839">
        <f t="shared" si="53"/>
        <v>-42.083821708970746</v>
      </c>
      <c r="S50" s="3844">
        <f>IF(Q50="NA","NA",Q50/Table8s2!$G$35*100)</f>
        <v>-2.7970125652986982E-2</v>
      </c>
      <c r="T50" s="3845">
        <f>IF(Q50="NA","NA",Q50/Table8s2!$G$34*100)</f>
        <v>-2.2192214000760258E-2</v>
      </c>
    </row>
    <row r="51" spans="2:21" ht="18" customHeight="1" x14ac:dyDescent="0.2">
      <c r="B51" s="620" t="s">
        <v>1530</v>
      </c>
      <c r="C51" s="3918"/>
      <c r="D51" s="3918"/>
      <c r="E51" s="3888"/>
      <c r="F51" s="3903"/>
      <c r="G51" s="3904"/>
      <c r="H51" s="3905"/>
      <c r="I51" s="3839">
        <v>16878.216187205227</v>
      </c>
      <c r="J51" s="3839">
        <f>Summary2!D52</f>
        <v>16877.7935788</v>
      </c>
      <c r="K51" s="3839">
        <f t="shared" ref="K51:K52" si="56">IF(J51="NO",IF(I51="NO","NA",-I51),IF(I51="NO",J51,J51-I51))</f>
        <v>-0.42260840522794751</v>
      </c>
      <c r="L51" s="3839">
        <f t="shared" ref="L51:L52" si="57">IF(K51="NA","NA",K51/I51*100)</f>
        <v>-2.503868895507523E-3</v>
      </c>
      <c r="M51" s="3844">
        <f>IF(K51="NA","NA",K51/Table8s2!$G$35*100)</f>
        <v>-9.5666399459169208E-5</v>
      </c>
      <c r="N51" s="3845">
        <f>IF(K51="NA","NA",K51/Table8s2!$G$34*100)</f>
        <v>-7.5904171322640235E-5</v>
      </c>
      <c r="O51" s="3886"/>
      <c r="P51" s="3887"/>
      <c r="Q51" s="3940"/>
      <c r="R51" s="3941"/>
      <c r="S51" s="3942"/>
      <c r="T51" s="3943"/>
    </row>
    <row r="52" spans="2:21" ht="18" customHeight="1" x14ac:dyDescent="0.2">
      <c r="B52" s="1396" t="s">
        <v>1531</v>
      </c>
      <c r="C52" s="3918"/>
      <c r="D52" s="3918"/>
      <c r="E52" s="3888"/>
      <c r="F52" s="3903"/>
      <c r="G52" s="3904"/>
      <c r="H52" s="3905"/>
      <c r="I52" s="3849">
        <v>17.246209715223785</v>
      </c>
      <c r="J52" s="3847">
        <f>Summary2!D53</f>
        <v>17.246209715223785</v>
      </c>
      <c r="K52" s="3839">
        <f t="shared" si="56"/>
        <v>0</v>
      </c>
      <c r="L52" s="3839">
        <f t="shared" si="57"/>
        <v>0</v>
      </c>
      <c r="M52" s="3844">
        <f>IF(K52="NA","NA",K52/Table8s2!$G$35*100)</f>
        <v>0</v>
      </c>
      <c r="N52" s="3845">
        <f>IF(K52="NA","NA",K52/Table8s2!$G$34*100)</f>
        <v>0</v>
      </c>
      <c r="O52" s="3839">
        <v>20.892551197871096</v>
      </c>
      <c r="P52" s="3839">
        <f>Summary2!E53</f>
        <v>20.892551197871096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74.127612218528455</v>
      </c>
      <c r="D53" s="3839">
        <f>Summary2!C54</f>
        <v>74.127612218528441</v>
      </c>
      <c r="E53" s="3839">
        <f t="shared" ref="E53" si="60">IF(D53="NO",IF(C53="NO","NA",-C53),IF(C53="NO",D53,D53-C53))</f>
        <v>-1.4210854715202004E-14</v>
      </c>
      <c r="F53" s="3839">
        <f t="shared" ref="F53" si="61">IF(E53="NA","NA",E53/C53*100)</f>
        <v>-1.9170797884745503E-14</v>
      </c>
      <c r="G53" s="3844">
        <f>IF(E53="NA","NA",E53/Table8s2!$G$35*100)</f>
        <v>-3.2169291642636453E-18</v>
      </c>
      <c r="H53" s="3845">
        <f>IF(E53="NA","NA",E53/Table8s2!$G$34*100)</f>
        <v>-2.5523939836502563E-18</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
      <c r="B54" s="620" t="s">
        <v>1533</v>
      </c>
      <c r="C54" s="3945"/>
      <c r="D54" s="3946"/>
      <c r="E54" s="3947"/>
      <c r="F54" s="3946"/>
      <c r="G54" s="3948"/>
      <c r="H54" s="3949"/>
      <c r="I54" s="3847">
        <v>5982.5500486352403</v>
      </c>
      <c r="J54" s="3847">
        <f>Summary2!D55</f>
        <v>5982.5500486352385</v>
      </c>
      <c r="K54" s="3839">
        <f t="shared" ref="K54" si="62">IF(J54="NO",IF(I54="NO","NA",-I54),IF(I54="NO",J54,J54-I54))</f>
        <v>-1.8189894035458565E-12</v>
      </c>
      <c r="L54" s="3839">
        <f t="shared" ref="L54" si="63">IF(K54="NA","NA",K54/I54*100)</f>
        <v>-3.0404917447549153E-14</v>
      </c>
      <c r="M54" s="3844">
        <f>IF(K54="NA","NA",K54/Table8s2!$G$35*100)</f>
        <v>-4.117669330257466E-16</v>
      </c>
      <c r="N54" s="3845">
        <f>IF(K54="NA","NA",K54/Table8s2!$G$34*100)</f>
        <v>-3.2670642990723281E-16</v>
      </c>
      <c r="O54" s="3839">
        <v>262.64403031467657</v>
      </c>
      <c r="P54" s="3839">
        <f>Summary2!E55</f>
        <v>139.08539046768274</v>
      </c>
      <c r="Q54" s="3839">
        <f t="shared" ref="Q54" si="64">IF(P54="NO",IF(O54="NO","NA",-O54),IF(O54="NO",P54,P54-O54))</f>
        <v>-123.55863984699383</v>
      </c>
      <c r="R54" s="3839">
        <f t="shared" ref="R54" si="65">IF(Q54="NA","NA",Q54/O54*100)</f>
        <v>-47.044145529961952</v>
      </c>
      <c r="S54" s="3844">
        <f>IF(Q54="NA","NA",Q54/Table8s2!$G$35*100)</f>
        <v>-2.7970125652986982E-2</v>
      </c>
      <c r="T54" s="3845">
        <f>IF(Q54="NA","NA",Q54/Table8s2!$G$34*100)</f>
        <v>-2.2192214000760258E-2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6645.5709999999999</v>
      </c>
      <c r="D59" s="3847">
        <f>Summary2!C60</f>
        <v>6645.570999999999</v>
      </c>
      <c r="E59" s="3861">
        <f t="shared" ref="E59" si="66">IF(D59="NO",IF(C59="NO","NA",-C59),IF(C59="NO",D59,D59-C59))</f>
        <v>-9.0949470177292824E-13</v>
      </c>
      <c r="F59" s="3861">
        <f t="shared" ref="F59" si="67">IF(E59="NA","NA",E59/C59*100)</f>
        <v>-1.3685726956689325E-14</v>
      </c>
      <c r="G59" s="3862">
        <f>IF(E59="NA","NA",E59/Table8s2!$G$35*100)</f>
        <v>-2.058834665128733E-16</v>
      </c>
      <c r="H59" s="3863">
        <f>IF(E59="NA","NA",E59/Table8s2!$G$34*100)</f>
        <v>-1.633532149536164E-16</v>
      </c>
      <c r="I59" s="3847">
        <v>5.0994055933332403</v>
      </c>
      <c r="J59" s="3847">
        <f>Summary2!D60</f>
        <v>5.0994055933333344</v>
      </c>
      <c r="K59" s="3861">
        <f t="shared" ref="K59:K61" si="68">IF(J59="NO",IF(I59="NO","NA",-I59),IF(I59="NO",J59,J59-I59))</f>
        <v>9.4146912488213275E-14</v>
      </c>
      <c r="L59" s="3861">
        <f t="shared" ref="L59:L61" si="69">IF(K59="NA","NA",K59/I59*100)</f>
        <v>1.8462330709935528E-12</v>
      </c>
      <c r="M59" s="3862">
        <f>IF(K59="NA","NA",K59/Table8s2!$G$35*100)</f>
        <v>2.1312155713246648E-17</v>
      </c>
      <c r="N59" s="3863">
        <f>IF(K59="NA","NA",K59/Table8s2!$G$34*100)</f>
        <v>1.6909610141682949E-17</v>
      </c>
      <c r="O59" s="3848">
        <v>19.828333702470598</v>
      </c>
      <c r="P59" s="3847">
        <f>Summary2!E60</f>
        <v>19.828333702469301</v>
      </c>
      <c r="Q59" s="3861">
        <f t="shared" ref="Q59" si="70">IF(P59="NO",IF(O59="NO","NA",-O59),IF(O59="NO",P59,P59-O59))</f>
        <v>-1.2967404927621828E-12</v>
      </c>
      <c r="R59" s="3966">
        <f t="shared" ref="R59" si="71">IF(Q59="NA","NA",Q59/O59*100)</f>
        <v>-6.5398359348804468E-12</v>
      </c>
      <c r="S59" s="3967">
        <f>IF(Q59="NA","NA",Q59/Table8s2!$G$35*100)</f>
        <v>-2.9354478623905762E-16</v>
      </c>
      <c r="T59" s="3968">
        <f>IF(Q59="NA","NA",Q59/Table8s2!$G$34*100)</f>
        <v>-2.329059510080859E-16</v>
      </c>
    </row>
    <row r="60" spans="2:21" ht="18" customHeight="1" x14ac:dyDescent="0.2">
      <c r="B60" s="1410" t="s">
        <v>111</v>
      </c>
      <c r="C60" s="3847">
        <v>4837.2</v>
      </c>
      <c r="D60" s="3847">
        <f>Summary2!C61</f>
        <v>4837.1999999999989</v>
      </c>
      <c r="E60" s="3861">
        <f t="shared" ref="E60:E61" si="72">IF(D60="NO",IF(C60="NO","NA",-C60),IF(C60="NO",D60,D60-C60))</f>
        <v>-9.0949470177292824E-13</v>
      </c>
      <c r="F60" s="3861">
        <f t="shared" ref="F60:F61" si="73">IF(E60="NA","NA",E60/C60*100)</f>
        <v>-1.8802090088748207E-14</v>
      </c>
      <c r="G60" s="3862">
        <f>IF(E60="NA","NA",E60/Table8s2!$G$35*100)</f>
        <v>-2.058834665128733E-16</v>
      </c>
      <c r="H60" s="3863">
        <f>IF(E60="NA","NA",E60/Table8s2!$G$34*100)</f>
        <v>-1.633532149536164E-16</v>
      </c>
      <c r="I60" s="3847">
        <v>0.23860559333324002</v>
      </c>
      <c r="J60" s="3847">
        <f>Summary2!D61</f>
        <v>0.23860559333333331</v>
      </c>
      <c r="K60" s="3861">
        <f t="shared" si="68"/>
        <v>9.3286489644128778E-14</v>
      </c>
      <c r="L60" s="3861">
        <f t="shared" si="69"/>
        <v>3.9096522567198801E-11</v>
      </c>
      <c r="M60" s="3862">
        <f>IF(K60="NA","NA",K60/Table8s2!$G$35*100)</f>
        <v>2.1117380705254125E-17</v>
      </c>
      <c r="N60" s="3863">
        <f>IF(K60="NA","NA",K60/Table8s2!$G$34*100)</f>
        <v>1.6755070662204123E-17</v>
      </c>
      <c r="O60" s="3848">
        <v>6.6843337024705995</v>
      </c>
      <c r="P60" s="3847">
        <f>Summary2!E61</f>
        <v>6.6843337024692984</v>
      </c>
      <c r="Q60" s="3861">
        <f t="shared" ref="Q60:Q61" si="74">IF(P60="NO",IF(O60="NO","NA",-O60),IF(O60="NO",P60,P60-O60))</f>
        <v>-1.3011813848606835E-12</v>
      </c>
      <c r="R60" s="3966">
        <f t="shared" ref="R60:R61" si="75">IF(Q60="NA","NA",Q60/O60*100)</f>
        <v>-1.9466134438796095E-11</v>
      </c>
      <c r="S60" s="3967">
        <f>IF(Q60="NA","NA",Q60/Table8s2!$G$35*100)</f>
        <v>-2.9455007660288998E-16</v>
      </c>
      <c r="T60" s="3968">
        <f>IF(Q60="NA","NA",Q60/Table8s2!$G$34*100)</f>
        <v>-2.3370357412797657E-16</v>
      </c>
    </row>
    <row r="61" spans="2:21" ht="18" customHeight="1" x14ac:dyDescent="0.2">
      <c r="B61" s="1411" t="s">
        <v>1503</v>
      </c>
      <c r="C61" s="3847">
        <v>1808.3710000000001</v>
      </c>
      <c r="D61" s="3847">
        <f>Summary2!C62</f>
        <v>1808.3709999999999</v>
      </c>
      <c r="E61" s="3861">
        <f t="shared" si="72"/>
        <v>-2.2737367544323206E-13</v>
      </c>
      <c r="F61" s="3861">
        <f t="shared" si="73"/>
        <v>-1.257339757401728E-14</v>
      </c>
      <c r="G61" s="3862">
        <f>IF(E61="NA","NA",E61/Table8s2!$G$35*100)</f>
        <v>-5.1470866628218325E-17</v>
      </c>
      <c r="H61" s="3863">
        <f>IF(E61="NA","NA",E61/Table8s2!$G$34*100)</f>
        <v>-4.0838303738404101E-17</v>
      </c>
      <c r="I61" s="3847">
        <v>4.8608000000000002</v>
      </c>
      <c r="J61" s="3847">
        <f>Summary2!D62</f>
        <v>4.8608000000000011</v>
      </c>
      <c r="K61" s="3861">
        <f t="shared" si="68"/>
        <v>8.8817841970012523E-16</v>
      </c>
      <c r="L61" s="3861">
        <f t="shared" si="69"/>
        <v>1.8272268344719495E-14</v>
      </c>
      <c r="M61" s="3862">
        <f>IF(K61="NA","NA",K61/Table8s2!$G$35*100)</f>
        <v>2.0105807276647783E-19</v>
      </c>
      <c r="N61" s="3863">
        <f>IF(K61="NA","NA",K61/Table8s2!$G$34*100)</f>
        <v>1.5952462397814102E-19</v>
      </c>
      <c r="O61" s="3848">
        <v>13.144</v>
      </c>
      <c r="P61" s="3847">
        <f>Summary2!E62</f>
        <v>13.144000000000002</v>
      </c>
      <c r="Q61" s="3861">
        <f t="shared" si="74"/>
        <v>1.7763568394002505E-15</v>
      </c>
      <c r="R61" s="3966">
        <f t="shared" si="75"/>
        <v>1.3514583379490644E-14</v>
      </c>
      <c r="S61" s="3967">
        <f>IF(Q61="NA","NA",Q61/Table8s2!$G$35*100)</f>
        <v>4.0211614553295566E-19</v>
      </c>
      <c r="T61" s="3968">
        <f>IF(Q61="NA","NA",Q61/Table8s2!$G$34*100)</f>
        <v>3.1904924795628204E-19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13705.034500000003</v>
      </c>
      <c r="D63" s="3847">
        <f>Summary2!C64</f>
        <v>13705.0345</v>
      </c>
      <c r="E63" s="3861">
        <f t="shared" ref="E63:E65" si="76">IF(D63="NO",IF(C63="NO","NA",-C63),IF(C63="NO",D63,D63-C63))</f>
        <v>-3.637978807091713E-12</v>
      </c>
      <c r="F63" s="3861">
        <f t="shared" ref="F63:F65" si="77">IF(E63="NA","NA",E63/C63*100)</f>
        <v>-2.6544835090285339E-14</v>
      </c>
      <c r="G63" s="3862">
        <f>IF(E63="NA","NA",E63/Table8s2!$G$35*100)</f>
        <v>-8.235338660514932E-16</v>
      </c>
      <c r="H63" s="3863">
        <f>IF(E63="NA","NA",E63/Table8s2!$G$34*100)</f>
        <v>-6.5341285981446561E-16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-195301.88827623744</v>
      </c>
      <c r="D65" s="3849">
        <f>Summary2!C66</f>
        <v>-195297.11549069456</v>
      </c>
      <c r="E65" s="3977">
        <f t="shared" si="76"/>
        <v>4.7727855428820476</v>
      </c>
      <c r="F65" s="3984">
        <f t="shared" si="77"/>
        <v>-2.4437989745042096E-3</v>
      </c>
      <c r="G65" s="3985">
        <f>IF(E65="NA","NA",E65/Table8s2!$G$35*100)</f>
        <v>1.0804215028142243E-3</v>
      </c>
      <c r="H65" s="3986">
        <f>IF(E65="NA","NA",E65/Table8s2!$G$34*100)</f>
        <v>8.5723408964792137E-4</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1116.992</v>
      </c>
      <c r="D10" s="4019">
        <f>IF(SUM(D11:D30)=0,"NO",SUM(D11:D30))</f>
        <v>1116.992</v>
      </c>
      <c r="E10" s="4019">
        <f>IF(D10="NO",IF(C10="NO","NA",-C10),IF(C10="NO",D10,D10-C10))</f>
        <v>0</v>
      </c>
      <c r="F10" s="4019">
        <f>IF(E10="NA","NA",E10/C10*100)</f>
        <v>0</v>
      </c>
      <c r="G10" s="4020">
        <f>IF(E10="NA","NA",E10/$G$35*100)</f>
        <v>0</v>
      </c>
      <c r="H10" s="4021">
        <f>IF(E10="NA","NA",E10/$G$34*100)</f>
        <v>0</v>
      </c>
      <c r="I10" s="4022">
        <f>IF(SUM(I11:I30)=0,"NO",SUM(I11:I30))</f>
        <v>4140.1764526673724</v>
      </c>
      <c r="J10" s="4022">
        <f>IF(SUM(J11:J30)=0,"NO",SUM(J11:J30))</f>
        <v>4140.1764526673724</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266.03666522364358</v>
      </c>
      <c r="V10" s="4019">
        <f>IF(SUM(V11:V30)=0,"NO",SUM(V11:V30))</f>
        <v>266.03666522364364</v>
      </c>
      <c r="W10" s="4019">
        <f>IF(V10="NO",IF(U10="NO","NA",-U10),IF(U10="NO",V10,V10-U10))</f>
        <v>5.6843418860808015E-14</v>
      </c>
      <c r="X10" s="4023">
        <f>IF(W10="NA","NA",W10/U10*100)</f>
        <v>2.136676116167019E-14</v>
      </c>
      <c r="Y10" s="4024">
        <f>IF(W10="NA","NA",W10/$G$35*100)</f>
        <v>1.2867716657054581E-17</v>
      </c>
      <c r="Z10" s="4021">
        <f>IF(W10="NA","NA",W10/$G$34*100)</f>
        <v>1.0209575934601025E-17</v>
      </c>
      <c r="AA10" s="4019" t="s">
        <v>2146</v>
      </c>
      <c r="AB10" s="4019" t="s">
        <v>2146</v>
      </c>
      <c r="AC10" s="4019" t="s">
        <v>2147</v>
      </c>
      <c r="AD10" s="4023" t="s">
        <v>2147</v>
      </c>
      <c r="AE10" s="4024" t="s">
        <v>2147</v>
      </c>
      <c r="AF10" s="4021" t="s">
        <v>2147</v>
      </c>
    </row>
    <row r="11" spans="2:32" ht="18" customHeight="1" x14ac:dyDescent="0.2">
      <c r="B11" s="1951" t="s">
        <v>1694</v>
      </c>
      <c r="C11" s="3848">
        <v>1116.992</v>
      </c>
      <c r="D11" s="3847">
        <f>'Table2(I)'!F25</f>
        <v>1116.992</v>
      </c>
      <c r="E11" s="3847">
        <f>IF(D11="NO",IF(C11="NO","NA",-C11),IF(C11="NO",D11,D11-C11))</f>
        <v>0</v>
      </c>
      <c r="F11" s="4016">
        <f>IF(E11="NA","NA",E11/C11*100)</f>
        <v>0</v>
      </c>
      <c r="G11" s="3871">
        <f>IF(E11="NA","NA",E11/$G$35*100)</f>
        <v>0</v>
      </c>
      <c r="H11" s="3872">
        <f>IF(E11="NA","NA",E11/$G$34*100)</f>
        <v>0</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4140.1764526673724</v>
      </c>
      <c r="J13" s="3839">
        <f>'Table2(II)'!AH41</f>
        <v>4140.1764526673724</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t="s">
        <v>2146</v>
      </c>
      <c r="D21" s="3847" t="str">
        <f>'Table2(I)'!F46</f>
        <v>NO</v>
      </c>
      <c r="E21" s="3847" t="str">
        <f>IF(D21="NO",IF(C21="NO","NA",-C21),IF(C21="NO",D21,D21-C21))</f>
        <v>NA</v>
      </c>
      <c r="F21" s="4016" t="str">
        <f>IF(E21="NA","NA",E21/C21*100)</f>
        <v>NA</v>
      </c>
      <c r="G21" s="3871" t="str">
        <f>IF(E21="NA","NA",E21/$G$35*100)</f>
        <v>NA</v>
      </c>
      <c r="H21" s="3872" t="str">
        <f>IF(E21="NA","NA",E21/$G$34*100)</f>
        <v>NA</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t="s">
        <v>2146</v>
      </c>
      <c r="D22" s="3847" t="str">
        <f>'Table2(I)'!F47</f>
        <v>NO</v>
      </c>
      <c r="E22" s="3847" t="str">
        <f t="shared" ref="E22:E25" si="0">IF(D22="NO",IF(C22="NO","NA",-C22),IF(C22="NO",D22,D22-C22))</f>
        <v>NA</v>
      </c>
      <c r="F22" s="4016" t="str">
        <f t="shared" ref="F22:F25" si="1">IF(E22="NA","NA",E22/C22*100)</f>
        <v>NA</v>
      </c>
      <c r="G22" s="3871" t="str">
        <f t="shared" ref="G22:G25" si="2">IF(E22="NA","NA",E22/$G$35*100)</f>
        <v>NA</v>
      </c>
      <c r="H22" s="3872" t="str">
        <f t="shared" ref="H22:H25" si="3">IF(E22="NA","NA",E22/$G$34*100)</f>
        <v>NA</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t="s">
        <v>2146</v>
      </c>
      <c r="D23" s="3847" t="str">
        <f>'Table2(I)'!F48</f>
        <v>NO</v>
      </c>
      <c r="E23" s="3847" t="str">
        <f t="shared" si="0"/>
        <v>NA</v>
      </c>
      <c r="F23" s="4016" t="str">
        <f t="shared" si="1"/>
        <v>NA</v>
      </c>
      <c r="G23" s="3871" t="str">
        <f t="shared" si="2"/>
        <v>NA</v>
      </c>
      <c r="H23" s="3872" t="str">
        <f t="shared" si="3"/>
        <v>NA</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t="s">
        <v>2146</v>
      </c>
      <c r="D25" s="3847" t="str">
        <f>'Table2(I)'!F50</f>
        <v>NO</v>
      </c>
      <c r="E25" s="3847" t="str">
        <f t="shared" si="0"/>
        <v>NA</v>
      </c>
      <c r="F25" s="4016" t="str">
        <f t="shared" si="1"/>
        <v>NA</v>
      </c>
      <c r="G25" s="3871" t="str">
        <f t="shared" si="2"/>
        <v>NA</v>
      </c>
      <c r="H25" s="3872" t="str">
        <f t="shared" si="3"/>
        <v>NA</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252.01065433475685</v>
      </c>
      <c r="V27" s="3847">
        <f>IFERROR('Table2(I)'!I53*23500,'Table2(I)'!I53)</f>
        <v>252.01065433475674</v>
      </c>
      <c r="W27" s="3847">
        <f>IF(V27="NO",IF(U27="NO","NA",-U27),IF(U27="NO",V27,V27-U27))</f>
        <v>-1.1368683772161603E-13</v>
      </c>
      <c r="X27" s="4016">
        <f>IF(W27="NA","NA",W27/U27*100)</f>
        <v>-4.5111917201167538E-14</v>
      </c>
      <c r="Y27" s="3871">
        <f>IF(W27="NA","NA",W27/$G$35*100)</f>
        <v>-2.5735433314109162E-17</v>
      </c>
      <c r="Z27" s="3872">
        <f>IF(W27="NA","NA",W27/$G$34*100)</f>
        <v>-2.041915186920205E-17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14.026010888886745</v>
      </c>
      <c r="V28" s="3847">
        <f>IFERROR('Table2(I)'!I54*23500,'Table2(I)'!I54)</f>
        <v>14.026010888886876</v>
      </c>
      <c r="W28" s="3847">
        <f>IF(V28="NO",IF(U28="NO","NA",-U28),IF(U28="NO",V28,V28-U28))</f>
        <v>1.3145040611561853E-13</v>
      </c>
      <c r="X28" s="4016">
        <f>IF(W28="NA","NA",W28/U28*100)</f>
        <v>9.3719024715552511E-13</v>
      </c>
      <c r="Y28" s="3871">
        <f>IF(W28="NA","NA",W28/$G$35*100)</f>
        <v>2.9756594769438722E-17</v>
      </c>
      <c r="Z28" s="3872">
        <f>IF(W28="NA","NA",W28/$G$34*100)</f>
        <v>2.3609644348764868E-17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560822.78230198834</v>
      </c>
      <c r="F34" s="4523"/>
      <c r="G34" s="4522">
        <f>SUM(Table8s1!D10,Table8s1!J10,Table8s1!P10,D10,J10,P10,V10,AB10)</f>
        <v>556765.71901641251</v>
      </c>
      <c r="H34" s="4523"/>
      <c r="I34" s="3839">
        <f>G34-E34</f>
        <v>-4057.0632855758304</v>
      </c>
      <c r="J34" s="4045">
        <f>IF(I34="NA","NA",I34/E34*100)</f>
        <v>-0.72341270961264337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441872.57456915238</v>
      </c>
      <c r="F35" s="4525"/>
      <c r="G35" s="4526">
        <f>G34-SUM(Table8s1!D41,Table8s1!J41,Table8s1!P41)</f>
        <v>441752.18009361631</v>
      </c>
      <c r="H35" s="4527"/>
      <c r="I35" s="3855">
        <f>G35-E35</f>
        <v>-120.3944755360717</v>
      </c>
      <c r="J35" s="4046">
        <f>IF(I35="NA","NA",I35/E35*100)</f>
        <v>-2.7246424074511132E-2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884701.15477072541</v>
      </c>
      <c r="D10" s="1913" t="s">
        <v>1814</v>
      </c>
      <c r="E10" s="628"/>
      <c r="F10" s="628"/>
      <c r="G10" s="628"/>
      <c r="H10" s="1847">
        <f>IF(SUM(H11:H14)=0,"NO",SUM(H11:H14))</f>
        <v>60120.186322479196</v>
      </c>
      <c r="I10" s="1847">
        <f>IF(SUM(I11:I15)=0,"NO",SUM(I11:I15))</f>
        <v>26.995806612722227</v>
      </c>
      <c r="J10" s="2192">
        <f>IF(SUM(J11:J15)=0,"NO",SUM(J11:J15))</f>
        <v>3.524761892907931</v>
      </c>
    </row>
    <row r="11" spans="2:11" ht="18" customHeight="1" x14ac:dyDescent="0.2">
      <c r="B11" s="282" t="s">
        <v>132</v>
      </c>
      <c r="C11" s="1913">
        <f>IF(SUM(C17:C18,C21:C24,C82,C89:C92,C100)=0,"NO",SUM(C17:C18,C21:C24,C82,C89:C92,C100))</f>
        <v>875221.36771215557</v>
      </c>
      <c r="D11" s="1909" t="s">
        <v>1814</v>
      </c>
      <c r="E11" s="1913">
        <f>IFERROR(H11*1000/$C11,"NA")</f>
        <v>67.95901779098827</v>
      </c>
      <c r="F11" s="1913">
        <f t="shared" ref="F11:G15" si="0">IFERROR(I11*1000000/$C11,"NA")</f>
        <v>30.592695573435368</v>
      </c>
      <c r="G11" s="1913">
        <f t="shared" si="0"/>
        <v>4.0217732596144486</v>
      </c>
      <c r="H11" s="1913">
        <f>IF(SUM(H17:H18,H21:H24,H82,H89:H92,H100)=0,"NO",SUM(H17:H18,H21:H24,H82,H89:H92,H100))</f>
        <v>59479.184499403469</v>
      </c>
      <c r="I11" s="1913">
        <f>IF(SUM(I17:I18,I21:I24,I82,I89:I92,I100)=0,"NO",SUM(I17:I18,I21:I24,I82,I89:I92,I100))</f>
        <v>26.775380861783709</v>
      </c>
      <c r="J11" s="3085">
        <f>IF(SUM(J17:J18,J21:J24,J82,J89:J92,J100)=0,"NO",SUM(J17:J18,J21:J24,J82,J89:J92,J100))</f>
        <v>3.5199418929079314</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5490</v>
      </c>
      <c r="D13" s="1909" t="s">
        <v>1814</v>
      </c>
      <c r="E13" s="1913">
        <f t="shared" si="1"/>
        <v>51.411918339265007</v>
      </c>
      <c r="F13" s="1913">
        <f t="shared" si="0"/>
        <v>17.010154997908522</v>
      </c>
      <c r="G13" s="1913">
        <f t="shared" si="0"/>
        <v>0.15482695810564664</v>
      </c>
      <c r="H13" s="1913">
        <f>IF(SUM(H26,H84,H94,H102)=0,"NO",SUM(H26,H84,H94,H102))</f>
        <v>282.25143168256488</v>
      </c>
      <c r="I13" s="1913">
        <f>IF(SUM(I26,I84,I94,I102)=0,"NO",SUM(I26,I84,I94,I102))</f>
        <v>9.3385750938517781E-2</v>
      </c>
      <c r="J13" s="3085">
        <f>IF(SUM(J26,J84,J94,J102)=0,"NO",SUM(J26,J84,J94,J102))</f>
        <v>8.5000000000000006E-4</v>
      </c>
    </row>
    <row r="14" spans="2:11" ht="18" customHeight="1" x14ac:dyDescent="0.2">
      <c r="B14" s="282" t="s">
        <v>175</v>
      </c>
      <c r="C14" s="1913">
        <f>IF(SUM(C28,C86,C96,C103)=0,"NO",SUM(C28,C86,C96,C103))</f>
        <v>3989.7870585697983</v>
      </c>
      <c r="D14" s="1909" t="s">
        <v>1814</v>
      </c>
      <c r="E14" s="1913">
        <f t="shared" si="1"/>
        <v>89.917177565302438</v>
      </c>
      <c r="F14" s="1913">
        <f t="shared" si="0"/>
        <v>31.841298328723212</v>
      </c>
      <c r="G14" s="1913">
        <f t="shared" si="0"/>
        <v>0.99504057277260038</v>
      </c>
      <c r="H14" s="1913">
        <f>IF(SUM(H28,H86,H96,H103)=0,"NO",SUM(H28,H86,H96,H103))</f>
        <v>358.7503913931663</v>
      </c>
      <c r="I14" s="1913">
        <f>IF(SUM(I28,I86,I96,I103)=0,"NO",SUM(I28,I86,I96,I103))</f>
        <v>0.12704000000000001</v>
      </c>
      <c r="J14" s="3085">
        <f>IF(SUM(J28,J86,J96,J103)=0,"NO",SUM(J28,J86,J96,J103))</f>
        <v>3.9700000000000004E-3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50696.790267920413</v>
      </c>
      <c r="D16" s="1909" t="s">
        <v>1814</v>
      </c>
      <c r="E16" s="628"/>
      <c r="F16" s="628"/>
      <c r="G16" s="628"/>
      <c r="H16" s="1913">
        <f>IF(SUM(H17:H18)=0,"NO",SUM(H17:H18))</f>
        <v>3520.1733001467578</v>
      </c>
      <c r="I16" s="1913">
        <f>IF(SUM(I17:I19)=0,"NO",SUM(I17:I19))</f>
        <v>2.7133617802862373E-2</v>
      </c>
      <c r="J16" s="3085">
        <f>IF(SUM(J17:J19)=0,"NO",SUM(J17:J19))</f>
        <v>3.6739980128936547E-2</v>
      </c>
    </row>
    <row r="17" spans="2:10" ht="18" customHeight="1" x14ac:dyDescent="0.2">
      <c r="B17" s="282" t="s">
        <v>177</v>
      </c>
      <c r="C17" s="691">
        <v>3201.2701925016099</v>
      </c>
      <c r="D17" s="1909" t="s">
        <v>1814</v>
      </c>
      <c r="E17" s="1913">
        <f t="shared" ref="E17:E19" si="2">IFERROR(H17*1000/$C17,"NA")</f>
        <v>66.999999999999957</v>
      </c>
      <c r="F17" s="1913">
        <f t="shared" ref="F17:G19" si="3">IFERROR(I17*1000000/$C17,"NA")</f>
        <v>0.49999999999999994</v>
      </c>
      <c r="G17" s="1913">
        <f t="shared" si="3"/>
        <v>1.9999999999999991</v>
      </c>
      <c r="H17" s="691">
        <v>214.48510289760776</v>
      </c>
      <c r="I17" s="691">
        <v>1.6006350962508046E-3</v>
      </c>
      <c r="J17" s="2911">
        <v>6.4025403850032168E-3</v>
      </c>
    </row>
    <row r="18" spans="2:10" ht="18" customHeight="1" x14ac:dyDescent="0.2">
      <c r="B18" s="282" t="s">
        <v>178</v>
      </c>
      <c r="C18" s="691">
        <v>47495.520075418804</v>
      </c>
      <c r="D18" s="1909" t="s">
        <v>1814</v>
      </c>
      <c r="E18" s="1913">
        <f t="shared" si="2"/>
        <v>69.600000000000023</v>
      </c>
      <c r="F18" s="1913">
        <f t="shared" si="3"/>
        <v>0.53758718013967188</v>
      </c>
      <c r="G18" s="1913">
        <f t="shared" si="3"/>
        <v>0.63874318453109014</v>
      </c>
      <c r="H18" s="691">
        <v>3305.6881972491501</v>
      </c>
      <c r="I18" s="691">
        <v>2.5532982706611567E-2</v>
      </c>
      <c r="J18" s="2911">
        <v>3.0337439743933329E-2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773295.68027181877</v>
      </c>
      <c r="D20" s="1909" t="s">
        <v>1814</v>
      </c>
      <c r="E20" s="628"/>
      <c r="F20" s="628"/>
      <c r="G20" s="628"/>
      <c r="H20" s="1913">
        <f>IF(SUM(H21:H24,H26,H28)=0,"NO",SUM(H21:H24,H26,H28))</f>
        <v>52343.993246946709</v>
      </c>
      <c r="I20" s="1913">
        <f>IF(SUM(I21:I24,I26:I28)=0,"NO",SUM(I21:I24,I26:I28))</f>
        <v>23.109172795104648</v>
      </c>
      <c r="J20" s="3085">
        <f>IF(SUM(J21:J24,J26:J28)=0,"NO",SUM(J21:J24,J26:J28))</f>
        <v>2.7199818325016003</v>
      </c>
    </row>
    <row r="21" spans="2:10" ht="18" customHeight="1" x14ac:dyDescent="0.2">
      <c r="B21" s="282" t="s">
        <v>167</v>
      </c>
      <c r="C21" s="1913">
        <f>IF(SUM(C31,C41,C51,C61,C72)=0,"NO",SUM(C31,C41,C51,C61,C72))</f>
        <v>544531.23867441795</v>
      </c>
      <c r="D21" s="1909" t="s">
        <v>1814</v>
      </c>
      <c r="E21" s="1913">
        <f t="shared" ref="E21:E23" si="4">IFERROR(H21*1000/$C21,"NA")</f>
        <v>67.399999999999991</v>
      </c>
      <c r="F21" s="1913">
        <f t="shared" ref="F21:G23" si="5">IFERROR(I21*1000000/$C21,"NA")</f>
        <v>35.382228591932062</v>
      </c>
      <c r="G21" s="1913">
        <f t="shared" si="5"/>
        <v>4.3831809407079803</v>
      </c>
      <c r="H21" s="1913">
        <f>IF(SUM(H31,H41,H51,H61,H72)=0,"NO",SUM(H31,H41,H51,H61,H72))</f>
        <v>36701.405486655764</v>
      </c>
      <c r="I21" s="1913">
        <f>IF(SUM(I31,I41,I51,I61,I72)=0,"NO",SUM(I31,I41,I51,I61,I72))</f>
        <v>19.266728762226172</v>
      </c>
      <c r="J21" s="3085">
        <f>IF(SUM(J31,J41,J51,J61,J72)=0,"NO",SUM(J31,J41,J51,J61,J72))</f>
        <v>2.3867789469778171</v>
      </c>
    </row>
    <row r="22" spans="2:10" ht="18" customHeight="1" x14ac:dyDescent="0.2">
      <c r="B22" s="282" t="s">
        <v>168</v>
      </c>
      <c r="C22" s="1913">
        <f t="shared" ref="C22:C29" si="6">IF(SUM(C32,C42,C52,C62,C73)=0,"NO",SUM(C32,C42,C52,C62,C73))</f>
        <v>193148.9965881255</v>
      </c>
      <c r="D22" s="1909" t="s">
        <v>1814</v>
      </c>
      <c r="E22" s="1913">
        <f t="shared" si="4"/>
        <v>69.900000000000162</v>
      </c>
      <c r="F22" s="1913">
        <f t="shared" si="5"/>
        <v>11.134999595696444</v>
      </c>
      <c r="G22" s="1913">
        <f t="shared" si="5"/>
        <v>1.6059545645001274</v>
      </c>
      <c r="H22" s="1913">
        <f t="shared" ref="H22:J29" si="7">IF(SUM(H32,H42,H52,H62,H73)=0,"NO",SUM(H32,H42,H52,H62,H73))</f>
        <v>13501.114861510005</v>
      </c>
      <c r="I22" s="1913">
        <f t="shared" si="7"/>
        <v>2.1507139989179511</v>
      </c>
      <c r="J22" s="3085">
        <f t="shared" si="7"/>
        <v>0.31018851269931969</v>
      </c>
    </row>
    <row r="23" spans="2:10" ht="18" customHeight="1" x14ac:dyDescent="0.2">
      <c r="B23" s="282" t="s">
        <v>169</v>
      </c>
      <c r="C23" s="1913">
        <f t="shared" si="6"/>
        <v>35310.900450435911</v>
      </c>
      <c r="D23" s="1909" t="s">
        <v>1814</v>
      </c>
      <c r="E23" s="1913">
        <f t="shared" si="4"/>
        <v>60.199999999999939</v>
      </c>
      <c r="F23" s="1913">
        <f t="shared" si="5"/>
        <v>46.67319386299441</v>
      </c>
      <c r="G23" s="1913">
        <f t="shared" si="5"/>
        <v>0.6432680145425973</v>
      </c>
      <c r="H23" s="1913">
        <f t="shared" si="7"/>
        <v>2125.7162071162397</v>
      </c>
      <c r="I23" s="1913">
        <f t="shared" si="7"/>
        <v>1.6480725022000919</v>
      </c>
      <c r="J23" s="3085">
        <f t="shared" si="7"/>
        <v>2.271437282446321E-2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300.00000000000034</v>
      </c>
      <c r="D26" s="1909" t="s">
        <v>1814</v>
      </c>
      <c r="E26" s="1913">
        <f t="shared" si="8"/>
        <v>51.411918339264943</v>
      </c>
      <c r="F26" s="1913">
        <f t="shared" si="9"/>
        <v>145.5251058681184</v>
      </c>
      <c r="G26" s="1913">
        <f t="shared" si="9"/>
        <v>0.99999999999999889</v>
      </c>
      <c r="H26" s="1913">
        <f t="shared" si="7"/>
        <v>15.423575501779499</v>
      </c>
      <c r="I26" s="1913">
        <f t="shared" si="7"/>
        <v>4.3657531760435575E-2</v>
      </c>
      <c r="J26" s="3085">
        <f t="shared" si="7"/>
        <v>3.0000000000000003E-4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4.5445588393875997</v>
      </c>
      <c r="D28" s="1909" t="s">
        <v>1814</v>
      </c>
      <c r="E28" s="628"/>
      <c r="F28" s="628"/>
      <c r="G28" s="628"/>
      <c r="H28" s="1913">
        <f>H29</f>
        <v>0.33311616292711094</v>
      </c>
      <c r="I28" s="1913" t="str">
        <f>I29</f>
        <v>NE</v>
      </c>
      <c r="J28" s="3085" t="str">
        <f>J29</f>
        <v>NE</v>
      </c>
    </row>
    <row r="29" spans="2:10" ht="18" customHeight="1" x14ac:dyDescent="0.2">
      <c r="B29" s="3105" t="s">
        <v>252</v>
      </c>
      <c r="C29" s="1913">
        <f t="shared" si="6"/>
        <v>4.5445588393875997</v>
      </c>
      <c r="D29" s="1909" t="s">
        <v>1814</v>
      </c>
      <c r="E29" s="3103">
        <f t="shared" ref="E29" si="10">IFERROR(H29*1000/$C29,"NA")</f>
        <v>73.299999999999983</v>
      </c>
      <c r="F29" s="3103" t="str">
        <f>IFERROR(I29*1000000/$C29,"NA")</f>
        <v>NA</v>
      </c>
      <c r="G29" s="3103" t="str">
        <f>IFERROR(J29*1000000/$C29,"NA")</f>
        <v>NA</v>
      </c>
      <c r="H29" s="1913">
        <f t="shared" si="7"/>
        <v>0.33311616292711094</v>
      </c>
      <c r="I29" s="1913" t="str">
        <f>IF(SUM(I39,I49,I59,I69,I80)=0,"NE",SUM(I39,I49,I59,I69,I80))</f>
        <v>NE</v>
      </c>
      <c r="J29" s="3085" t="str">
        <f>IF(SUM(J39,J49,J59,J69,J80)=0,"NE",SUM(J39,J49,J59,J69,J80))</f>
        <v>NE</v>
      </c>
    </row>
    <row r="30" spans="2:10" ht="18" customHeight="1" x14ac:dyDescent="0.2">
      <c r="B30" s="1242" t="s">
        <v>182</v>
      </c>
      <c r="C30" s="1913">
        <f>IF(SUM(C31:C34,C36:C38)=0,"NO",SUM(C31:C34,C36:C38))</f>
        <v>502774.82184168039</v>
      </c>
      <c r="D30" s="1909" t="s">
        <v>1814</v>
      </c>
      <c r="E30" s="628"/>
      <c r="F30" s="628"/>
      <c r="G30" s="628"/>
      <c r="H30" s="1913">
        <f>IF(SUM(H31:H34,H36,H38)=0,"NO",SUM(H31:H34,H36,H38))</f>
        <v>33735.350785099436</v>
      </c>
      <c r="I30" s="1913">
        <f>IF(SUM(I31:I34,I36:I38)=0,"NO",SUM(I31:I34,I36:I38))</f>
        <v>18.300286740686893</v>
      </c>
      <c r="J30" s="3085">
        <f>IF(SUM(J31:J34,J36:J38)=0,"NO",SUM(J31:J34,J36:J38))</f>
        <v>2.3355655904468811</v>
      </c>
    </row>
    <row r="31" spans="2:10" ht="18" customHeight="1" x14ac:dyDescent="0.2">
      <c r="B31" s="282" t="s">
        <v>167</v>
      </c>
      <c r="C31" s="691">
        <v>465112.39409805503</v>
      </c>
      <c r="D31" s="1909" t="s">
        <v>1814</v>
      </c>
      <c r="E31" s="1913">
        <f t="shared" ref="E31:E33" si="11">IFERROR(H31*1000/$C31,"NA")</f>
        <v>67.399999999999991</v>
      </c>
      <c r="F31" s="1913">
        <f t="shared" ref="F31:G33" si="12">IFERROR(I31*1000000/$C31,"NA")</f>
        <v>36.513494038826266</v>
      </c>
      <c r="G31" s="1913">
        <f t="shared" si="12"/>
        <v>4.9812893962047697</v>
      </c>
      <c r="H31" s="691">
        <v>31348.575362208903</v>
      </c>
      <c r="I31" s="691">
        <v>16.982878629283544</v>
      </c>
      <c r="J31" s="2911">
        <v>2.3168594367640556</v>
      </c>
    </row>
    <row r="32" spans="2:10" ht="18" customHeight="1" x14ac:dyDescent="0.2">
      <c r="B32" s="282" t="s">
        <v>168</v>
      </c>
      <c r="C32" s="691">
        <v>12394.942471509801</v>
      </c>
      <c r="D32" s="1909" t="s">
        <v>1814</v>
      </c>
      <c r="E32" s="1913">
        <f t="shared" si="11"/>
        <v>69.900000000000006</v>
      </c>
      <c r="F32" s="1913">
        <f t="shared" si="12"/>
        <v>6.7618232706668522</v>
      </c>
      <c r="G32" s="1913">
        <f t="shared" si="12"/>
        <v>0.18271558960550752</v>
      </c>
      <c r="H32" s="691">
        <v>866.40647875853506</v>
      </c>
      <c r="I32" s="691">
        <v>8.3812410442431873E-2</v>
      </c>
      <c r="J32" s="2911">
        <v>2.2647492218082596E-3</v>
      </c>
    </row>
    <row r="33" spans="2:10" ht="18" customHeight="1" x14ac:dyDescent="0.2">
      <c r="B33" s="282" t="s">
        <v>169</v>
      </c>
      <c r="C33" s="691">
        <v>25184.000698612799</v>
      </c>
      <c r="D33" s="1909" t="s">
        <v>1814</v>
      </c>
      <c r="E33" s="1913">
        <f t="shared" si="11"/>
        <v>60.199999999999903</v>
      </c>
      <c r="F33" s="1913">
        <f t="shared" si="12"/>
        <v>48.118098541168528</v>
      </c>
      <c r="G33" s="1913">
        <f t="shared" si="12"/>
        <v>0.64953619098395521</v>
      </c>
      <c r="H33" s="691">
        <v>1516.0768420564882</v>
      </c>
      <c r="I33" s="691">
        <v>1.2118062272767078</v>
      </c>
      <c r="J33" s="2911">
        <v>1.6357919887514224E-2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83.484573502722299</v>
      </c>
      <c r="D36" s="1909" t="s">
        <v>1814</v>
      </c>
      <c r="E36" s="1913">
        <f t="shared" si="13"/>
        <v>51.411918339265</v>
      </c>
      <c r="F36" s="1913">
        <f t="shared" si="14"/>
        <v>261.00000000000006</v>
      </c>
      <c r="G36" s="1913">
        <f t="shared" si="14"/>
        <v>1.0000000000000002</v>
      </c>
      <c r="H36" s="691">
        <v>4.2921020755103259</v>
      </c>
      <c r="I36" s="691">
        <v>2.1789473684210525E-2</v>
      </c>
      <c r="J36" s="2911">
        <v>8.3484573502722311E-5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109400.96716393517</v>
      </c>
      <c r="D40" s="1909" t="s">
        <v>1814</v>
      </c>
      <c r="E40" s="628"/>
      <c r="F40" s="628"/>
      <c r="G40" s="628"/>
      <c r="H40" s="1913">
        <f>IF(SUM(H41:H44,H46,H48)=0,"NO",SUM(H41:H44,H46,H48))</f>
        <v>7373.4424496229858</v>
      </c>
      <c r="I40" s="1913">
        <f>IF(SUM(I41:I44,I46:I48)=0,"NO",SUM(I41:I44,I46:I48))</f>
        <v>3.4678647575737327</v>
      </c>
      <c r="J40" s="3085">
        <f>IF(SUM(J41:J44,J46:J48)=0,"NO",SUM(J41:J44,J46:J48))</f>
        <v>7.4589899323319095E-2</v>
      </c>
    </row>
    <row r="41" spans="2:10" ht="18" customHeight="1" x14ac:dyDescent="0.2">
      <c r="B41" s="282" t="s">
        <v>167</v>
      </c>
      <c r="C41" s="691">
        <v>73209.862469465312</v>
      </c>
      <c r="D41" s="1909" t="s">
        <v>1814</v>
      </c>
      <c r="E41" s="1913">
        <f t="shared" ref="E41:E43" si="16">IFERROR(H41*1000/$C41,"NA")</f>
        <v>67.399999999999977</v>
      </c>
      <c r="F41" s="1913">
        <f t="shared" ref="F41:G43" si="17">IFERROR(I41*1000000/$C41,"NA")</f>
        <v>27.51015173923847</v>
      </c>
      <c r="G41" s="1913">
        <f t="shared" si="17"/>
        <v>0.88151534470785753</v>
      </c>
      <c r="H41" s="691">
        <v>4934.3447304419606</v>
      </c>
      <c r="I41" s="691">
        <v>2.0140144253437704</v>
      </c>
      <c r="J41" s="2911">
        <v>6.4535617150785554E-2</v>
      </c>
    </row>
    <row r="42" spans="2:10" ht="18" customHeight="1" x14ac:dyDescent="0.2">
      <c r="B42" s="282" t="s">
        <v>168</v>
      </c>
      <c r="C42" s="691">
        <v>26844.661502467701</v>
      </c>
      <c r="D42" s="1909" t="s">
        <v>1814</v>
      </c>
      <c r="E42" s="1913">
        <f t="shared" si="16"/>
        <v>69.900000000000105</v>
      </c>
      <c r="F42" s="1913">
        <f t="shared" si="17"/>
        <v>38.445682874660953</v>
      </c>
      <c r="G42" s="1913">
        <f t="shared" si="17"/>
        <v>0.19966615015941613</v>
      </c>
      <c r="H42" s="691">
        <v>1876.4418390224951</v>
      </c>
      <c r="I42" s="691">
        <v>1.0320613430014927</v>
      </c>
      <c r="J42" s="2911">
        <v>5.3599702145304138E-3</v>
      </c>
    </row>
    <row r="43" spans="2:10" ht="18" customHeight="1" x14ac:dyDescent="0.2">
      <c r="B43" s="282" t="s">
        <v>169</v>
      </c>
      <c r="C43" s="691">
        <v>9346.4431920021598</v>
      </c>
      <c r="D43" s="1909" t="s">
        <v>1814</v>
      </c>
      <c r="E43" s="1913">
        <f t="shared" si="16"/>
        <v>60.200000000000031</v>
      </c>
      <c r="F43" s="1913">
        <f t="shared" si="17"/>
        <v>45.128288971937323</v>
      </c>
      <c r="G43" s="1913">
        <f t="shared" si="17"/>
        <v>0.50225651208366628</v>
      </c>
      <c r="H43" s="691">
        <v>562.65588015853029</v>
      </c>
      <c r="I43" s="691">
        <v>0.42178898922846975</v>
      </c>
      <c r="J43" s="2911">
        <v>4.694311958003133E-3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158203.79012616325</v>
      </c>
      <c r="D50" s="1909" t="s">
        <v>1814</v>
      </c>
      <c r="E50" s="628"/>
      <c r="F50" s="628"/>
      <c r="G50" s="628"/>
      <c r="H50" s="1913">
        <f>IF(SUM(H51:H54,H56,H58)=0,"NO",SUM(H51:H54,H56,H58))</f>
        <v>11038.627982488446</v>
      </c>
      <c r="I50" s="1913">
        <f>IF(SUM(I51:I54,I56:I58)=0,"NO",SUM(I51:I54,I56:I58))</f>
        <v>1.1245808730259621</v>
      </c>
      <c r="J50" s="3085">
        <f>IF(SUM(J51:J54,J56:J58)=0,"NO",SUM(J51:J54,J56:J58))</f>
        <v>0.30694047041382594</v>
      </c>
    </row>
    <row r="51" spans="2:10" ht="18" customHeight="1" x14ac:dyDescent="0.2">
      <c r="B51" s="282" t="s">
        <v>167</v>
      </c>
      <c r="C51" s="691">
        <v>3297.42552569705</v>
      </c>
      <c r="D51" s="1909" t="s">
        <v>1814</v>
      </c>
      <c r="E51" s="1913">
        <f t="shared" ref="E51:E53" si="21">IFERROR(H51*1000/$C51,"NA")</f>
        <v>67.399999999999963</v>
      </c>
      <c r="F51" s="1913">
        <f t="shared" ref="F51:G53" si="22">IFERROR(I51*1000000/$C51,"NA")</f>
        <v>16.193021908965964</v>
      </c>
      <c r="G51" s="1913">
        <f t="shared" si="22"/>
        <v>0.75756699459461008</v>
      </c>
      <c r="H51" s="691">
        <v>222.24648043198107</v>
      </c>
      <c r="I51" s="691">
        <v>5.3395283780795944E-2</v>
      </c>
      <c r="J51" s="2911">
        <v>2.4980207454018662E-3</v>
      </c>
    </row>
    <row r="52" spans="2:10" ht="18" customHeight="1" x14ac:dyDescent="0.2">
      <c r="B52" s="282" t="s">
        <v>168</v>
      </c>
      <c r="C52" s="691">
        <v>153909.392614148</v>
      </c>
      <c r="D52" s="1909" t="s">
        <v>1814</v>
      </c>
      <c r="E52" s="1913">
        <f t="shared" si="21"/>
        <v>69.90000000000019</v>
      </c>
      <c r="F52" s="1913">
        <f t="shared" si="22"/>
        <v>6.7236978062045818</v>
      </c>
      <c r="G52" s="1913">
        <f t="shared" si="22"/>
        <v>1.9658565869434017</v>
      </c>
      <c r="H52" s="691">
        <v>10758.266543728974</v>
      </c>
      <c r="I52" s="691">
        <v>1.0348402454740266</v>
      </c>
      <c r="J52" s="2911">
        <v>0.302563793262981</v>
      </c>
    </row>
    <row r="53" spans="2:10" ht="18" customHeight="1" x14ac:dyDescent="0.2">
      <c r="B53" s="282" t="s">
        <v>169</v>
      </c>
      <c r="C53" s="691">
        <v>780.45655982095491</v>
      </c>
      <c r="D53" s="1909" t="s">
        <v>1814</v>
      </c>
      <c r="E53" s="1913">
        <f t="shared" si="21"/>
        <v>60.199999999999989</v>
      </c>
      <c r="F53" s="1913">
        <f t="shared" si="22"/>
        <v>18.549764894327598</v>
      </c>
      <c r="G53" s="1913">
        <f t="shared" si="22"/>
        <v>2.1297033871137794</v>
      </c>
      <c r="H53" s="691">
        <v>46.983484901221473</v>
      </c>
      <c r="I53" s="691">
        <v>1.4477285694914434E-2</v>
      </c>
      <c r="J53" s="2911">
        <v>1.6621409789458557E-3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216.51542649727801</v>
      </c>
      <c r="D56" s="1909" t="s">
        <v>1814</v>
      </c>
      <c r="E56" s="1913">
        <f t="shared" si="23"/>
        <v>51.411918339264929</v>
      </c>
      <c r="F56" s="1913">
        <f t="shared" si="24"/>
        <v>100.99999999999986</v>
      </c>
      <c r="G56" s="1913">
        <f t="shared" si="24"/>
        <v>0.99999999999999867</v>
      </c>
      <c r="H56" s="691">
        <v>11.131473426269174</v>
      </c>
      <c r="I56" s="691">
        <v>2.186805807622505E-2</v>
      </c>
      <c r="J56" s="2911">
        <v>2.1651542649727773E-4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2916.101140039968</v>
      </c>
      <c r="D60" s="1909" t="s">
        <v>1814</v>
      </c>
      <c r="E60" s="628"/>
      <c r="F60" s="628"/>
      <c r="G60" s="628"/>
      <c r="H60" s="1913">
        <f>IF(SUM(H61:H64,H66,H68)=0,"NO",SUM(H61:H64,H66,H68))</f>
        <v>196.57202973584651</v>
      </c>
      <c r="I60" s="1913">
        <f>IF(SUM(I61:I64,I66:I68)=0,"NO",SUM(I61:I64,I66:I68))</f>
        <v>0.21644042381806311</v>
      </c>
      <c r="J60" s="3085">
        <f>IF(SUM(J61:J64,J66:J68)=0,"NO",SUM(J61:J64,J66:J68))</f>
        <v>2.8858723175741747E-3</v>
      </c>
    </row>
    <row r="61" spans="2:10" ht="18" customHeight="1" x14ac:dyDescent="0.2">
      <c r="B61" s="282" t="s">
        <v>167</v>
      </c>
      <c r="C61" s="691">
        <v>2911.5565812005802</v>
      </c>
      <c r="D61" s="1909" t="s">
        <v>1814</v>
      </c>
      <c r="E61" s="1913">
        <f t="shared" ref="E61:E63" si="26">IFERROR(H61*1000/$C61,"NA")</f>
        <v>67.400000000000105</v>
      </c>
      <c r="F61" s="1913">
        <f t="shared" ref="F61:G63" si="27">IFERROR(I61*1000000/$C61,"NA")</f>
        <v>74.338388343740831</v>
      </c>
      <c r="G61" s="1913">
        <f t="shared" si="27"/>
        <v>0.99117851124987766</v>
      </c>
      <c r="H61" s="691">
        <v>196.23891357291942</v>
      </c>
      <c r="I61" s="691">
        <v>0.21644042381806311</v>
      </c>
      <c r="J61" s="2911">
        <v>2.8858723175741747E-3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4.5445588393875997</v>
      </c>
      <c r="D68" s="1909" t="s">
        <v>1814</v>
      </c>
      <c r="E68" s="628"/>
      <c r="F68" s="628"/>
      <c r="G68" s="628"/>
      <c r="H68" s="1913">
        <f>H69</f>
        <v>0.33311616292711094</v>
      </c>
      <c r="I68" s="1913" t="str">
        <f>I69</f>
        <v>NE</v>
      </c>
      <c r="J68" s="3085" t="str">
        <f>J69</f>
        <v>NE</v>
      </c>
    </row>
    <row r="69" spans="2:10" ht="18" customHeight="1" x14ac:dyDescent="0.2">
      <c r="B69" s="3105" t="s">
        <v>252</v>
      </c>
      <c r="C69" s="691">
        <v>4.5445588393875997</v>
      </c>
      <c r="D69" s="1909" t="s">
        <v>1814</v>
      </c>
      <c r="E69" s="3103">
        <f t="shared" ref="E69" si="30">IFERROR(H69*1000/$C69,"NA")</f>
        <v>73.299999999999983</v>
      </c>
      <c r="F69" s="3103" t="str">
        <f>IFERROR(I69*1000000/$C69,"NA")</f>
        <v>NA</v>
      </c>
      <c r="G69" s="3103" t="str">
        <f>IFERROR(J69*1000000/$C69,"NA")</f>
        <v>NA</v>
      </c>
      <c r="H69" s="691">
        <v>0.33311616292711094</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24050</v>
      </c>
      <c r="D81" s="1909" t="s">
        <v>1814</v>
      </c>
      <c r="E81" s="628"/>
      <c r="F81" s="628"/>
      <c r="G81" s="628"/>
      <c r="H81" s="1913">
        <f>IF(SUM(H82:H84,H86)=0,"NO",SUM(H82:H84,H86))</f>
        <v>1680.1705959169635</v>
      </c>
      <c r="I81" s="1913">
        <f>IF(SUM(I82:I86)=0,"NO",SUM(I82:I86))</f>
        <v>9.6000000000000016E-2</v>
      </c>
      <c r="J81" s="3085">
        <f>IF(SUM(J82:J86)=0,"NO",SUM(J82:J86))</f>
        <v>0.72</v>
      </c>
    </row>
    <row r="82" spans="2:10" ht="18" customHeight="1" x14ac:dyDescent="0.2">
      <c r="B82" s="282" t="s">
        <v>132</v>
      </c>
      <c r="C82" s="691">
        <v>24000</v>
      </c>
      <c r="D82" s="1909" t="s">
        <v>1814</v>
      </c>
      <c r="E82" s="1913">
        <f t="shared" ref="E82:E85" si="36">IFERROR(H82*1000/$C82,"NA")</f>
        <v>69.90000000000002</v>
      </c>
      <c r="F82" s="1913">
        <f t="shared" ref="F82:G85" si="37">IFERROR(I82*1000000/$C82,"NA")</f>
        <v>4.0000000000000009</v>
      </c>
      <c r="G82" s="1913">
        <f t="shared" si="37"/>
        <v>30</v>
      </c>
      <c r="H82" s="691">
        <v>1677.6000000000004</v>
      </c>
      <c r="I82" s="691">
        <v>9.6000000000000016E-2</v>
      </c>
      <c r="J82" s="2911">
        <v>0.72</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50</v>
      </c>
      <c r="D84" s="1909" t="s">
        <v>1814</v>
      </c>
      <c r="E84" s="1913">
        <f t="shared" si="36"/>
        <v>51.411918339265</v>
      </c>
      <c r="F84" s="1913" t="str">
        <f t="shared" si="37"/>
        <v>NA</v>
      </c>
      <c r="G84" s="1913" t="str">
        <f t="shared" si="37"/>
        <v>NA</v>
      </c>
      <c r="H84" s="691">
        <v>2.5705959169632502</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30965.36775017318</v>
      </c>
      <c r="D88" s="1909" t="s">
        <v>1814</v>
      </c>
      <c r="E88" s="628"/>
      <c r="F88" s="628"/>
      <c r="G88" s="628"/>
      <c r="H88" s="1913">
        <f>IF(SUM(H89:H92,H94,H96)=0,"NO",SUM(H89:H92,H94,H96))</f>
        <v>2274.4973362375927</v>
      </c>
      <c r="I88" s="3334">
        <f>IF(SUM(I89:I92,I94:I96)=0,"NE",SUM(I89:I92,I94:I96))</f>
        <v>3.6951895242478034</v>
      </c>
      <c r="J88" s="3335">
        <f>IF(SUM(J89:J92,J94:J96)=0,"NE",SUM(J89:J92,J94:J96))</f>
        <v>4.7416870451839746E-2</v>
      </c>
    </row>
    <row r="89" spans="2:10" ht="18" customHeight="1" x14ac:dyDescent="0.2">
      <c r="B89" s="282" t="s">
        <v>190</v>
      </c>
      <c r="C89" s="691">
        <v>14816.295</v>
      </c>
      <c r="D89" s="1909" t="s">
        <v>1814</v>
      </c>
      <c r="E89" s="1913">
        <f t="shared" ref="E89:E91" si="39">IFERROR(H89*1000/$C89,"NA")</f>
        <v>73.600000000000009</v>
      </c>
      <c r="F89" s="1913">
        <f t="shared" ref="F89:G91" si="40">IFERROR(I89*1000000/$C89,"NA")</f>
        <v>6.9999999999999991</v>
      </c>
      <c r="G89" s="1913">
        <f t="shared" si="40"/>
        <v>2</v>
      </c>
      <c r="H89" s="691">
        <v>1090.4793120000002</v>
      </c>
      <c r="I89" s="3336">
        <v>0.10371406499999999</v>
      </c>
      <c r="J89" s="3337">
        <v>2.963259E-2</v>
      </c>
    </row>
    <row r="90" spans="2:10" ht="18" customHeight="1" x14ac:dyDescent="0.2">
      <c r="B90" s="282" t="s">
        <v>191</v>
      </c>
      <c r="C90" s="691">
        <v>2591.4208341590102</v>
      </c>
      <c r="D90" s="1909" t="s">
        <v>1814</v>
      </c>
      <c r="E90" s="1913">
        <f t="shared" si="39"/>
        <v>69.899999999999991</v>
      </c>
      <c r="F90" s="1913">
        <f t="shared" si="40"/>
        <v>6.9999999999999973</v>
      </c>
      <c r="G90" s="1913">
        <f t="shared" si="40"/>
        <v>1.9999999999999996</v>
      </c>
      <c r="H90" s="691">
        <v>181.14031630771478</v>
      </c>
      <c r="I90" s="3336">
        <v>1.8139945839113065E-2</v>
      </c>
      <c r="J90" s="3337">
        <v>5.1828416683180195E-3</v>
      </c>
    </row>
    <row r="91" spans="2:10" ht="18" customHeight="1" x14ac:dyDescent="0.2">
      <c r="B91" s="282" t="s">
        <v>167</v>
      </c>
      <c r="C91" s="691">
        <v>9546.0430928019196</v>
      </c>
      <c r="D91" s="1909" t="s">
        <v>1814</v>
      </c>
      <c r="E91" s="1913">
        <f t="shared" si="39"/>
        <v>67.399999999999991</v>
      </c>
      <c r="F91" s="1913">
        <f t="shared" si="40"/>
        <v>359.99999999999989</v>
      </c>
      <c r="G91" s="1913">
        <f t="shared" si="40"/>
        <v>0.8999999999999998</v>
      </c>
      <c r="H91" s="691">
        <v>643.40330445484938</v>
      </c>
      <c r="I91" s="3336">
        <v>3.4365755134086902</v>
      </c>
      <c r="J91" s="3337">
        <v>8.5914387835217265E-3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40</v>
      </c>
      <c r="D94" s="1909" t="s">
        <v>1814</v>
      </c>
      <c r="E94" s="1913">
        <f t="shared" ref="E94:E95" si="43">IFERROR(H94*1000/$C94,"NA")</f>
        <v>51.411918339265</v>
      </c>
      <c r="F94" s="1913">
        <f t="shared" si="42"/>
        <v>243</v>
      </c>
      <c r="G94" s="1913">
        <f t="shared" si="42"/>
        <v>1</v>
      </c>
      <c r="H94" s="691">
        <v>2.0564767335706002</v>
      </c>
      <c r="I94" s="3336">
        <v>9.7199999999999995E-3</v>
      </c>
      <c r="J94" s="3337">
        <v>4.0000000000000003E-5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3971.6088232122479</v>
      </c>
      <c r="D96" s="1909" t="s">
        <v>1814</v>
      </c>
      <c r="E96" s="628"/>
      <c r="F96" s="628"/>
      <c r="G96" s="628"/>
      <c r="H96" s="1913">
        <f>IF(SUM(H97:H98)=0,"NO",SUM(H97:H98))</f>
        <v>357.41792674145785</v>
      </c>
      <c r="I96" s="3334">
        <f>IF(SUM(I97:I98)=0,"NE",SUM(I97:I98))</f>
        <v>0.12704000000000001</v>
      </c>
      <c r="J96" s="3335">
        <f>IF(SUM(J97:J98)=0,"NE",SUM(J97:J98))</f>
        <v>3.9700000000000004E-3</v>
      </c>
    </row>
    <row r="97" spans="2:10" ht="18" customHeight="1" x14ac:dyDescent="0.2">
      <c r="B97" s="2572" t="s">
        <v>2260</v>
      </c>
      <c r="C97" s="691">
        <v>3970</v>
      </c>
      <c r="D97" s="1909" t="s">
        <v>1814</v>
      </c>
      <c r="E97" s="3103">
        <f t="shared" ref="E97" si="44">IFERROR(H97*1000/$C97,"NA")</f>
        <v>90.000000000000014</v>
      </c>
      <c r="F97" s="3103">
        <f>IFERROR(I97*1000000/$C97,"NA")</f>
        <v>32.000000000000007</v>
      </c>
      <c r="G97" s="3103">
        <f>IFERROR(J97*1000000/$C97,"NA")</f>
        <v>1.0000000000000002</v>
      </c>
      <c r="H97" s="691">
        <v>357.30000000000007</v>
      </c>
      <c r="I97" s="3336">
        <v>0.12704000000000001</v>
      </c>
      <c r="J97" s="3337">
        <v>3.9700000000000004E-3</v>
      </c>
    </row>
    <row r="98" spans="2:10" ht="18" customHeight="1" x14ac:dyDescent="0.2">
      <c r="B98" s="2572" t="s">
        <v>252</v>
      </c>
      <c r="C98" s="691">
        <v>1.6088232122480202</v>
      </c>
      <c r="D98" s="1909" t="s">
        <v>1814</v>
      </c>
      <c r="E98" s="3103">
        <f t="shared" ref="E98" si="45">IFERROR(H98*1000/$C98,"NA")</f>
        <v>73.299999999999983</v>
      </c>
      <c r="F98" s="3103" t="str">
        <f>IFERROR(I98*1000000/$C98,"NA")</f>
        <v>NA</v>
      </c>
      <c r="G98" s="3103" t="str">
        <f>IFERROR(J98*1000000/$C98,"NA")</f>
        <v>NA</v>
      </c>
      <c r="H98" s="691">
        <v>0.11792674145777986</v>
      </c>
      <c r="I98" s="3336" t="s">
        <v>2154</v>
      </c>
      <c r="J98" s="3337" t="s">
        <v>2154</v>
      </c>
    </row>
    <row r="99" spans="2:10" ht="18" customHeight="1" x14ac:dyDescent="0.2">
      <c r="B99" s="1241" t="s">
        <v>193</v>
      </c>
      <c r="C99" s="1913">
        <f>IF(SUM(C100:C104)=0,"NO",SUM(C100:C104))</f>
        <v>5693.3164808128859</v>
      </c>
      <c r="D99" s="1909" t="s">
        <v>1814</v>
      </c>
      <c r="E99" s="628"/>
      <c r="F99" s="628"/>
      <c r="G99" s="628"/>
      <c r="H99" s="1913">
        <f>IF(SUM(H100:H103)=0,"NO",SUM(H100:H103))</f>
        <v>301.35184323117301</v>
      </c>
      <c r="I99" s="1913">
        <f>IF(SUM(I100:I104)=0,"NO",SUM(I100:I104))</f>
        <v>6.8310675566910187E-2</v>
      </c>
      <c r="J99" s="3085">
        <f>IF(SUM(J100:J104)=0,"NO",SUM(J100:J104))</f>
        <v>6.2320982555531194E-4</v>
      </c>
    </row>
    <row r="100" spans="2:10" ht="18" customHeight="1" x14ac:dyDescent="0.2">
      <c r="B100" s="282" t="s">
        <v>132</v>
      </c>
      <c r="C100" s="1913">
        <f>IF(SUM(C106,C113:C116)=0,"NO",SUM(C106,C113:C116))</f>
        <v>579.68280429472293</v>
      </c>
      <c r="D100" s="1909" t="s">
        <v>1814</v>
      </c>
      <c r="E100" s="3103">
        <f t="shared" ref="E100:E104" si="46">IFERROR(H100*1000/$C100,"NA")</f>
        <v>65.814805837750882</v>
      </c>
      <c r="F100" s="3103">
        <f t="shared" ref="F100:G104" si="47">IFERROR(I100*1000000/$C100,"NA")</f>
        <v>48.82403993898432</v>
      </c>
      <c r="G100" s="3103">
        <f t="shared" si="47"/>
        <v>0.19529615975593728</v>
      </c>
      <c r="H100" s="1913">
        <f>IF(SUM(H106,H113:H116)=0,"NO",SUM(H106,H113:H116))</f>
        <v>38.151711212140128</v>
      </c>
      <c r="I100" s="1913">
        <f>IF(SUM(I106,I113:I116)=0,"NO",SUM(I106,I113:I116))</f>
        <v>2.8302456388827984E-2</v>
      </c>
      <c r="J100" s="3085">
        <f>IF(SUM(J106,J113:J116)=0,"NO",SUM(J106,J113:J116))</f>
        <v>1.1320982555531194E-4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5100</v>
      </c>
      <c r="D102" s="1909" t="s">
        <v>1814</v>
      </c>
      <c r="E102" s="3103">
        <f t="shared" si="46"/>
        <v>51.411918339265007</v>
      </c>
      <c r="F102" s="3103">
        <f t="shared" si="47"/>
        <v>7.8447488584474891</v>
      </c>
      <c r="G102" s="3103">
        <f t="shared" si="47"/>
        <v>0.1</v>
      </c>
      <c r="H102" s="1913">
        <f t="shared" si="48"/>
        <v>262.20078353025156</v>
      </c>
      <c r="I102" s="1913">
        <f t="shared" si="48"/>
        <v>4.0008219178082199E-2</v>
      </c>
      <c r="J102" s="3085">
        <f t="shared" si="48"/>
        <v>5.1000000000000004E-4</v>
      </c>
    </row>
    <row r="103" spans="2:10" ht="18" customHeight="1" x14ac:dyDescent="0.2">
      <c r="B103" s="282" t="s">
        <v>175</v>
      </c>
      <c r="C103" s="1913">
        <f>IF(SUM(C109,C120)=0,"NO",SUM(C109,C120))</f>
        <v>13.633676518162799</v>
      </c>
      <c r="D103" s="1909" t="s">
        <v>1814</v>
      </c>
      <c r="E103" s="3103">
        <f t="shared" si="46"/>
        <v>73.299999999999983</v>
      </c>
      <c r="F103" s="3103" t="str">
        <f t="shared" si="47"/>
        <v>NA</v>
      </c>
      <c r="G103" s="3103" t="str">
        <f t="shared" si="47"/>
        <v>NA</v>
      </c>
      <c r="H103" s="1913">
        <f t="shared" si="48"/>
        <v>0.99934848878133287</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5100</v>
      </c>
      <c r="D105" s="1909" t="s">
        <v>1814</v>
      </c>
      <c r="E105" s="628"/>
      <c r="F105" s="628"/>
      <c r="G105" s="628"/>
      <c r="H105" s="1913">
        <f>IF(SUM(H106:H109)=0,"NO",SUM(H106:H109))</f>
        <v>262.20078353025156</v>
      </c>
      <c r="I105" s="1913">
        <f>IF(SUM(I106:I110)=0,"NO",SUM(I106:I110))</f>
        <v>4.0008219178082199E-2</v>
      </c>
      <c r="J105" s="3085">
        <f>IF(SUM(J106:J110)=0,"NO",SUM(J106:J110))</f>
        <v>5.1000000000000004E-4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5100</v>
      </c>
      <c r="D108" s="1909" t="s">
        <v>1814</v>
      </c>
      <c r="E108" s="3103">
        <f t="shared" si="49"/>
        <v>51.411918339265007</v>
      </c>
      <c r="F108" s="3103">
        <f t="shared" si="50"/>
        <v>7.8447488584474891</v>
      </c>
      <c r="G108" s="3103">
        <f t="shared" si="50"/>
        <v>0.1</v>
      </c>
      <c r="H108" s="691">
        <v>262.20078353025156</v>
      </c>
      <c r="I108" s="691">
        <v>4.0008219178082199E-2</v>
      </c>
      <c r="J108" s="2911">
        <v>5.1000000000000004E-4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593.31648081288574</v>
      </c>
      <c r="D111" s="1909" t="s">
        <v>1814</v>
      </c>
      <c r="E111" s="628"/>
      <c r="F111" s="628"/>
      <c r="G111" s="628"/>
      <c r="H111" s="1913">
        <f>H112</f>
        <v>39.151059700921458</v>
      </c>
      <c r="I111" s="1913">
        <f>I112</f>
        <v>2.8302456388827984E-2</v>
      </c>
      <c r="J111" s="3085">
        <f>J112</f>
        <v>1.1320982555531194E-4</v>
      </c>
    </row>
    <row r="112" spans="2:10" ht="18" customHeight="1" x14ac:dyDescent="0.2">
      <c r="B112" s="3089" t="s">
        <v>2148</v>
      </c>
      <c r="C112" s="3099">
        <f>IF(SUM(C113:C116,C118:C121)=0,"NO",SUM(C113:C116,C118:C121))</f>
        <v>593.31648081288574</v>
      </c>
      <c r="D112" s="3099" t="s">
        <v>1814</v>
      </c>
      <c r="E112" s="628"/>
      <c r="F112" s="628"/>
      <c r="G112" s="628"/>
      <c r="H112" s="3099">
        <f>IF(SUM(H113:H116,H118:H120)=0,"NO",SUM(H113:H116,H118:H120))</f>
        <v>39.151059700921458</v>
      </c>
      <c r="I112" s="3099">
        <f>IF(SUM(I113:I116,I118:I121)=0,"NO",SUM(I113:I116,I118:I121))</f>
        <v>2.8302456388827984E-2</v>
      </c>
      <c r="J112" s="3100">
        <f>IF(SUM(J113:J116,J118:J121)=0,"NO",SUM(J113:J116,J118:J121))</f>
        <v>1.1320982555531194E-4</v>
      </c>
    </row>
    <row r="113" spans="2:10" ht="18" customHeight="1" x14ac:dyDescent="0.2">
      <c r="B113" s="282" t="s">
        <v>167</v>
      </c>
      <c r="C113" s="691">
        <v>579.68280429472293</v>
      </c>
      <c r="D113" s="1913" t="s">
        <v>1814</v>
      </c>
      <c r="E113" s="1913">
        <f t="shared" ref="E113:E115" si="51">IFERROR(H113*1000/$C113,"NA")</f>
        <v>65.814805837750882</v>
      </c>
      <c r="F113" s="1913">
        <f t="shared" ref="F113:G115" si="52">IFERROR(I113*1000000/$C113,"NA")</f>
        <v>48.82403993898432</v>
      </c>
      <c r="G113" s="1913">
        <f t="shared" si="52"/>
        <v>0.19529615975593728</v>
      </c>
      <c r="H113" s="691">
        <v>38.151711212140128</v>
      </c>
      <c r="I113" s="691">
        <v>2.8302456388827984E-2</v>
      </c>
      <c r="J113" s="2911">
        <v>1.1320982555531194E-4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13.633676518162799</v>
      </c>
      <c r="D120" s="1909" t="s">
        <v>1814</v>
      </c>
      <c r="E120" s="3103">
        <f t="shared" si="53"/>
        <v>73.299999999999983</v>
      </c>
      <c r="F120" s="3103" t="str">
        <f t="shared" si="54"/>
        <v>NA</v>
      </c>
      <c r="G120" s="3103" t="str">
        <f t="shared" si="54"/>
        <v>NA</v>
      </c>
      <c r="H120" s="691">
        <v>0.99934848878133287</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307677.1769125344</v>
      </c>
      <c r="D10" s="3109" t="s">
        <v>1814</v>
      </c>
      <c r="E10" s="2135"/>
      <c r="F10" s="2135"/>
      <c r="G10" s="2135"/>
      <c r="H10" s="3109">
        <f>IF(SUM(H11:H15)=0,"NO",SUM(H11:H15))</f>
        <v>13489.892046300974</v>
      </c>
      <c r="I10" s="3109">
        <f>IF(SUM(I11:I16)=0,"NO",SUM(I11:I16))</f>
        <v>102.60616375731036</v>
      </c>
      <c r="J10" s="3109">
        <f>IF(SUM(J11:J16)=0,"NO",SUM(J11:J16))</f>
        <v>0.55695757984167849</v>
      </c>
      <c r="K10" s="420" t="str">
        <f>IF(SUM(K11:K16)=0,"NO",SUM(K11:K16))</f>
        <v>NO</v>
      </c>
    </row>
    <row r="11" spans="2:12" ht="18" customHeight="1" x14ac:dyDescent="0.2">
      <c r="B11" s="282" t="s">
        <v>132</v>
      </c>
      <c r="C11" s="1913">
        <f>IF(SUM(C18,C39,C60)=0,"NO",SUM(C18,C39,C60))</f>
        <v>90631.766912534396</v>
      </c>
      <c r="D11" s="3109" t="s">
        <v>1814</v>
      </c>
      <c r="E11" s="1913">
        <f t="shared" ref="E11:E16" si="0">IFERROR(H11*1000/$C11,"NA")</f>
        <v>68.003755879230752</v>
      </c>
      <c r="F11" s="1913">
        <f t="shared" ref="F11:G16" si="1">IFERROR(I11*1000000/$C11,"NA")</f>
        <v>9.5246188339460929</v>
      </c>
      <c r="G11" s="1913">
        <f t="shared" si="1"/>
        <v>2.56743214545916</v>
      </c>
      <c r="H11" s="1913">
        <f>IF(SUM(H18,H39,H60)=0,"NO",SUM(H18,H39,H60))</f>
        <v>6163.3005520233328</v>
      </c>
      <c r="I11" s="1913">
        <f>IF(SUM(I18,I39,I60)=0,"NO",SUM(I18,I39,I60))</f>
        <v>0.86323303408893748</v>
      </c>
      <c r="J11" s="1913">
        <f>IF(SUM(J18,J39,J60)=0,"NO",SUM(J18,J39,J60))</f>
        <v>0.23269091177100268</v>
      </c>
      <c r="K11" s="3085" t="str">
        <f>IF(SUM(K18,K39,K60)=0,"NO",SUM(K18,K39,K60))</f>
        <v>NO</v>
      </c>
    </row>
    <row r="12" spans="2:12" ht="18" customHeight="1" x14ac:dyDescent="0.2">
      <c r="B12" s="282" t="s">
        <v>133</v>
      </c>
      <c r="C12" s="1913">
        <f t="shared" ref="C12:C16" si="2">IF(SUM(C19,C40,C61)=0,"NO",SUM(C19,C40,C61))</f>
        <v>4800.0999999999995</v>
      </c>
      <c r="D12" s="3109" t="s">
        <v>1814</v>
      </c>
      <c r="E12" s="1913">
        <f t="shared" si="0"/>
        <v>92.083289931459774</v>
      </c>
      <c r="F12" s="1913">
        <f t="shared" si="1"/>
        <v>0.95238095238095266</v>
      </c>
      <c r="G12" s="1913">
        <f t="shared" si="1"/>
        <v>0.66666666666666674</v>
      </c>
      <c r="H12" s="1913">
        <f t="shared" ref="H12:K16" si="3">IF(SUM(H19,H40,H61)=0,"NO",SUM(H19,H40,H61))</f>
        <v>442.00900000000001</v>
      </c>
      <c r="I12" s="1913">
        <f t="shared" si="3"/>
        <v>4.57152380952381E-3</v>
      </c>
      <c r="J12" s="1913">
        <f t="shared" si="3"/>
        <v>3.2000666666666664E-3</v>
      </c>
      <c r="K12" s="3085" t="str">
        <f t="shared" si="3"/>
        <v>NO</v>
      </c>
    </row>
    <row r="13" spans="2:12" ht="18" customHeight="1" x14ac:dyDescent="0.2">
      <c r="B13" s="282" t="s">
        <v>134</v>
      </c>
      <c r="C13" s="1913">
        <f t="shared" si="2"/>
        <v>133500</v>
      </c>
      <c r="D13" s="3109" t="s">
        <v>1814</v>
      </c>
      <c r="E13" s="1913">
        <f t="shared" si="0"/>
        <v>51.569906324177104</v>
      </c>
      <c r="F13" s="1913">
        <f t="shared" si="1"/>
        <v>0.90909090909090917</v>
      </c>
      <c r="G13" s="1913">
        <f t="shared" si="1"/>
        <v>0.90909090909090917</v>
      </c>
      <c r="H13" s="1913">
        <f t="shared" si="3"/>
        <v>6884.5824942776426</v>
      </c>
      <c r="I13" s="1913">
        <f t="shared" si="3"/>
        <v>0.12136363636363637</v>
      </c>
      <c r="J13" s="1913">
        <f t="shared" si="3"/>
        <v>0.12136363636363637</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78745.31</v>
      </c>
      <c r="D16" s="3109" t="s">
        <v>1814</v>
      </c>
      <c r="E16" s="1913">
        <f t="shared" si="0"/>
        <v>70.576069863716327</v>
      </c>
      <c r="F16" s="1913">
        <f t="shared" si="1"/>
        <v>1290.4514003824261</v>
      </c>
      <c r="G16" s="1913">
        <f t="shared" si="1"/>
        <v>2.5360617037430266</v>
      </c>
      <c r="H16" s="1913">
        <f t="shared" si="3"/>
        <v>5557.5344999999998</v>
      </c>
      <c r="I16" s="1913">
        <f t="shared" si="3"/>
        <v>101.61699556304826</v>
      </c>
      <c r="J16" s="1913">
        <f t="shared" si="3"/>
        <v>0.19970296504037277</v>
      </c>
      <c r="K16" s="3085" t="str">
        <f t="shared" si="3"/>
        <v>NO</v>
      </c>
    </row>
    <row r="17" spans="2:11" ht="18" customHeight="1" x14ac:dyDescent="0.2">
      <c r="B17" s="1241" t="s">
        <v>1942</v>
      </c>
      <c r="C17" s="3109">
        <f>IF(SUM(C18:C23)=0,"NO",SUM(C18:C23))</f>
        <v>63565.409999999996</v>
      </c>
      <c r="D17" s="3109" t="s">
        <v>1814</v>
      </c>
      <c r="E17" s="628"/>
      <c r="F17" s="628"/>
      <c r="G17" s="628"/>
      <c r="H17" s="3078">
        <f>IF(SUM(H18:H22)=0,"NO",SUM(H18:H22))</f>
        <v>3742.1315132242171</v>
      </c>
      <c r="I17" s="3078">
        <f>IF(SUM(I18:I23)=0,"NO",SUM(I18:I23))</f>
        <v>6.0089246428571434E-2</v>
      </c>
      <c r="J17" s="3110">
        <f>IF(SUM(J18:J23)=0,"NO",SUM(J18:J23))</f>
        <v>7.6035327380952381E-2</v>
      </c>
      <c r="K17" s="3085" t="str">
        <f>IF(SUM(K18:K23)=0,"NO",SUM(K18:K23))</f>
        <v>NO</v>
      </c>
    </row>
    <row r="18" spans="2:11" ht="18" customHeight="1" x14ac:dyDescent="0.2">
      <c r="B18" s="282" t="s">
        <v>132</v>
      </c>
      <c r="C18" s="3109">
        <f>IF(SUM(C26,C33)=0,"NO",SUM(C26,C33))</f>
        <v>20220</v>
      </c>
      <c r="D18" s="3109" t="s">
        <v>1814</v>
      </c>
      <c r="E18" s="1913">
        <f t="shared" ref="E18" si="4">IFERROR(H18*1000/$C18,"NA")</f>
        <v>66.400197823936693</v>
      </c>
      <c r="F18" s="1913">
        <f t="shared" ref="F18:G23" si="5">IFERROR(I18*1000000/$C18,"NA")</f>
        <v>0.87230935895624317</v>
      </c>
      <c r="G18" s="1913">
        <f t="shared" si="5"/>
        <v>1.7814516508878524</v>
      </c>
      <c r="H18" s="3109">
        <f>IF(SUM(H26,H33)=0,"NO",SUM(H26,H33))</f>
        <v>1342.6120000000001</v>
      </c>
      <c r="I18" s="3109">
        <f>IF(SUM(I26,I33)=0,"NO",SUM(I26,I33))</f>
        <v>1.7638095238095237E-2</v>
      </c>
      <c r="J18" s="3109">
        <f>IF(SUM(J26,J33)=0,"NO",SUM(J26,J33))</f>
        <v>3.6020952380952376E-2</v>
      </c>
      <c r="K18" s="3085" t="str">
        <f>IF(SUM(K26,K33)=0,"NO",SUM(K26,K33))</f>
        <v>NO</v>
      </c>
    </row>
    <row r="19" spans="2:11" ht="18" customHeight="1" x14ac:dyDescent="0.2">
      <c r="B19" s="282" t="s">
        <v>133</v>
      </c>
      <c r="C19" s="3109">
        <f t="shared" ref="C19:C21" si="6">IF(SUM(C27,C34)=0,"NO",SUM(C27,C34))</f>
        <v>4500.0999999999995</v>
      </c>
      <c r="D19" s="3109" t="s">
        <v>1814</v>
      </c>
      <c r="E19" s="1913">
        <f t="shared" ref="E19:E23" si="7">IFERROR(H19*1000/$C19,"NA")</f>
        <v>91.999955556543199</v>
      </c>
      <c r="F19" s="1913">
        <f t="shared" si="5"/>
        <v>0.95238095238095255</v>
      </c>
      <c r="G19" s="1913">
        <f t="shared" si="5"/>
        <v>0.66666666666666663</v>
      </c>
      <c r="H19" s="3109">
        <f t="shared" ref="H19:K21" si="8">IF(SUM(H27,H34)=0,"NO",SUM(H27,H34))</f>
        <v>414.00900000000001</v>
      </c>
      <c r="I19" s="3109">
        <f t="shared" si="8"/>
        <v>4.2858095238095242E-3</v>
      </c>
      <c r="J19" s="3109">
        <f t="shared" si="8"/>
        <v>3.0000666666666663E-3</v>
      </c>
      <c r="K19" s="3085" t="str">
        <f t="shared" si="8"/>
        <v>NO</v>
      </c>
    </row>
    <row r="20" spans="2:11" ht="18" customHeight="1" x14ac:dyDescent="0.2">
      <c r="B20" s="282" t="s">
        <v>134</v>
      </c>
      <c r="C20" s="3109">
        <f t="shared" si="6"/>
        <v>38500</v>
      </c>
      <c r="D20" s="3109" t="s">
        <v>1814</v>
      </c>
      <c r="E20" s="1913">
        <f t="shared" si="7"/>
        <v>51.571701642187456</v>
      </c>
      <c r="F20" s="1913">
        <f t="shared" si="5"/>
        <v>0.90909090909090906</v>
      </c>
      <c r="G20" s="1913">
        <f t="shared" si="5"/>
        <v>0.90909090909090906</v>
      </c>
      <c r="H20" s="3109">
        <f t="shared" si="8"/>
        <v>1985.5105132242172</v>
      </c>
      <c r="I20" s="3109">
        <f t="shared" si="8"/>
        <v>3.5000000000000003E-2</v>
      </c>
      <c r="J20" s="3109">
        <f t="shared" si="8"/>
        <v>3.5000000000000003E-2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63565.409999999996</v>
      </c>
      <c r="D25" s="3078" t="s">
        <v>1814</v>
      </c>
      <c r="E25" s="628"/>
      <c r="F25" s="628"/>
      <c r="G25" s="628"/>
      <c r="H25" s="3078">
        <f>IF(SUM(H26:H30)=0,"NO",SUM(H26:H30))</f>
        <v>3742.1315132242171</v>
      </c>
      <c r="I25" s="3078">
        <f>IF(SUM(I26:I31)=0,"NO",SUM(I26:I31))</f>
        <v>6.0089246428571434E-2</v>
      </c>
      <c r="J25" s="3110">
        <f>IF(SUM(J26:J31)=0,"NO",SUM(J26:J31))</f>
        <v>7.6035327380952381E-2</v>
      </c>
      <c r="K25" s="3085" t="str">
        <f>IF(SUM(K26:K31)=0,"NO",SUM(K26:K31))</f>
        <v>NO</v>
      </c>
    </row>
    <row r="26" spans="2:11" ht="18" customHeight="1" x14ac:dyDescent="0.2">
      <c r="B26" s="282" t="s">
        <v>132</v>
      </c>
      <c r="C26" s="691">
        <v>20220</v>
      </c>
      <c r="D26" s="3078" t="s">
        <v>1814</v>
      </c>
      <c r="E26" s="1913">
        <f t="shared" ref="E26:E31" si="9">IFERROR(H26*1000/$C26,"NA")</f>
        <v>66.400197823936693</v>
      </c>
      <c r="F26" s="1913">
        <f t="shared" ref="F26:G31" si="10">IFERROR(I26*1000000/$C26,"NA")</f>
        <v>0.87230935895624317</v>
      </c>
      <c r="G26" s="1913">
        <f t="shared" si="10"/>
        <v>1.7814516508878524</v>
      </c>
      <c r="H26" s="691">
        <v>1342.6120000000001</v>
      </c>
      <c r="I26" s="691">
        <v>1.7638095238095237E-2</v>
      </c>
      <c r="J26" s="691">
        <v>3.6020952380952376E-2</v>
      </c>
      <c r="K26" s="2911" t="s">
        <v>2146</v>
      </c>
    </row>
    <row r="27" spans="2:11" ht="18" customHeight="1" x14ac:dyDescent="0.2">
      <c r="B27" s="282" t="s">
        <v>133</v>
      </c>
      <c r="C27" s="691">
        <v>4500.0999999999995</v>
      </c>
      <c r="D27" s="3078" t="s">
        <v>1814</v>
      </c>
      <c r="E27" s="1913">
        <f t="shared" si="9"/>
        <v>91.999955556543199</v>
      </c>
      <c r="F27" s="1913">
        <f t="shared" si="10"/>
        <v>0.95238095238095255</v>
      </c>
      <c r="G27" s="1913">
        <f t="shared" si="10"/>
        <v>0.66666666666666663</v>
      </c>
      <c r="H27" s="691">
        <v>414.00900000000001</v>
      </c>
      <c r="I27" s="691">
        <v>4.2858095238095242E-3</v>
      </c>
      <c r="J27" s="691">
        <v>3.0000666666666663E-3</v>
      </c>
      <c r="K27" s="2911" t="s">
        <v>2146</v>
      </c>
    </row>
    <row r="28" spans="2:11" ht="18" customHeight="1" x14ac:dyDescent="0.2">
      <c r="B28" s="282" t="s">
        <v>134</v>
      </c>
      <c r="C28" s="691">
        <v>38500</v>
      </c>
      <c r="D28" s="3078" t="s">
        <v>1814</v>
      </c>
      <c r="E28" s="1913">
        <f t="shared" si="9"/>
        <v>51.571701642187456</v>
      </c>
      <c r="F28" s="1913">
        <f t="shared" si="10"/>
        <v>0.90909090909090906</v>
      </c>
      <c r="G28" s="1913">
        <f t="shared" si="10"/>
        <v>0.90909090909090906</v>
      </c>
      <c r="H28" s="691">
        <v>1985.5105132242172</v>
      </c>
      <c r="I28" s="691">
        <v>3.5000000000000003E-2</v>
      </c>
      <c r="J28" s="691">
        <v>3.5000000000000003E-2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194201.76691253443</v>
      </c>
      <c r="D38" s="3078" t="s">
        <v>1814</v>
      </c>
      <c r="E38" s="628"/>
      <c r="F38" s="628"/>
      <c r="G38" s="628"/>
      <c r="H38" s="1913">
        <f>IF(SUM(H39:H43)=0,"NO",SUM(H39:H43))</f>
        <v>6265.910533076757</v>
      </c>
      <c r="I38" s="1913">
        <f>IF(SUM(I39:I44)=0,"NO",SUM(I39:I44))</f>
        <v>102.36234117754844</v>
      </c>
      <c r="J38" s="1913">
        <f>IF(SUM(J39:J44)=0,"NO",SUM(J39:J44))</f>
        <v>0.29580796674644039</v>
      </c>
      <c r="K38" s="3085" t="str">
        <f>IF(SUM(K39:K44)=0,"NO",SUM(K39:K44))</f>
        <v>NO</v>
      </c>
    </row>
    <row r="39" spans="2:11" ht="18" customHeight="1" x14ac:dyDescent="0.2">
      <c r="B39" s="282" t="s">
        <v>132</v>
      </c>
      <c r="C39" s="3109">
        <f>IF(SUM(C47,C54)=0,"NO",SUM(C47,C54))</f>
        <v>20501.766912534396</v>
      </c>
      <c r="D39" s="3078" t="s">
        <v>1814</v>
      </c>
      <c r="E39" s="1913">
        <f t="shared" ref="E39:E44" si="13">IFERROR(H39*1000/$C39,"NA")</f>
        <v>65.30356908919839</v>
      </c>
      <c r="F39" s="1913">
        <f t="shared" ref="F39:G44" si="14">IFERROR(I39*1000000/$C39,"NA")</f>
        <v>32.28314946419858</v>
      </c>
      <c r="G39" s="1913">
        <f t="shared" si="14"/>
        <v>0.56364281796119831</v>
      </c>
      <c r="H39" s="1913">
        <f>IF(SUM(H47,H54)=0,"NO",SUM(H47,H54))</f>
        <v>1338.8385520233317</v>
      </c>
      <c r="I39" s="1913">
        <f>IF(SUM(I47,I54)=0,"NO",SUM(I47,I54))</f>
        <v>0.66186160551750894</v>
      </c>
      <c r="J39" s="1913">
        <f>IF(SUM(J47,J54)=0,"NO",SUM(J47,J54))</f>
        <v>1.1555673675764542E-2</v>
      </c>
      <c r="K39" s="3085" t="str">
        <f>IF(SUM(K47,K54)=0,"NO",SUM(K47,K54))</f>
        <v>NO</v>
      </c>
    </row>
    <row r="40" spans="2:11" ht="18" customHeight="1" x14ac:dyDescent="0.2">
      <c r="B40" s="282" t="s">
        <v>133</v>
      </c>
      <c r="C40" s="3109">
        <f t="shared" ref="C40:C42" si="15">IF(SUM(C48,C55)=0,"NO",SUM(C48,C55))</f>
        <v>300.00000000000006</v>
      </c>
      <c r="D40" s="3078" t="s">
        <v>1814</v>
      </c>
      <c r="E40" s="1913">
        <f t="shared" si="13"/>
        <v>93.333333333333314</v>
      </c>
      <c r="F40" s="1913">
        <f t="shared" si="14"/>
        <v>0.95238095238095222</v>
      </c>
      <c r="G40" s="1913">
        <f t="shared" si="14"/>
        <v>0.66666666666666641</v>
      </c>
      <c r="H40" s="1913">
        <f t="shared" ref="H40:K42" si="16">IF(SUM(H48,H55)=0,"NO",SUM(H48,H55))</f>
        <v>28</v>
      </c>
      <c r="I40" s="1913">
        <f t="shared" si="16"/>
        <v>2.8571428571428574E-4</v>
      </c>
      <c r="J40" s="1913">
        <f t="shared" si="16"/>
        <v>1.9999999999999998E-4</v>
      </c>
      <c r="K40" s="3085" t="str">
        <f t="shared" si="16"/>
        <v>NO</v>
      </c>
    </row>
    <row r="41" spans="2:11" ht="18" customHeight="1" x14ac:dyDescent="0.2">
      <c r="B41" s="282" t="s">
        <v>134</v>
      </c>
      <c r="C41" s="3109">
        <f t="shared" si="15"/>
        <v>95000.000000000015</v>
      </c>
      <c r="D41" s="3078" t="s">
        <v>1814</v>
      </c>
      <c r="E41" s="1913">
        <f t="shared" si="13"/>
        <v>51.569178747930792</v>
      </c>
      <c r="F41" s="1913">
        <f t="shared" si="14"/>
        <v>0.90909090909090895</v>
      </c>
      <c r="G41" s="1913">
        <f t="shared" si="14"/>
        <v>0.90909090909090895</v>
      </c>
      <c r="H41" s="1913">
        <f t="shared" si="16"/>
        <v>4899.0719810534256</v>
      </c>
      <c r="I41" s="1913">
        <f t="shared" si="16"/>
        <v>8.6363636363636365E-2</v>
      </c>
      <c r="J41" s="1913">
        <f t="shared" si="16"/>
        <v>8.6363636363636365E-2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78400</v>
      </c>
      <c r="D44" s="3078" t="s">
        <v>1814</v>
      </c>
      <c r="E44" s="1913">
        <f t="shared" si="13"/>
        <v>70.472899999999996</v>
      </c>
      <c r="F44" s="1913">
        <f t="shared" si="14"/>
        <v>1296.094773231908</v>
      </c>
      <c r="G44" s="1913">
        <f t="shared" si="14"/>
        <v>2.5215389886101969</v>
      </c>
      <c r="H44" s="1913">
        <f>IF(SUM(H52,H58)=0,"NO",SUM(H52,H58))</f>
        <v>5525.0753599999998</v>
      </c>
      <c r="I44" s="1913">
        <f>IF(SUM(I52,I58)=0,"NO",SUM(I52,I58))</f>
        <v>101.61383022138159</v>
      </c>
      <c r="J44" s="1913">
        <f>IF(SUM(J52,J58)=0,"NO",SUM(J52,J58))</f>
        <v>0.19768865670703945</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190606.97050938339</v>
      </c>
      <c r="D46" s="3078" t="s">
        <v>1814</v>
      </c>
      <c r="E46" s="628"/>
      <c r="F46" s="628"/>
      <c r="G46" s="628"/>
      <c r="H46" s="1913">
        <f>IF(SUM(H47:H51)=0,"NO",SUM(H47:H51))</f>
        <v>6023.1922491499408</v>
      </c>
      <c r="I46" s="1913">
        <f>IF(SUM(I47:I52)=0,"NO",SUM(I47:I52))</f>
        <v>101.7283661544387</v>
      </c>
      <c r="J46" s="1913">
        <f>IF(SUM(J47:J52)=0,"NO",SUM(J47:J52))</f>
        <v>0.29439913336175205</v>
      </c>
      <c r="K46" s="3085" t="str">
        <f>IF(SUM(K47:K52)=0,"NO",SUM(K47:K52))</f>
        <v>NO</v>
      </c>
    </row>
    <row r="47" spans="2:11" ht="18" customHeight="1" x14ac:dyDescent="0.2">
      <c r="B47" s="282" t="s">
        <v>132</v>
      </c>
      <c r="C47" s="691">
        <v>16906.970509383376</v>
      </c>
      <c r="D47" s="3078" t="s">
        <v>1814</v>
      </c>
      <c r="E47" s="1913">
        <f t="shared" ref="E47:E52" si="17">IFERROR(H47*1000/$C47,"NA")</f>
        <v>64.83244691816121</v>
      </c>
      <c r="F47" s="1913">
        <f t="shared" ref="F47:G52" si="18">IFERROR(I47*1000000/$C47,"NA")</f>
        <v>1.6494133228827108</v>
      </c>
      <c r="G47" s="1913">
        <f t="shared" si="18"/>
        <v>0.6001572124021104</v>
      </c>
      <c r="H47" s="691">
        <v>1096.1202680965148</v>
      </c>
      <c r="I47" s="691">
        <v>2.7886582407762033E-2</v>
      </c>
      <c r="J47" s="691">
        <v>1.0146840291076216E-2</v>
      </c>
      <c r="K47" s="2911" t="s">
        <v>2146</v>
      </c>
    </row>
    <row r="48" spans="2:11" ht="18" customHeight="1" x14ac:dyDescent="0.2">
      <c r="B48" s="282" t="s">
        <v>133</v>
      </c>
      <c r="C48" s="691">
        <v>300.00000000000006</v>
      </c>
      <c r="D48" s="3078" t="s">
        <v>1814</v>
      </c>
      <c r="E48" s="1913">
        <f t="shared" si="17"/>
        <v>93.333333333333314</v>
      </c>
      <c r="F48" s="1913">
        <f t="shared" si="18"/>
        <v>0.95238095238095222</v>
      </c>
      <c r="G48" s="1913">
        <f t="shared" si="18"/>
        <v>0.66666666666666641</v>
      </c>
      <c r="H48" s="691">
        <v>28</v>
      </c>
      <c r="I48" s="691">
        <v>2.8571428571428574E-4</v>
      </c>
      <c r="J48" s="691">
        <v>1.9999999999999998E-4</v>
      </c>
      <c r="K48" s="2911" t="s">
        <v>2146</v>
      </c>
    </row>
    <row r="49" spans="2:11" ht="18" customHeight="1" x14ac:dyDescent="0.2">
      <c r="B49" s="282" t="s">
        <v>134</v>
      </c>
      <c r="C49" s="691">
        <v>95000.000000000015</v>
      </c>
      <c r="D49" s="3078" t="s">
        <v>1814</v>
      </c>
      <c r="E49" s="1913">
        <f t="shared" si="17"/>
        <v>51.569178747930792</v>
      </c>
      <c r="F49" s="1913">
        <f t="shared" si="18"/>
        <v>0.90909090909090895</v>
      </c>
      <c r="G49" s="1913">
        <f t="shared" si="18"/>
        <v>0.90909090909090895</v>
      </c>
      <c r="H49" s="691">
        <v>4899.0719810534256</v>
      </c>
      <c r="I49" s="691">
        <v>8.6363636363636365E-2</v>
      </c>
      <c r="J49" s="691">
        <v>8.6363636363636365E-2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78400</v>
      </c>
      <c r="D52" s="3078" t="s">
        <v>1814</v>
      </c>
      <c r="E52" s="1913">
        <f t="shared" si="17"/>
        <v>70.472899999999996</v>
      </c>
      <c r="F52" s="1913">
        <f t="shared" si="18"/>
        <v>1296.094773231908</v>
      </c>
      <c r="G52" s="1913">
        <f t="shared" si="18"/>
        <v>2.5215389886101969</v>
      </c>
      <c r="H52" s="691">
        <v>5525.0753599999998</v>
      </c>
      <c r="I52" s="691">
        <v>101.61383022138159</v>
      </c>
      <c r="J52" s="691">
        <v>0.19768865670703945</v>
      </c>
      <c r="K52" s="2911" t="s">
        <v>2146</v>
      </c>
    </row>
    <row r="53" spans="2:11" ht="18" customHeight="1" x14ac:dyDescent="0.2">
      <c r="B53" s="1242" t="s">
        <v>205</v>
      </c>
      <c r="C53" s="3078">
        <f>IF(SUM(C54:C58)=0,"NO",SUM(C54:C58))</f>
        <v>3594.7964031510196</v>
      </c>
      <c r="D53" s="3078" t="s">
        <v>1814</v>
      </c>
      <c r="E53" s="628"/>
      <c r="F53" s="628"/>
      <c r="G53" s="628"/>
      <c r="H53" s="3078">
        <f>IF(SUM(H54:H57)=0,"NO",SUM(H54:H57))</f>
        <v>242.71828392681678</v>
      </c>
      <c r="I53" s="3078">
        <f>IF(SUM(I54:I58)=0,"NO",SUM(I54:I58))</f>
        <v>0.63397502310974696</v>
      </c>
      <c r="J53" s="3078">
        <f>IF(SUM(J54:J58)=0,"NO",SUM(J54:J58))</f>
        <v>1.4088333846883267E-3</v>
      </c>
      <c r="K53" s="2921"/>
    </row>
    <row r="54" spans="2:11" ht="18" customHeight="1" x14ac:dyDescent="0.2">
      <c r="B54" s="282" t="s">
        <v>132</v>
      </c>
      <c r="C54" s="691">
        <v>3594.7964031510196</v>
      </c>
      <c r="D54" s="3078" t="s">
        <v>1814</v>
      </c>
      <c r="E54" s="1913">
        <f t="shared" ref="E54:E58" si="19">IFERROR(H54*1000/$C54,"NA")</f>
        <v>67.519340932371577</v>
      </c>
      <c r="F54" s="1913">
        <f t="shared" ref="F54:G58" si="20">IFERROR(I54*1000000/$C54,"NA")</f>
        <v>176.35909019883186</v>
      </c>
      <c r="G54" s="1913">
        <f t="shared" si="20"/>
        <v>0.39190908933073748</v>
      </c>
      <c r="H54" s="691">
        <v>242.71828392681678</v>
      </c>
      <c r="I54" s="691">
        <v>0.63397502310974696</v>
      </c>
      <c r="J54" s="691">
        <v>1.4088333846883267E-3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49910.000000000007</v>
      </c>
      <c r="D59" s="3078" t="s">
        <v>1814</v>
      </c>
      <c r="E59" s="628"/>
      <c r="F59" s="628"/>
      <c r="G59" s="628"/>
      <c r="H59" s="1913">
        <f>IF(SUM(H60:H64)=0,"NO",SUM(H60:H64))</f>
        <v>3481.8500000000008</v>
      </c>
      <c r="I59" s="1913">
        <f>IF(SUM(I60:I65)=0,"NO",SUM(I60:I65))</f>
        <v>0.18373333333333333</v>
      </c>
      <c r="J59" s="1913">
        <f>IF(SUM(J60:J65)=0,"NO",SUM(J60:J65))</f>
        <v>0.18511428571428576</v>
      </c>
      <c r="K59" s="3085" t="str">
        <f>IF(SUM(K60:K65)=0,"NO",SUM(K60:K65))</f>
        <v>NO</v>
      </c>
    </row>
    <row r="60" spans="2:11" ht="18" customHeight="1" x14ac:dyDescent="0.2">
      <c r="B60" s="282" t="s">
        <v>132</v>
      </c>
      <c r="C60" s="1913">
        <f>IF(SUM(C67,C74:C77,C84:C87)=0,"NO",SUM(C67,C74:C77,C84:C87))</f>
        <v>49910.000000000007</v>
      </c>
      <c r="D60" s="3078" t="s">
        <v>1814</v>
      </c>
      <c r="E60" s="1913">
        <f t="shared" ref="E60:E65" si="21">IFERROR(H60*1000/$C60,"NA")</f>
        <v>69.762572630735335</v>
      </c>
      <c r="F60" s="1913">
        <f t="shared" ref="F60:G65" si="22">IFERROR(I60*1000000/$C60,"NA")</f>
        <v>3.6812929940559669</v>
      </c>
      <c r="G60" s="1913">
        <f t="shared" si="22"/>
        <v>3.7089618456078091</v>
      </c>
      <c r="H60" s="1913">
        <f>IF(SUM(H67,H74:H77,H84:H87)=0,"NO",SUM(H67,H74:H77,H84:H87))</f>
        <v>3481.8500000000008</v>
      </c>
      <c r="I60" s="1913">
        <f>IF(SUM(I67,I74:I77,I84:I87)=0,"NO",SUM(I67,I74:I77,I84:I87))</f>
        <v>0.18373333333333333</v>
      </c>
      <c r="J60" s="1913">
        <f>IF(SUM(J67,J74:J77,J84:J87)=0,"NO",SUM(J67,J74:J77,J84:J87))</f>
        <v>0.18511428571428576</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49910.000000000007</v>
      </c>
      <c r="D66" s="3078" t="s">
        <v>1814</v>
      </c>
      <c r="E66" s="2108"/>
      <c r="F66" s="2108"/>
      <c r="G66" s="2108"/>
      <c r="H66" s="1913">
        <f>IF(SUM(H67:H71)=0,"NO",SUM(H67:H71))</f>
        <v>3481.8500000000008</v>
      </c>
      <c r="I66" s="1913">
        <f>IF(SUM(I67:I72)=0,"NO",SUM(I67:I72))</f>
        <v>0.18373333333333333</v>
      </c>
      <c r="J66" s="1913">
        <f>IF(SUM(J67:J72)=0,"NO",SUM(J67:J72))</f>
        <v>0.18511428571428576</v>
      </c>
      <c r="K66" s="3085" t="str">
        <f>IF(SUM(K67:K72)=0,"NO",SUM(K67:K72))</f>
        <v>NO</v>
      </c>
    </row>
    <row r="67" spans="2:11" ht="18" customHeight="1" x14ac:dyDescent="0.2">
      <c r="B67" s="282" t="s">
        <v>132</v>
      </c>
      <c r="C67" s="691">
        <v>49910.000000000007</v>
      </c>
      <c r="D67" s="3078" t="s">
        <v>1814</v>
      </c>
      <c r="E67" s="1913">
        <f t="shared" ref="E67:E72" si="23">IFERROR(H67*1000/$C67,"NA")</f>
        <v>69.762572630735335</v>
      </c>
      <c r="F67" s="1913">
        <f t="shared" ref="F67:G72" si="24">IFERROR(I67*1000000/$C67,"NA")</f>
        <v>3.6812929940559669</v>
      </c>
      <c r="G67" s="1913">
        <f t="shared" si="24"/>
        <v>3.7089618456078091</v>
      </c>
      <c r="H67" s="691">
        <v>3481.8500000000008</v>
      </c>
      <c r="I67" s="691">
        <v>0.18373333333333333</v>
      </c>
      <c r="J67" s="691">
        <v>0.18511428571428576</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6601.7829217854696</v>
      </c>
      <c r="D93" s="3078" t="s">
        <v>1814</v>
      </c>
      <c r="E93" s="2134"/>
      <c r="F93" s="2134"/>
      <c r="G93" s="2134"/>
      <c r="H93" s="3109">
        <f>IF(SUM(H94:H98)=0,"NO",SUM(H94:H98))</f>
        <v>459.36215426147743</v>
      </c>
      <c r="I93" s="3109">
        <f>IF(SUM(I94:I99)=0,"NO",SUM(I94:I99))</f>
        <v>2.2554749017587167E-2</v>
      </c>
      <c r="J93" s="3113">
        <f>IF(SUM(J94:J99)=0,"NO",SUM(J94:J99))</f>
        <v>1.2536893154623004E-2</v>
      </c>
      <c r="K93" s="449" t="str">
        <f>IF(SUM(K94:K99)=0,"NO",SUM(K94:K99))</f>
        <v>NO</v>
      </c>
    </row>
    <row r="94" spans="2:11" ht="18" customHeight="1" x14ac:dyDescent="0.2">
      <c r="B94" s="282" t="s">
        <v>132</v>
      </c>
      <c r="C94" s="691">
        <f>IF(SUM(C102,C110)=0,"NO",SUM(C102,C110))</f>
        <v>6601.7829217854696</v>
      </c>
      <c r="D94" s="1913" t="s">
        <v>1814</v>
      </c>
      <c r="E94" s="1913">
        <f t="shared" ref="E94:E99" si="32">IFERROR(H94*1000/$C94,"NA")</f>
        <v>69.581529672175549</v>
      </c>
      <c r="F94" s="1913">
        <f t="shared" ref="F94:G99" si="33">IFERROR(I94*1000000/$C94,"NA")</f>
        <v>3.4164632925384311</v>
      </c>
      <c r="G94" s="1913">
        <f t="shared" si="33"/>
        <v>1.8990162662349956</v>
      </c>
      <c r="H94" s="691">
        <f t="shared" ref="H94:K97" si="34">IF(SUM(H102,H110)=0,"NO",SUM(H102,H110))</f>
        <v>459.36215426147743</v>
      </c>
      <c r="I94" s="691">
        <f t="shared" si="34"/>
        <v>2.2554749017587167E-2</v>
      </c>
      <c r="J94" s="691">
        <f t="shared" si="34"/>
        <v>1.2536893154623004E-2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6601.7829217854696</v>
      </c>
      <c r="D108" s="1913" t="s">
        <v>1814</v>
      </c>
      <c r="E108" s="1931"/>
      <c r="F108" s="1931"/>
      <c r="G108" s="1931"/>
      <c r="H108" s="3078">
        <f>H109</f>
        <v>459.36215426147743</v>
      </c>
      <c r="I108" s="3078">
        <f>I109</f>
        <v>2.2554749017587167E-2</v>
      </c>
      <c r="J108" s="3110">
        <f>J109</f>
        <v>1.2536893154623004E-2</v>
      </c>
      <c r="K108" s="2921"/>
    </row>
    <row r="109" spans="2:11" ht="18" customHeight="1" x14ac:dyDescent="0.2">
      <c r="B109" s="3125" t="s">
        <v>2149</v>
      </c>
      <c r="C109" s="3099">
        <f>IF(SUM(C110:C114)=0,"NO",SUM(C110:C114))</f>
        <v>6601.7829217854696</v>
      </c>
      <c r="D109" s="1913" t="s">
        <v>1814</v>
      </c>
      <c r="E109" s="628"/>
      <c r="F109" s="628"/>
      <c r="G109" s="628"/>
      <c r="H109" s="3099">
        <f>IF(SUM(H110:H113)=0,"NO",SUM(H110:H113))</f>
        <v>459.36215426147743</v>
      </c>
      <c r="I109" s="3099">
        <f>IF(SUM(I110:I114)=0,"NO",SUM(I110:I114))</f>
        <v>2.2554749017587167E-2</v>
      </c>
      <c r="J109" s="3099">
        <f>IF(SUM(J110:J114)=0,"NO",SUM(J110:J114))</f>
        <v>1.2536893154623004E-2</v>
      </c>
      <c r="K109" s="2921"/>
    </row>
    <row r="110" spans="2:11" ht="18" customHeight="1" x14ac:dyDescent="0.2">
      <c r="B110" s="282" t="s">
        <v>132</v>
      </c>
      <c r="C110" s="691">
        <v>6601.7829217854696</v>
      </c>
      <c r="D110" s="1913" t="s">
        <v>1814</v>
      </c>
      <c r="E110" s="1913">
        <f t="shared" ref="E110:E114" si="37">IFERROR(H110*1000/$C110,"NA")</f>
        <v>69.581529672175549</v>
      </c>
      <c r="F110" s="1913">
        <f t="shared" ref="F110:G114" si="38">IFERROR(I110*1000000/$C110,"NA")</f>
        <v>3.4164632925384311</v>
      </c>
      <c r="G110" s="1913">
        <f t="shared" si="38"/>
        <v>1.8990162662349956</v>
      </c>
      <c r="H110" s="691">
        <v>459.36215426147743</v>
      </c>
      <c r="I110" s="691">
        <v>2.2554749017587167E-2</v>
      </c>
      <c r="J110" s="691">
        <v>1.2536893154623004E-2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1158433</v>
      </c>
      <c r="G11" s="3361">
        <v>593336.79</v>
      </c>
      <c r="H11" s="3361">
        <v>331964</v>
      </c>
      <c r="I11" s="3381"/>
      <c r="J11" s="3361">
        <v>-12200</v>
      </c>
      <c r="K11" s="3369">
        <f t="shared" ref="K11:K28" si="0">IF((SUM(F11:G11)-SUM(H11:J11))=0,"NO",(SUM(F11:G11)-SUM(H11:J11)))</f>
        <v>1432005.79</v>
      </c>
      <c r="L11" s="2577">
        <f>IF(K11="NO","NA",1)</f>
        <v>1</v>
      </c>
      <c r="M11" s="5" t="s">
        <v>1814</v>
      </c>
      <c r="N11" s="3369">
        <f>K11</f>
        <v>1432005.79</v>
      </c>
      <c r="O11" s="3342">
        <v>18.980716253443529</v>
      </c>
      <c r="P11" s="3369">
        <f>IFERROR(N11*O11/1000,"NA")</f>
        <v>27180.49557327824</v>
      </c>
      <c r="Q11" s="3369" t="str">
        <f>'Table1.A(d)'!G11</f>
        <v>NA</v>
      </c>
      <c r="R11" s="3369">
        <f>IF(SUM(P11,-SUM(Q11))=0,"NO",SUM(P11,-SUM(Q11)))</f>
        <v>27180.49557327824</v>
      </c>
      <c r="S11" s="2577">
        <f>IF(R11="NO","NA",1)</f>
        <v>1</v>
      </c>
      <c r="T11" s="3375">
        <f>IF(R11="NO","NO",R11*S11*44/12)</f>
        <v>99661.817102020213</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105240.95</v>
      </c>
      <c r="G13" s="3361" t="s">
        <v>2146</v>
      </c>
      <c r="H13" s="3361" t="s">
        <v>2146</v>
      </c>
      <c r="I13" s="3381"/>
      <c r="J13" s="3361" t="s">
        <v>2146</v>
      </c>
      <c r="K13" s="3369">
        <f t="shared" si="0"/>
        <v>105240.95</v>
      </c>
      <c r="L13" s="2577">
        <f t="shared" si="1"/>
        <v>1</v>
      </c>
      <c r="M13" s="5" t="s">
        <v>1814</v>
      </c>
      <c r="N13" s="3369">
        <f t="shared" si="2"/>
        <v>105240.95</v>
      </c>
      <c r="O13" s="3342">
        <v>16.314145427058751</v>
      </c>
      <c r="P13" s="3369">
        <f t="shared" si="3"/>
        <v>1716.9161631818185</v>
      </c>
      <c r="Q13" s="3369" t="str">
        <f>'Table1.A(d)'!G13</f>
        <v>NA</v>
      </c>
      <c r="R13" s="3369">
        <f>IF(SUM(P13,-SUM(Q13))=0,"NO",SUM(P13,-SUM(Q13)))</f>
        <v>1716.9161631818185</v>
      </c>
      <c r="S13" s="2577">
        <f t="shared" si="4"/>
        <v>1</v>
      </c>
      <c r="T13" s="3375">
        <f t="shared" si="5"/>
        <v>6295.3592650000019</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6969.96</v>
      </c>
      <c r="H15" s="3361">
        <v>28951.25</v>
      </c>
      <c r="I15" s="3361" t="s">
        <v>2146</v>
      </c>
      <c r="J15" s="3361">
        <v>-3802.92</v>
      </c>
      <c r="K15" s="3369">
        <f t="shared" si="0"/>
        <v>-18178.370000000003</v>
      </c>
      <c r="L15" s="2577">
        <f>IF(K15="NO","NA",1)</f>
        <v>1</v>
      </c>
      <c r="M15" s="5" t="s">
        <v>1814</v>
      </c>
      <c r="N15" s="3369">
        <f t="shared" si="2"/>
        <v>-18178.370000000003</v>
      </c>
      <c r="O15" s="3342">
        <v>18.34917301066147</v>
      </c>
      <c r="P15" s="3369">
        <f t="shared" si="3"/>
        <v>-333.55805618181819</v>
      </c>
      <c r="Q15" s="3369" t="str">
        <f>'Table1.A(d)'!G15</f>
        <v>NA</v>
      </c>
      <c r="R15" s="3369">
        <f>IF(SUM(P15,-SUM(Q15))=0,"NO",SUM(P15,-SUM(Q15)))</f>
        <v>-333.55805618181819</v>
      </c>
      <c r="S15" s="2577">
        <f>IF(R15="NO","NA",1)</f>
        <v>1</v>
      </c>
      <c r="T15" s="3375">
        <f>IF(R15="NO","NO",R15*S15*44/12)</f>
        <v>-1223.046206</v>
      </c>
    </row>
    <row r="16" spans="2:20" ht="18" customHeight="1" x14ac:dyDescent="0.2">
      <c r="B16" s="1727"/>
      <c r="C16" s="1567"/>
      <c r="D16" s="36" t="s">
        <v>178</v>
      </c>
      <c r="E16" s="2575" t="s">
        <v>2150</v>
      </c>
      <c r="F16" s="3382"/>
      <c r="G16" s="3361">
        <v>3794.0799999999995</v>
      </c>
      <c r="H16" s="3361">
        <v>9152.16</v>
      </c>
      <c r="I16" s="3361">
        <v>69500</v>
      </c>
      <c r="J16" s="3361">
        <v>728.4799999999999</v>
      </c>
      <c r="K16" s="3369">
        <f t="shared" si="0"/>
        <v>-75586.559999999998</v>
      </c>
      <c r="L16" s="2577">
        <f t="shared" ref="L16:L28" si="6">IF(K16="NO","NA",1)</f>
        <v>1</v>
      </c>
      <c r="M16" s="5" t="s">
        <v>1814</v>
      </c>
      <c r="N16" s="3369">
        <f t="shared" si="2"/>
        <v>-75586.559999999998</v>
      </c>
      <c r="O16" s="3342">
        <v>18.981818181818181</v>
      </c>
      <c r="P16" s="3369">
        <f t="shared" si="3"/>
        <v>-1434.7703389090907</v>
      </c>
      <c r="Q16" s="3369" t="str">
        <f>'Table1.A(d)'!G16</f>
        <v>NA</v>
      </c>
      <c r="R16" s="3369">
        <f t="shared" ref="R16:R44" si="7">IF(SUM(P16,-SUM(Q16))=0,"NO",SUM(P16,-SUM(Q16)))</f>
        <v>-1434.7703389090907</v>
      </c>
      <c r="S16" s="2577">
        <f t="shared" ref="S16:S28" si="8">IF(R16="NO","NA",1)</f>
        <v>1</v>
      </c>
      <c r="T16" s="3375">
        <f t="shared" ref="T16:T28" si="9">IF(R16="NO","NO",R16*S16*44/12)</f>
        <v>-5260.8245759999991</v>
      </c>
    </row>
    <row r="17" spans="2:20" ht="18" customHeight="1" x14ac:dyDescent="0.2">
      <c r="B17" s="1727"/>
      <c r="C17" s="1567"/>
      <c r="D17" s="36" t="s">
        <v>247</v>
      </c>
      <c r="E17" s="2575" t="s">
        <v>2150</v>
      </c>
      <c r="F17" s="3381"/>
      <c r="G17" s="3361" t="s">
        <v>2146</v>
      </c>
      <c r="H17" s="3361">
        <v>4999.5599999999995</v>
      </c>
      <c r="I17" s="3361" t="s">
        <v>2146</v>
      </c>
      <c r="J17" s="3361">
        <v>-172.05</v>
      </c>
      <c r="K17" s="3369">
        <f t="shared" si="0"/>
        <v>-4827.5099999999993</v>
      </c>
      <c r="L17" s="2577">
        <f t="shared" si="6"/>
        <v>1</v>
      </c>
      <c r="M17" s="5" t="s">
        <v>1814</v>
      </c>
      <c r="N17" s="3369">
        <f t="shared" si="2"/>
        <v>-4827.5099999999993</v>
      </c>
      <c r="O17" s="3342">
        <v>18.790909090909089</v>
      </c>
      <c r="P17" s="3369">
        <f t="shared" si="3"/>
        <v>-90.713301545454527</v>
      </c>
      <c r="Q17" s="3369" t="str">
        <f>'Table1.A(d)'!G17</f>
        <v>NA</v>
      </c>
      <c r="R17" s="3369">
        <f t="shared" si="7"/>
        <v>-90.713301545454527</v>
      </c>
      <c r="S17" s="2577">
        <f t="shared" si="8"/>
        <v>1</v>
      </c>
      <c r="T17" s="3375">
        <f t="shared" si="9"/>
        <v>-332.61543899999992</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15046.28</v>
      </c>
      <c r="H19" s="3361">
        <v>32034.14</v>
      </c>
      <c r="I19" s="3361">
        <v>4570</v>
      </c>
      <c r="J19" s="3361">
        <v>-9202.08</v>
      </c>
      <c r="K19" s="3369">
        <f t="shared" si="0"/>
        <v>-12355.779999999997</v>
      </c>
      <c r="L19" s="2577">
        <f t="shared" si="6"/>
        <v>1</v>
      </c>
      <c r="M19" s="5" t="s">
        <v>1814</v>
      </c>
      <c r="N19" s="3369">
        <f t="shared" si="2"/>
        <v>-12355.779999999997</v>
      </c>
      <c r="O19" s="3342">
        <v>19.06363636363637</v>
      </c>
      <c r="P19" s="3369">
        <f t="shared" si="3"/>
        <v>-235.54609690909095</v>
      </c>
      <c r="Q19" s="3369" t="str">
        <f>'Table1.A(d)'!G19</f>
        <v>NA</v>
      </c>
      <c r="R19" s="3369">
        <f t="shared" si="7"/>
        <v>-235.54609690909095</v>
      </c>
      <c r="S19" s="2577">
        <f t="shared" si="8"/>
        <v>1</v>
      </c>
      <c r="T19" s="3375">
        <f t="shared" si="9"/>
        <v>-863.66902200000015</v>
      </c>
    </row>
    <row r="20" spans="2:20" ht="18" customHeight="1" x14ac:dyDescent="0.2">
      <c r="B20" s="1727"/>
      <c r="C20" s="1567"/>
      <c r="D20" s="36" t="s">
        <v>190</v>
      </c>
      <c r="E20" s="2575" t="s">
        <v>2150</v>
      </c>
      <c r="F20" s="3381"/>
      <c r="G20" s="3361" t="s">
        <v>2146</v>
      </c>
      <c r="H20" s="3361">
        <v>41486.5</v>
      </c>
      <c r="I20" s="3361">
        <v>20230</v>
      </c>
      <c r="J20" s="3361">
        <v>2040.1499999999996</v>
      </c>
      <c r="K20" s="3369">
        <f t="shared" si="0"/>
        <v>-63756.65</v>
      </c>
      <c r="L20" s="2577">
        <f t="shared" si="6"/>
        <v>1</v>
      </c>
      <c r="M20" s="5" t="s">
        <v>1814</v>
      </c>
      <c r="N20" s="3369">
        <f t="shared" si="2"/>
        <v>-63756.65</v>
      </c>
      <c r="O20" s="3342">
        <v>20.072727272727271</v>
      </c>
      <c r="P20" s="3369">
        <f t="shared" si="3"/>
        <v>-1279.7698472727272</v>
      </c>
      <c r="Q20" s="3369" t="str">
        <f>'Table1.A(d)'!G20</f>
        <v>NA</v>
      </c>
      <c r="R20" s="3369">
        <f t="shared" si="7"/>
        <v>-1279.7698472727272</v>
      </c>
      <c r="S20" s="2577">
        <f t="shared" si="8"/>
        <v>1</v>
      </c>
      <c r="T20" s="3375">
        <f t="shared" si="9"/>
        <v>-4692.4894400000003</v>
      </c>
    </row>
    <row r="21" spans="2:20" ht="18" customHeight="1" x14ac:dyDescent="0.2">
      <c r="B21" s="1727"/>
      <c r="C21" s="1567"/>
      <c r="D21" s="36" t="s">
        <v>169</v>
      </c>
      <c r="E21" s="2575" t="s">
        <v>2150</v>
      </c>
      <c r="F21" s="3381"/>
      <c r="G21" s="3361">
        <v>1309.0999999999999</v>
      </c>
      <c r="H21" s="3361">
        <v>41230.51</v>
      </c>
      <c r="I21" s="3381"/>
      <c r="J21" s="3361">
        <v>-14143.499999999998</v>
      </c>
      <c r="K21" s="3369">
        <f t="shared" si="0"/>
        <v>-25777.910000000003</v>
      </c>
      <c r="L21" s="2577">
        <f t="shared" si="6"/>
        <v>1</v>
      </c>
      <c r="M21" s="5" t="s">
        <v>1814</v>
      </c>
      <c r="N21" s="3369">
        <f t="shared" si="2"/>
        <v>-25777.910000000003</v>
      </c>
      <c r="O21" s="3342">
        <v>16.418181818181822</v>
      </c>
      <c r="P21" s="3369">
        <f t="shared" si="3"/>
        <v>-423.22641327272737</v>
      </c>
      <c r="Q21" s="3369" t="str">
        <f>'Table1.A(d)'!G21</f>
        <v>NA</v>
      </c>
      <c r="R21" s="3369">
        <f t="shared" si="7"/>
        <v>-423.22641327272737</v>
      </c>
      <c r="S21" s="2577">
        <f t="shared" si="8"/>
        <v>1</v>
      </c>
      <c r="T21" s="3375">
        <f t="shared" si="9"/>
        <v>-1551.8301820000004</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233.2</v>
      </c>
      <c r="H24" s="3361" t="s">
        <v>2146</v>
      </c>
      <c r="I24" s="3381"/>
      <c r="J24" s="3361">
        <v>149.44999999999999</v>
      </c>
      <c r="K24" s="3369">
        <f t="shared" si="0"/>
        <v>83.75</v>
      </c>
      <c r="L24" s="2577">
        <f t="shared" si="6"/>
        <v>1</v>
      </c>
      <c r="M24" s="5" t="s">
        <v>1814</v>
      </c>
      <c r="N24" s="3369">
        <f t="shared" si="2"/>
        <v>83.75</v>
      </c>
      <c r="O24" s="3342">
        <v>22.009090909090911</v>
      </c>
      <c r="P24" s="3369">
        <f t="shared" si="3"/>
        <v>1.8432613636363637</v>
      </c>
      <c r="Q24" s="3369">
        <f>'Table1.A(d)'!G24</f>
        <v>578.83909090909106</v>
      </c>
      <c r="R24" s="3369">
        <f t="shared" si="7"/>
        <v>-576.99582954545474</v>
      </c>
      <c r="S24" s="2577">
        <f t="shared" si="8"/>
        <v>1</v>
      </c>
      <c r="T24" s="3375">
        <f t="shared" si="9"/>
        <v>-2115.6513750000008</v>
      </c>
    </row>
    <row r="25" spans="2:20" ht="18" customHeight="1" x14ac:dyDescent="0.2">
      <c r="B25" s="1727"/>
      <c r="C25" s="1567"/>
      <c r="D25" s="36" t="s">
        <v>252</v>
      </c>
      <c r="E25" s="2575" t="s">
        <v>2150</v>
      </c>
      <c r="F25" s="3381"/>
      <c r="G25" s="3361">
        <v>1292.0399999999997</v>
      </c>
      <c r="H25" s="3361">
        <v>16028.279999999999</v>
      </c>
      <c r="I25" s="3361" t="s">
        <v>2146</v>
      </c>
      <c r="J25" s="3361">
        <v>824.6</v>
      </c>
      <c r="K25" s="3369">
        <f t="shared" si="0"/>
        <v>-15560.839999999998</v>
      </c>
      <c r="L25" s="2577">
        <f t="shared" si="6"/>
        <v>1</v>
      </c>
      <c r="M25" s="5" t="s">
        <v>1814</v>
      </c>
      <c r="N25" s="3369">
        <f t="shared" si="2"/>
        <v>-15560.839999999998</v>
      </c>
      <c r="O25" s="3342">
        <v>18.991363636363641</v>
      </c>
      <c r="P25" s="3369">
        <f t="shared" si="3"/>
        <v>-295.52157092727276</v>
      </c>
      <c r="Q25" s="3369">
        <f>'Table1.A(d)'!G25</f>
        <v>351.3402272727273</v>
      </c>
      <c r="R25" s="3369">
        <f t="shared" si="7"/>
        <v>-646.86179820000007</v>
      </c>
      <c r="S25" s="2577">
        <f t="shared" si="8"/>
        <v>1</v>
      </c>
      <c r="T25" s="3375">
        <f t="shared" si="9"/>
        <v>-2371.8265934000005</v>
      </c>
    </row>
    <row r="26" spans="2:20" ht="18" customHeight="1" x14ac:dyDescent="0.2">
      <c r="B26" s="1727"/>
      <c r="C26" s="1567"/>
      <c r="D26" s="36" t="s">
        <v>253</v>
      </c>
      <c r="E26" s="2575" t="s">
        <v>2150</v>
      </c>
      <c r="F26" s="3381"/>
      <c r="G26" s="3361">
        <v>9453.6957975572423</v>
      </c>
      <c r="H26" s="3361" t="s">
        <v>2146</v>
      </c>
      <c r="I26" s="3381"/>
      <c r="J26" s="3361" t="s">
        <v>2146</v>
      </c>
      <c r="K26" s="3369">
        <f t="shared" si="0"/>
        <v>9453.6957975572423</v>
      </c>
      <c r="L26" s="2577">
        <f t="shared" si="6"/>
        <v>1</v>
      </c>
      <c r="M26" s="5" t="s">
        <v>1814</v>
      </c>
      <c r="N26" s="3369">
        <f t="shared" si="2"/>
        <v>9453.6957975572423</v>
      </c>
      <c r="O26" s="3342">
        <v>25.26136363636364</v>
      </c>
      <c r="P26" s="3369">
        <f t="shared" si="3"/>
        <v>238.81324724965626</v>
      </c>
      <c r="Q26" s="3369">
        <f>'Table1.A(d)'!G26</f>
        <v>238.81324724965626</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18003.919999999998</v>
      </c>
      <c r="H28" s="3361">
        <v>10974.88</v>
      </c>
      <c r="I28" s="3381"/>
      <c r="J28" s="3361">
        <v>-1678.66</v>
      </c>
      <c r="K28" s="3369">
        <f t="shared" si="0"/>
        <v>8707.6999999999989</v>
      </c>
      <c r="L28" s="2577">
        <f t="shared" si="6"/>
        <v>1</v>
      </c>
      <c r="M28" s="5" t="s">
        <v>1814</v>
      </c>
      <c r="N28" s="3369">
        <f t="shared" si="2"/>
        <v>8707.6999999999989</v>
      </c>
      <c r="O28" s="3342">
        <v>19.036985844294549</v>
      </c>
      <c r="P28" s="3369">
        <f t="shared" si="3"/>
        <v>165.76836163636361</v>
      </c>
      <c r="Q28" s="3369">
        <f>'Table1.A(d)'!G28</f>
        <v>551.9535604027169</v>
      </c>
      <c r="R28" s="3369">
        <f t="shared" si="7"/>
        <v>-386.18519876635332</v>
      </c>
      <c r="S28" s="2577">
        <f t="shared" si="8"/>
        <v>1</v>
      </c>
      <c r="T28" s="3375">
        <f t="shared" si="9"/>
        <v>-1416.0123954766289</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1339448.2657975571</v>
      </c>
      <c r="O31" s="3364"/>
      <c r="P31" s="3371">
        <f>SUM(P11:P29)</f>
        <v>25210.730981691529</v>
      </c>
      <c r="Q31" s="3371">
        <f>SUM(Q11:Q29)</f>
        <v>1981.3001472912774</v>
      </c>
      <c r="R31" s="3369">
        <f t="shared" si="7"/>
        <v>23229.430834400253</v>
      </c>
      <c r="S31" s="2578"/>
      <c r="T31" s="3377">
        <f>SUM(T11:T29)</f>
        <v>85174.579726134267</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4680640</v>
      </c>
      <c r="G35" s="3361" t="s">
        <v>2146</v>
      </c>
      <c r="H35" s="3361">
        <v>3502200</v>
      </c>
      <c r="I35" s="3361" t="s">
        <v>2146</v>
      </c>
      <c r="J35" s="3361">
        <v>9700</v>
      </c>
      <c r="K35" s="3369">
        <f t="shared" si="10"/>
        <v>1168740</v>
      </c>
      <c r="L35" s="2577">
        <f t="shared" si="11"/>
        <v>1</v>
      </c>
      <c r="M35" s="55" t="s">
        <v>1814</v>
      </c>
      <c r="N35" s="3369">
        <f t="shared" si="12"/>
        <v>1168740</v>
      </c>
      <c r="O35" s="3342">
        <v>23.87814953709945</v>
      </c>
      <c r="P35" s="3369">
        <f t="shared" si="13"/>
        <v>27907.348489989614</v>
      </c>
      <c r="Q35" s="3369">
        <f>'Table1.A(d)'!G35</f>
        <v>169.99194288311688</v>
      </c>
      <c r="R35" s="3369">
        <f t="shared" si="7"/>
        <v>27737.356547106498</v>
      </c>
      <c r="S35" s="2577">
        <f t="shared" si="14"/>
        <v>1</v>
      </c>
      <c r="T35" s="3375">
        <f t="shared" si="15"/>
        <v>101703.64067272382</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499320.00000000006</v>
      </c>
      <c r="G37" s="3361" t="s">
        <v>2146</v>
      </c>
      <c r="H37" s="3361" t="s">
        <v>2146</v>
      </c>
      <c r="I37" s="3381"/>
      <c r="J37" s="3361" t="s">
        <v>2146</v>
      </c>
      <c r="K37" s="3369">
        <f t="shared" si="10"/>
        <v>499320.00000000006</v>
      </c>
      <c r="L37" s="2577">
        <f t="shared" si="11"/>
        <v>1</v>
      </c>
      <c r="M37" s="55" t="s">
        <v>1814</v>
      </c>
      <c r="N37" s="3369">
        <f t="shared" si="12"/>
        <v>499320.00000000006</v>
      </c>
      <c r="O37" s="3342">
        <v>27.74414322024127</v>
      </c>
      <c r="P37" s="3369">
        <f t="shared" si="13"/>
        <v>13853.205592730872</v>
      </c>
      <c r="Q37" s="3369" t="str">
        <f>'Table1.A(d)'!G37</f>
        <v>NO</v>
      </c>
      <c r="R37" s="3369">
        <f t="shared" si="7"/>
        <v>13853.205592730872</v>
      </c>
      <c r="S37" s="2577">
        <f t="shared" si="14"/>
        <v>1</v>
      </c>
      <c r="T37" s="3375">
        <f t="shared" si="15"/>
        <v>50795.087173346525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1800</v>
      </c>
      <c r="I40" s="3381"/>
      <c r="J40" s="3361">
        <v>1800</v>
      </c>
      <c r="K40" s="3369">
        <f t="shared" ref="K40:K42" si="16">IF((SUM(F40:G40)-SUM(H40:J40))=0,"NO",(SUM(F40:G40)-SUM(H40:J40)))</f>
        <v>-3600</v>
      </c>
      <c r="L40" s="2577">
        <f t="shared" ref="L40:L42" si="17">IF(K40="NO","NA",1)</f>
        <v>1</v>
      </c>
      <c r="M40" s="55" t="s">
        <v>1814</v>
      </c>
      <c r="N40" s="3369">
        <f t="shared" ref="N40:N42" si="18">K40</f>
        <v>-3600</v>
      </c>
      <c r="O40" s="3342">
        <v>25.90909090909091</v>
      </c>
      <c r="P40" s="3369">
        <f t="shared" ref="P40:P42" si="19">IFERROR(N40*O40/1000,"NA")</f>
        <v>-93.27272727272728</v>
      </c>
      <c r="Q40" s="3369" t="str">
        <f>'Table1.A(d)'!G40</f>
        <v>NA</v>
      </c>
      <c r="R40" s="3369">
        <f t="shared" si="7"/>
        <v>-93.27272727272728</v>
      </c>
      <c r="S40" s="2577">
        <f t="shared" ref="S40:S42" si="20">IF(R40="NO","NA",1)</f>
        <v>1</v>
      </c>
      <c r="T40" s="3375">
        <f t="shared" ref="T40:T42" si="21">IF(R40="NO","NO",R40*S40*44/12)</f>
        <v>-342</v>
      </c>
    </row>
    <row r="41" spans="2:20" ht="18" customHeight="1" x14ac:dyDescent="0.2">
      <c r="B41" s="1727"/>
      <c r="C41" s="1567"/>
      <c r="D41" s="31" t="s">
        <v>266</v>
      </c>
      <c r="E41" s="2575" t="s">
        <v>2150</v>
      </c>
      <c r="F41" s="3381"/>
      <c r="G41" s="3361" t="s">
        <v>2146</v>
      </c>
      <c r="H41" s="3361">
        <v>19600</v>
      </c>
      <c r="I41" s="3381"/>
      <c r="J41" s="3361">
        <v>-800</v>
      </c>
      <c r="K41" s="3369">
        <f t="shared" si="16"/>
        <v>-18800</v>
      </c>
      <c r="L41" s="2577">
        <f t="shared" si="17"/>
        <v>1</v>
      </c>
      <c r="M41" s="55" t="s">
        <v>1814</v>
      </c>
      <c r="N41" s="3369">
        <f t="shared" si="18"/>
        <v>-18800</v>
      </c>
      <c r="O41" s="3342">
        <v>28.898309501490729</v>
      </c>
      <c r="P41" s="3369">
        <f t="shared" si="19"/>
        <v>-543.28821862802567</v>
      </c>
      <c r="Q41" s="3369">
        <f>'Table1.A(d)'!G41</f>
        <v>2637.2259718805462</v>
      </c>
      <c r="R41" s="3369">
        <f t="shared" si="7"/>
        <v>-3180.514190508572</v>
      </c>
      <c r="S41" s="2577">
        <f t="shared" si="20"/>
        <v>1</v>
      </c>
      <c r="T41" s="3375">
        <f t="shared" si="21"/>
        <v>-11661.885365198097</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81.852577214671612</v>
      </c>
      <c r="R42" s="3369">
        <f t="shared" si="7"/>
        <v>-81.852577214671612</v>
      </c>
      <c r="S42" s="2577">
        <f t="shared" si="20"/>
        <v>1</v>
      </c>
      <c r="T42" s="3375">
        <f t="shared" si="21"/>
        <v>-300.12611645379593</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1645660</v>
      </c>
      <c r="O45" s="3364"/>
      <c r="P45" s="3371">
        <f>SUM(P33:P43)</f>
        <v>41123.993136819729</v>
      </c>
      <c r="Q45" s="3371">
        <f>SUM(Q33:Q43)</f>
        <v>2889.0704919783348</v>
      </c>
      <c r="R45" s="3371">
        <f>SUM(R33:R43)</f>
        <v>38234.922644841397</v>
      </c>
      <c r="S45" s="41"/>
      <c r="T45" s="3377">
        <f>SUM(T33:T43)</f>
        <v>140194.71636441845</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921289.75</v>
      </c>
      <c r="G47" s="3361" t="s">
        <v>2146</v>
      </c>
      <c r="H47" s="3361">
        <v>253500</v>
      </c>
      <c r="I47" s="3361" t="s">
        <v>2146</v>
      </c>
      <c r="J47" s="3361" t="s">
        <v>2146</v>
      </c>
      <c r="K47" s="3369">
        <f t="shared" ref="K47" si="22">IF((SUM(F47:G47)-SUM(H47:J47))=0,"NO",(SUM(F47:G47)-SUM(H47:J47)))</f>
        <v>667789.75</v>
      </c>
      <c r="L47" s="2577">
        <f t="shared" ref="L47" si="23">IF(K47="NO","NA",1)</f>
        <v>1</v>
      </c>
      <c r="M47" s="55" t="s">
        <v>1814</v>
      </c>
      <c r="N47" s="3369">
        <f t="shared" ref="N47" si="24">K47</f>
        <v>667789.75</v>
      </c>
      <c r="O47" s="3342">
        <v>14.026434890148559</v>
      </c>
      <c r="P47" s="3369">
        <f t="shared" ref="P47" si="25">IFERROR(N47*O47/1000,"NA")</f>
        <v>9366.7094486835849</v>
      </c>
      <c r="Q47" s="3369">
        <f>'Table1.A(d)'!G47</f>
        <v>288.16578913824134</v>
      </c>
      <c r="R47" s="3369">
        <f t="shared" ref="R47" si="26">IF(SUM(P47,-SUM(Q47))=0,"NO",SUM(P47,-SUM(Q47)))</f>
        <v>9078.543659545343</v>
      </c>
      <c r="S47" s="2577">
        <f t="shared" ref="S47" si="27">IF(R47="NO","NA",1)</f>
        <v>1</v>
      </c>
      <c r="T47" s="3375">
        <f t="shared" ref="T47" si="28">IF(R47="NO","NO",R47*S47*44/12)</f>
        <v>33287.993418332924</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667789.75</v>
      </c>
      <c r="O50" s="3366"/>
      <c r="P50" s="3371">
        <f>SUM(P47:P48)</f>
        <v>9366.7094486835849</v>
      </c>
      <c r="Q50" s="3371">
        <f>SUM(Q47:Q48)</f>
        <v>288.16578913824134</v>
      </c>
      <c r="R50" s="3371">
        <f>SUM(R47:R48)</f>
        <v>9078.543659545343</v>
      </c>
      <c r="S50" s="2354"/>
      <c r="T50" s="3377">
        <f>SUM(T47:T48)</f>
        <v>33287.993418332924</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3652898.0157975573</v>
      </c>
      <c r="O55" s="3367"/>
      <c r="P55" s="3373">
        <f>SUM(P31,P45,P50,P54)</f>
        <v>75701.433567194836</v>
      </c>
      <c r="Q55" s="3373">
        <f>SUM(Q31,Q45,Q50,Q54)</f>
        <v>5158.5364284078532</v>
      </c>
      <c r="R55" s="3373">
        <f>SUM(R31,R45,R50,R54)</f>
        <v>70542.897138786997</v>
      </c>
      <c r="S55" s="2374"/>
      <c r="T55" s="3379">
        <f>SUM(T31,T45,T50,T54)</f>
        <v>258657.28950888562</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1339.448265797557</v>
      </c>
      <c r="D10" s="4136">
        <f>C10-'Table1.A(d)'!E31/1000</f>
        <v>1236.5984709329537</v>
      </c>
      <c r="E10" s="4135">
        <f>'Table1.A(b)'!T31</f>
        <v>85174.579726134267</v>
      </c>
      <c r="F10" s="4135">
        <f>'Table1.A(a)s1'!C11/1000</f>
        <v>1256.3678984799303</v>
      </c>
      <c r="G10" s="4135">
        <f>'Table1.A(a)s1'!H11</f>
        <v>85359.16509973038</v>
      </c>
      <c r="H10" s="4135">
        <f>100*((D10-F10)/F10)</f>
        <v>-1.5735380990628249</v>
      </c>
      <c r="I10" s="4137">
        <f>100*((E10-G10)/G10)</f>
        <v>-0.21624552370029765</v>
      </c>
      <c r="L10"/>
    </row>
    <row r="11" spans="2:12" ht="18" customHeight="1" x14ac:dyDescent="0.2">
      <c r="B11" s="50" t="s">
        <v>299</v>
      </c>
      <c r="C11" s="4135">
        <f>'Table1.A(b)'!N45/1000</f>
        <v>1645.66</v>
      </c>
      <c r="D11" s="4135">
        <f>C11-'Table1.A(d)'!E45/1000</f>
        <v>1543.8296996984536</v>
      </c>
      <c r="E11" s="4135">
        <f>'Table1.A(b)'!T45</f>
        <v>140194.71636441845</v>
      </c>
      <c r="F11" s="4135">
        <f>'Table1.A(a)s1'!C12/1000</f>
        <v>1528.8503938162064</v>
      </c>
      <c r="G11" s="4135">
        <f>'Table1.A(a)s1'!H12</f>
        <v>139603.98884109728</v>
      </c>
      <c r="H11" s="4135">
        <f t="shared" ref="H11:H13" si="0">100*((D11-F11)/F11)</f>
        <v>0.97977578073266869</v>
      </c>
      <c r="I11" s="4137">
        <f t="shared" ref="I11:I13" si="1">100*((E11-G11)/G11)</f>
        <v>0.42314516098358668</v>
      </c>
      <c r="L11"/>
    </row>
    <row r="12" spans="2:12" ht="18" customHeight="1" x14ac:dyDescent="0.2">
      <c r="B12" s="50" t="s">
        <v>300</v>
      </c>
      <c r="C12" s="4135">
        <f>'Table1.A(b)'!N50/1000</f>
        <v>667.78975000000003</v>
      </c>
      <c r="D12" s="4135">
        <f>C12-'Table1.A(d)'!E50/1000</f>
        <v>647.23794163264097</v>
      </c>
      <c r="E12" s="4135">
        <f>'Table1.A(b)'!T50</f>
        <v>33287.993418332924</v>
      </c>
      <c r="F12" s="4135">
        <f>'Table1.A(a)s1'!C13/1000</f>
        <v>638.34391539921967</v>
      </c>
      <c r="G12" s="4135">
        <f>'Table1.A(a)s1'!H13</f>
        <v>32853.922165672731</v>
      </c>
      <c r="H12" s="4135">
        <f t="shared" si="0"/>
        <v>1.3932969389798264</v>
      </c>
      <c r="I12" s="4137">
        <f t="shared" si="1"/>
        <v>1.3212159281053213</v>
      </c>
      <c r="L12"/>
    </row>
    <row r="13" spans="2:12" ht="18" customHeight="1" x14ac:dyDescent="0.2">
      <c r="B13" s="50" t="s">
        <v>275</v>
      </c>
      <c r="C13" s="4135">
        <f>'Table1.A(b)'!N54/1000</f>
        <v>0</v>
      </c>
      <c r="D13" s="4135">
        <f>C13-SUM('Table1.A(d)'!E54)/1000</f>
        <v>0</v>
      </c>
      <c r="E13" s="4135">
        <f>'Table1.A(b)'!T54</f>
        <v>0</v>
      </c>
      <c r="F13" s="4135">
        <f>'Table1.A(a)s1'!C14/1000</f>
        <v>3.9897870585697985</v>
      </c>
      <c r="G13" s="4135">
        <f>'Table1.A(a)s1'!H14</f>
        <v>358.7503913931663</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3652.898015797557</v>
      </c>
      <c r="D15" s="4138">
        <f>SUM(D10:D14)</f>
        <v>3427.666112264048</v>
      </c>
      <c r="E15" s="4138">
        <f>SUM(E10:E14)</f>
        <v>258657.28950888562</v>
      </c>
      <c r="F15" s="4138">
        <f>SUM(F10:F14)</f>
        <v>3427.5519947539256</v>
      </c>
      <c r="G15" s="4138">
        <f>SUM(G10:G14)</f>
        <v>258175.82649789355</v>
      </c>
      <c r="H15" s="4139">
        <f t="shared" ref="H15" si="2">100*((D15-F15)/F15)</f>
        <v>3.3294173304192812E-3</v>
      </c>
      <c r="I15" s="4140">
        <f t="shared" ref="I15" si="3">100*((E15-G15)/G15)</f>
        <v>0.1864864799787897</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452E69CA-E925-4170-9385-4011B01D53EC}"/>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