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E7EEA1E7-B327-4609-B1C9-5BA88ADC0D5D}" xr6:coauthVersionLast="47" xr6:coauthVersionMax="47" xr10:uidLastSave="{00000000-0000-0000-0000-000000000000}"/>
  <bookViews>
    <workbookView xWindow="390" yWindow="390" windowWidth="10725" windowHeight="6000"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I70"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I78" i="34"/>
  <c r="I86" i="34"/>
  <c r="I87" i="34"/>
  <c r="I79" i="34"/>
  <c r="I82" i="34"/>
  <c r="I83" i="34"/>
  <c r="I33" i="34"/>
  <c r="I32" i="34"/>
  <c r="I71" i="34"/>
  <c r="I31" i="34"/>
  <c r="G37" i="34"/>
  <c r="G59" i="34"/>
  <c r="I72" i="34"/>
  <c r="I30" i="34"/>
  <c r="G36" i="34"/>
  <c r="H37" i="34"/>
  <c r="I65" i="34"/>
  <c r="I67" i="34"/>
  <c r="I69" i="34"/>
  <c r="I73" i="34"/>
  <c r="I29" i="34"/>
  <c r="H36" i="34"/>
  <c r="I37" i="34"/>
  <c r="I74" i="34"/>
  <c r="G88" i="34"/>
  <c r="G26" i="34"/>
  <c r="H27" i="34"/>
  <c r="I28" i="34"/>
  <c r="G34" i="34"/>
  <c r="H35" i="34"/>
  <c r="I36" i="34"/>
  <c r="G62" i="34"/>
  <c r="I75" i="34"/>
  <c r="I80" i="34"/>
  <c r="I84" i="34"/>
  <c r="I88" i="34"/>
  <c r="H26" i="34"/>
  <c r="I27" i="34"/>
  <c r="G33" i="34"/>
  <c r="H34" i="34"/>
  <c r="I35" i="34"/>
  <c r="I76" i="34"/>
  <c r="G85" i="34"/>
  <c r="G89" i="34"/>
  <c r="I26" i="34"/>
  <c r="G32" i="34"/>
  <c r="H33" i="34"/>
  <c r="I34" i="34"/>
  <c r="I66" i="34"/>
  <c r="I68" i="34"/>
  <c r="I81" i="34"/>
  <c r="I85" i="34"/>
  <c r="I89" i="34"/>
  <c r="G128" i="34"/>
  <c r="G135" i="34"/>
  <c r="G143" i="34"/>
  <c r="I151" i="34"/>
  <c r="G138" i="34"/>
  <c r="I152" i="34"/>
  <c r="I45" i="59"/>
  <c r="G133" i="34"/>
  <c r="G141" i="34"/>
  <c r="I153" i="34"/>
  <c r="I15" i="59"/>
  <c r="G129" i="34"/>
  <c r="G136" i="34"/>
  <c r="I154" i="34"/>
  <c r="H16" i="59"/>
  <c r="G139" i="34"/>
  <c r="I147" i="34"/>
  <c r="I155" i="34"/>
  <c r="H15" i="59"/>
  <c r="H45" i="59"/>
  <c r="G125" i="34"/>
  <c r="G134" i="34"/>
  <c r="G142" i="34"/>
  <c r="I148" i="34"/>
  <c r="I156" i="34"/>
  <c r="D16" i="57"/>
  <c r="I22" i="59"/>
  <c r="G137" i="34"/>
  <c r="I149" i="34"/>
  <c r="I157" i="34"/>
  <c r="D18" i="57"/>
  <c r="G132" i="34"/>
  <c r="G140" i="34"/>
  <c r="I150" i="34"/>
  <c r="H22" i="59"/>
  <c r="H154" i="34"/>
  <c r="H157" i="34"/>
  <c r="H158" i="34"/>
  <c r="H132" i="34"/>
  <c r="H133" i="34"/>
  <c r="H134" i="34"/>
  <c r="H135" i="34"/>
  <c r="H136" i="34"/>
  <c r="H137" i="34"/>
  <c r="H138" i="34"/>
  <c r="H139" i="34"/>
  <c r="H140" i="34"/>
  <c r="H141" i="34"/>
  <c r="H142" i="34"/>
  <c r="H143" i="34"/>
  <c r="H118" i="34"/>
  <c r="H119" i="34"/>
  <c r="H120" i="34"/>
  <c r="H121" i="34"/>
  <c r="H122" i="34"/>
  <c r="H123" i="34"/>
  <c r="H124" i="34"/>
  <c r="H125" i="34"/>
  <c r="H126" i="34"/>
  <c r="H128" i="34"/>
  <c r="H129" i="34"/>
  <c r="I118" i="34"/>
  <c r="I119" i="34"/>
  <c r="I120" i="34"/>
  <c r="I121" i="34"/>
  <c r="I122" i="34"/>
  <c r="I123" i="34"/>
  <c r="I124" i="34"/>
  <c r="I125" i="34"/>
  <c r="I126" i="34"/>
  <c r="I127" i="34"/>
  <c r="I128" i="34"/>
  <c r="I129" i="34"/>
  <c r="D29" i="25"/>
  <c r="F29" i="25"/>
  <c r="G29" i="25"/>
  <c r="H29" i="25"/>
  <c r="I29" i="25"/>
  <c r="K29" i="25"/>
  <c r="M29" i="25"/>
  <c r="O29" i="25"/>
  <c r="I92" i="34"/>
  <c r="I93" i="34"/>
  <c r="I94" i="34"/>
  <c r="I95" i="34"/>
  <c r="I96" i="34"/>
  <c r="I97" i="34"/>
  <c r="I98" i="34"/>
  <c r="I99" i="34"/>
  <c r="I100" i="34"/>
  <c r="I101"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85" i="34"/>
  <c r="H88" i="34"/>
  <c r="H89" i="34"/>
  <c r="G65" i="34"/>
  <c r="G66" i="34"/>
  <c r="G67" i="34"/>
  <c r="G68" i="34"/>
  <c r="G69" i="34"/>
  <c r="G72" i="34"/>
  <c r="G75" i="34"/>
  <c r="G76" i="34"/>
  <c r="H72" i="34"/>
  <c r="H75" i="34"/>
  <c r="H76" i="34"/>
  <c r="H59" i="34"/>
  <c r="H62" i="34"/>
  <c r="H63" i="34"/>
  <c r="I52" i="34"/>
  <c r="I53" i="34"/>
  <c r="I54" i="34"/>
  <c r="I55" i="34"/>
  <c r="I56" i="34"/>
  <c r="I57" i="34"/>
  <c r="I58" i="34"/>
  <c r="I59" i="34"/>
  <c r="I60" i="34"/>
  <c r="I61" i="34"/>
  <c r="I62" i="34"/>
  <c r="I63" i="34"/>
  <c r="G63" i="34"/>
  <c r="M51" i="34" l="1"/>
  <c r="L51" i="34"/>
  <c r="K51" i="34"/>
  <c r="J51" i="34"/>
  <c r="H61" i="34"/>
  <c r="H60" i="34"/>
  <c r="H58" i="34"/>
  <c r="H57" i="34"/>
  <c r="H56" i="34"/>
  <c r="H55" i="34"/>
  <c r="H54" i="34"/>
  <c r="H53" i="34"/>
  <c r="H52" i="34"/>
  <c r="L64" i="34"/>
  <c r="K64" i="34"/>
  <c r="H74" i="34"/>
  <c r="H73" i="34"/>
  <c r="G74" i="34"/>
  <c r="G73" i="34"/>
  <c r="G71" i="34"/>
  <c r="G70" i="34"/>
  <c r="M77" i="34"/>
  <c r="L77" i="34"/>
  <c r="K77" i="34"/>
  <c r="J77" i="34"/>
  <c r="H87" i="34"/>
  <c r="H86" i="34"/>
  <c r="H84" i="34"/>
  <c r="H83" i="34"/>
  <c r="H82" i="34"/>
  <c r="H81" i="34"/>
  <c r="H80"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7" i="34"/>
  <c r="K131" i="34"/>
  <c r="K130" i="34" s="1"/>
  <c r="U30" i="25"/>
  <c r="T30" i="25"/>
  <c r="R30" i="25"/>
  <c r="O30" i="25"/>
  <c r="M30" i="25"/>
  <c r="K30" i="25"/>
  <c r="I30" i="25"/>
  <c r="H30" i="25"/>
  <c r="G30" i="25"/>
  <c r="F30" i="25"/>
  <c r="D30" i="25"/>
  <c r="J131" i="34"/>
  <c r="J130" i="34" s="1"/>
  <c r="C30" i="25"/>
  <c r="F49" i="22" s="1"/>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6" i="34"/>
  <c r="H155" i="34"/>
  <c r="H153" i="34"/>
  <c r="H152" i="34"/>
  <c r="H151" i="34"/>
  <c r="H150" i="34"/>
  <c r="H149" i="34"/>
  <c r="H148" i="34"/>
  <c r="H147" i="34"/>
  <c r="D23" i="57"/>
  <c r="D21" i="57" s="1"/>
  <c r="H21" i="57"/>
  <c r="H20" i="57" s="1"/>
  <c r="Q11" i="50"/>
  <c r="K12" i="50"/>
  <c r="I23" i="57"/>
  <c r="G21" i="57"/>
  <c r="E23" i="57"/>
  <c r="K38" i="59"/>
  <c r="H39" i="59"/>
  <c r="S13" i="51"/>
  <c r="S11" i="51" s="1"/>
  <c r="Q11" i="51"/>
  <c r="K13" i="51"/>
  <c r="L38" i="59"/>
  <c r="I39" i="59"/>
  <c r="K20" i="59"/>
  <c r="H21" i="59"/>
  <c r="D112" i="34"/>
  <c r="G112" i="34" s="1"/>
  <c r="G99" i="34"/>
  <c r="K17" i="59"/>
  <c r="H17" i="59" s="1"/>
  <c r="H18" i="59"/>
  <c r="U14" i="49"/>
  <c r="U11" i="49" s="1"/>
  <c r="Q11" i="49"/>
  <c r="Q10" i="49" s="1"/>
  <c r="J14" i="49"/>
  <c r="L23" i="59"/>
  <c r="I23" i="59" s="1"/>
  <c r="I24" i="59"/>
  <c r="D111" i="34"/>
  <c r="G111" i="34" s="1"/>
  <c r="G98" i="34"/>
  <c r="K13" i="59"/>
  <c r="H14" i="59"/>
  <c r="I15" i="57"/>
  <c r="G13" i="57"/>
  <c r="E15" i="57"/>
  <c r="G127" i="34"/>
  <c r="G123" i="34"/>
  <c r="G121" i="34"/>
  <c r="G119" i="34"/>
  <c r="G97" i="34"/>
  <c r="D110" i="34"/>
  <c r="G110" i="34" s="1"/>
  <c r="L20" i="59"/>
  <c r="I21" i="59"/>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K117" i="34"/>
  <c r="G102" i="34"/>
  <c r="D115" i="34"/>
  <c r="G115" i="34" s="1"/>
  <c r="G94" i="34"/>
  <c r="D107" i="34"/>
  <c r="G107" i="34" s="1"/>
  <c r="D12" i="57"/>
  <c r="D11" i="57" s="1"/>
  <c r="H11" i="57"/>
  <c r="K23" i="59"/>
  <c r="H23" i="59" s="1"/>
  <c r="H24" i="59"/>
  <c r="M131" i="34"/>
  <c r="M130" i="34" s="1"/>
  <c r="G126" i="34"/>
  <c r="G124" i="34"/>
  <c r="G122" i="34"/>
  <c r="G120" i="34"/>
  <c r="G118" i="34"/>
  <c r="G101" i="34"/>
  <c r="D114" i="34"/>
  <c r="G114" i="34" s="1"/>
  <c r="D106" i="34"/>
  <c r="G106" i="34" s="1"/>
  <c r="G93" i="34"/>
  <c r="I16" i="57"/>
  <c r="E16" i="57"/>
  <c r="I18" i="57"/>
  <c r="E18" i="57"/>
  <c r="G100" i="34"/>
  <c r="D113" i="34"/>
  <c r="G113" i="34" s="1"/>
  <c r="D105" i="34"/>
  <c r="G105" i="34" s="1"/>
  <c r="G92" i="34"/>
  <c r="G81" i="34"/>
  <c r="H70" i="34"/>
  <c r="H68" i="34"/>
  <c r="H66" i="34"/>
  <c r="G55" i="34"/>
  <c r="M64" i="34"/>
  <c r="G54" i="34"/>
  <c r="G84" i="34"/>
  <c r="G80" i="34"/>
  <c r="J64" i="34"/>
  <c r="G61" i="34"/>
  <c r="G53" i="34"/>
  <c r="G35" i="34"/>
  <c r="H28" i="34"/>
  <c r="G27" i="34"/>
  <c r="H29" i="34"/>
  <c r="G28" i="34"/>
  <c r="M25" i="34"/>
  <c r="G87" i="34"/>
  <c r="G83" i="34"/>
  <c r="G79" i="34"/>
  <c r="H69" i="34"/>
  <c r="H67" i="34"/>
  <c r="H65" i="34"/>
  <c r="H30" i="34"/>
  <c r="G29" i="34"/>
  <c r="L25" i="34"/>
  <c r="H31" i="34"/>
  <c r="G30" i="34"/>
  <c r="K25" i="34"/>
  <c r="H71" i="34"/>
  <c r="H32" i="34"/>
  <c r="G31" i="34"/>
  <c r="J25" i="34"/>
  <c r="G60" i="34"/>
  <c r="G58" i="34"/>
  <c r="G82" i="34"/>
  <c r="G57" i="34"/>
  <c r="G56" i="34"/>
  <c r="G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H24" i="73"/>
  <c r="G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H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L22" i="132"/>
  <c r="E33" i="132"/>
  <c r="H39" i="132" l="1"/>
  <c r="H36" i="132"/>
  <c r="H35" i="132"/>
  <c r="C24" i="22" s="1"/>
  <c r="H45" i="132"/>
  <c r="H42" i="132" s="1"/>
  <c r="H64" i="132"/>
  <c r="C31" i="22" s="1"/>
  <c r="E64" i="132"/>
  <c r="C13" i="25"/>
  <c r="C12" i="25" s="1"/>
  <c r="C11" i="25" s="1"/>
  <c r="G12" i="33"/>
  <c r="G11" i="33" s="1"/>
  <c r="G10" i="33" s="1"/>
  <c r="F13" i="33"/>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11"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Y14" i="73" l="1"/>
  <c r="I35" i="73"/>
  <c r="J35" i="73" s="1"/>
  <c r="G22" i="73"/>
  <c r="G23"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11"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<sst xmlns="http://schemas.openxmlformats.org/spreadsheetml/2006/main" count="19471" uniqueCount="2523">
  <si>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</si>
  <si>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</si>
  <si>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</si>
  <si>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</si>
  <si>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</si>
  <si>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</si>
  <si>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</si>
  <si>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</si>
  <si>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</si>
  <si>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</si>
  <si>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</si>
  <si>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</si>
  <si>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</si>
  <si>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</si>
  <si>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</si>
  <si>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</si>
  <si>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</si>
  <si>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</si>
  <si>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</si>
  <si>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</si>
  <si>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</si>
  <si>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</si>
  <si>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</si>
  <si>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</si>
  <si>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</si>
  <si>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</si>
  <si>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</si>
  <si>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</si>
  <si>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</si>
  <si>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</si>
  <si>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</si>
  <si>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</si>
  <si>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</si>
  <si>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</si>
  <si>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</si>
  <si>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</si>
  <si>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</si>
  <si>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</si>
  <si>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</si>
  <si>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</si>
  <si>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</si>
  <si>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</si>
  <si>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</si>
  <si>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</si>
  <si>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</si>
  <si>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</si>
  <si>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</si>
  <si>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</si>
  <si>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</si>
  <si>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</si>
  <si>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</si>
  <si>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</si>
  <si>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</si>
  <si>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</si>
  <si>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</si>
  <si>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</si>
  <si>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</si>
  <si>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</si>
  <si>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</si>
  <si>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</si>
  <si>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</si>
  <si>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</si>
  <si>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</si>
  <si>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</si>
  <si>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</si>
  <si>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</si>
  <si>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</si>
  <si>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</si>
  <si>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</si>
  <si>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</si>
  <si>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</si>
  <si>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</si>
  <si>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</si>
  <si>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</si>
  <si>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</si>
  <si>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</si>
  <si>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</si>
  <si>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</si>
  <si>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</si>
  <si>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</si>
  <si>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</si>
  <si>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</si>
  <si>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</si>
  <si>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</si>
  <si>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</si>
  <si>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</si>
  <si>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</si>
  <si>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</si>
  <si>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</si>
  <si>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</si>
  <si>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</si>
  <si>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</si>
  <si>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</si>
  <si>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</si>
  <si>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</si>
  <si>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</si>
  <si>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</si>
  <si>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</si>
  <si>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</si>
  <si>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</si>
  <si>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</si>
  <si>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</si>
  <si>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</si>
  <si>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</si>
  <si>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</si>
  <si>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</si>
  <si>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</si>
  <si>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</si>
  <si>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</si>
  <si>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</si>
  <si>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</si>
  <si>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</si>
  <si>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</si>
  <si>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</si>
  <si>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</si>
  <si>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</si>
  <si>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</si>
  <si>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</si>
  <si>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</si>
  <si>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</si>
  <si>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</si>
  <si>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</si>
  <si>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</si>
  <si>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</si>
  <si>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</si>
  <si>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</si>
  <si>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</si>
  <si>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</si>
  <si>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</si>
  <si>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</si>
  <si>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</si>
  <si>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</si>
  <si>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</si>
  <si>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</si>
  <si>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</si>
  <si>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</si>
  <si>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</si>
  <si>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</si>
  <si>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</si>
  <si>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</si>
  <si>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</si>
  <si>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</si>
  <si>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</si>
  <si>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</si>
  <si>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</si>
  <si>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</si>
  <si>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</si>
  <si>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</si>
  <si>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</si>
  <si>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</si>
  <si>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</si>
  <si>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</si>
  <si>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</si>
  <si>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</si>
  <si>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</si>
  <si>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</si>
  <si>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</si>
  <si>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</si>
  <si>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</si>
  <si>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</si>
  <si>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</si>
  <si>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</si>
  <si>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</si>
  <si>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</si>
  <si>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</si>
  <si>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</si>
  <si>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</si>
  <si>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</si>
  <si>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</si>
  <si>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</si>
  <si>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</si>
  <si>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</si>
  <si>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</si>
  <si>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</si>
  <si>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</si>
  <si>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</si>
  <si>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</si>
  <si>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</si>
  <si>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</si>
  <si>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</si>
  <si>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</si>
  <si>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</si>
  <si>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</si>
  <si>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</si>
  <si>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</si>
  <si>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</si>
  <si>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</si>
  <si>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</si>
  <si>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</si>
  <si>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</si>
  <si>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</si>
  <si>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</si>
  <si>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</si>
  <si>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</si>
  <si>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</si>
  <si>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</si>
  <si>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</si>
  <si>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</si>
  <si>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</si>
  <si>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</si>
  <si>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</si>
  <si>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</si>
  <si>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</si>
  <si>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</si>
  <si>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</si>
  <si>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</si>
  <si>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</si>
  <si>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</si>
  <si>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</si>
  <si>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</si>
  <si>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</si>
  <si>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</si>
  <si>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</si>
  <si>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</si>
  <si>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</si>
  <si>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</si>
  <si>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</si>
  <si>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</si>
  <si>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</si>
  <si>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</si>
  <si>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</si>
  <si>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</si>
  <si>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</si>
  <si>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</si>
  <si>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</si>
  <si>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</si>
  <si>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</si>
  <si>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</si>
  <si>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</si>
  <si>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</si>
  <si>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</si>
  <si>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</si>
  <si>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</si>
  <si>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</si>
  <si>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</si>
  <si>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</si>
  <si>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</si>
  <si>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</si>
  <si>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</si>
  <si>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</si>
  <si>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</si>
  <si>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</si>
  <si>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</si>
  <si>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</si>
  <si>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</si>
  <si>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</si>
  <si>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</si>
  <si>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</si>
  <si>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</si>
  <si>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</si>
  <si>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</si>
  <si>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</si>
  <si>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</si>
  <si>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</si>
  <si>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</si>
  <si>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</si>
  <si>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</si>
  <si>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</si>
  <si>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</si>
  <si>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</si>
  <si>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</si>
  <si>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</si>
  <si>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</si>
  <si>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</si>
  <si>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</si>
  <si>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</si>
  <si>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</si>
  <si>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</si>
  <si>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</si>
  <si>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</si>
  <si>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</si>
  <si>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</si>
  <si>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</si>
  <si>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</si>
  <si>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</si>
  <si>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</si>
  <si>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</si>
  <si>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</si>
  <si>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</si>
  <si>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</si>
  <si>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</si>
  <si>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</si>
  <si>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</si>
  <si>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</si>
  <si>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</si>
  <si>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</si>
  <si>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</si>
  <si>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</si>
  <si>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</si>
  <si>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</si>
  <si>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</si>
  <si>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</si>
  <si>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</si>
  <si>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</si>
  <si>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</si>
  <si>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</si>
  <si>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</si>
  <si>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</si>
  <si>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</si>
  <si>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</si>
  <si>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</si>
  <si>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</si>
  <si>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</si>
  <si>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</si>
  <si>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</si>
  <si>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</si>
  <si>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</si>
  <si>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</si>
  <si>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</si>
  <si>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</si>
  <si>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</si>
  <si>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</si>
  <si>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</si>
  <si>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</si>
  <si>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</si>
  <si>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</si>
  <si>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</si>
  <si>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</si>
  <si>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</si>
  <si>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</si>
  <si>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</si>
  <si>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</si>
  <si>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</si>
  <si>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</si>
  <si>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</si>
  <si>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</si>
  <si>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</si>
  <si>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</si>
  <si>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</si>
  <si>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</si>
  <si>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</si>
  <si>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</si>
  <si>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</si>
  <si>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</si>
  <si>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</si>
  <si>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</si>
  <si>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</si>
  <si>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</si>
  <si>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</si>
  <si>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</si>
  <si>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</si>
  <si>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</si>
  <si>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</si>
  <si>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</si>
  <si>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</si>
  <si>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</si>
  <si>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</si>
  <si>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</si>
  <si>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</si>
  <si>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</si>
  <si>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</si>
  <si>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</si>
  <si>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</si>
  <si>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</si>
  <si>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</si>
  <si>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</si>
  <si>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</si>
  <si>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</si>
  <si>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</si>
  <si>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</si>
  <si>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</si>
  <si>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</si>
  <si>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</si>
  <si>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</si>
  <si>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</si>
  <si>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</si>
  <si>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</si>
  <si>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</si>
  <si>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</si>
  <si>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</si>
  <si>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</si>
  <si>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</si>
  <si>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</si>
  <si>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</si>
  <si>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</si>
  <si>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</si>
  <si>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</si>
  <si>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</si>
  <si>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</si>
  <si>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</si>
  <si>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</si>
  <si>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</si>
  <si>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</si>
  <si>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</si>
  <si>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</si>
  <si>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</si>
  <si>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</si>
  <si>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</si>
  <si>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</si>
  <si>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</si>
  <si>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</si>
  <si>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</si>
  <si>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</si>
  <si>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</si>
  <si>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</si>
  <si>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</si>
  <si>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</si>
  <si>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</si>
  <si>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</si>
  <si>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</si>
  <si>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</si>
  <si>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</si>
  <si>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</si>
  <si>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</si>
  <si>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</si>
  <si>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</si>
  <si>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</si>
  <si>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</si>
  <si>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</si>
  <si>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</si>
  <si>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</si>
  <si>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</si>
  <si>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</si>
  <si>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</si>
  <si>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</si>
  <si>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</si>
  <si>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</si>
  <si>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</si>
  <si>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</si>
  <si>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</si>
  <si>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</si>
  <si>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</si>
  <si>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</si>
  <si>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</si>
  <si>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</si>
  <si>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</si>
  <si>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</si>
  <si>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</si>
  <si>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</si>
  <si>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</si>
  <si>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</si>
  <si>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</si>
  <si>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</si>
  <si>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</si>
  <si>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</si>
  <si>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</si>
  <si>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</si>
  <si>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</si>
  <si>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</si>
  <si>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</si>
  <si>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</si>
  <si>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</si>
  <si>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</si>
  <si>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</si>
  <si>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</si>
  <si>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</si>
  <si>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</si>
  <si>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</si>
  <si>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</si>
  <si>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</si>
  <si>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</si>
  <si>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</si>
  <si>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</si>
  <si>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</si>
  <si>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</si>
  <si>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</si>
  <si>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</si>
  <si>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</si>
  <si>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</si>
  <si>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</si>
  <si>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</si>
  <si>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</si>
  <si>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</si>
  <si>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</si>
  <si>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</si>
  <si>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</si>
  <si>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</si>
  <si>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</si>
  <si>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</si>
  <si>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</si>
  <si>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</si>
  <si>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</si>
  <si>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</si>
  <si>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</si>
  <si>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</si>
  <si>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</si>
  <si>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</si>
  <si>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</si>
  <si>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</si>
  <si>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</si>
  <si>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</si>
  <si>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</si>
  <si>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</si>
  <si>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</si>
  <si>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</si>
  <si>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</si>
  <si>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</si>
  <si>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</si>
  <si>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</si>
  <si>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</si>
  <si>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</si>
  <si>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</si>
  <si>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</si>
  <si>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</si>
  <si>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</si>
  <si>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</si>
  <si>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</si>
  <si>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</si>
  <si>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</si>
  <si>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</si>
  <si>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</si>
  <si>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</si>
  <si>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</si>
  <si>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</si>
  <si>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</si>
  <si>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</si>
  <si>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</si>
  <si>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</si>
  <si>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</si>
  <si>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</si>
  <si>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</si>
  <si>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</si>
  <si>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</si>
  <si>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</si>
  <si>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</si>
  <si>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</si>
  <si>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</si>
  <si>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</si>
  <si>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</si>
  <si>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</si>
  <si>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</si>
  <si>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</si>
  <si>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</si>
  <si>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</si>
  <si>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</si>
  <si>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</si>
  <si>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</si>
  <si>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</si>
  <si>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</si>
  <si>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</si>
  <si>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</si>
  <si>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</si>
  <si>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</si>
  <si>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</si>
  <si>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</si>
  <si>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</si>
  <si>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</si>
  <si>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</si>
  <si>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</si>
  <si>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</si>
  <si>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</si>
  <si>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</si>
  <si>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</si>
  <si>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</si>
  <si>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</si>
  <si>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</si>
  <si>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</si>
  <si>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</si>
  <si>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</si>
  <si>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</si>
  <si>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</si>
  <si>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</si>
  <si>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</si>
  <si>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</si>
  <si>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</si>
  <si>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</si>
  <si>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</si>
  <si>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</si>
  <si>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</si>
  <si>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</si>
  <si>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</si>
  <si>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</si>
  <si>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</si>
  <si>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</si>
  <si>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</si>
  <si>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</si>
  <si>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</si>
  <si>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</si>
  <si>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</si>
  <si>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</si>
  <si>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</si>
  <si>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</si>
  <si>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</si>
  <si>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</si>
  <si>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</si>
  <si>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</si>
  <si>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</si>
  <si>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</si>
  <si>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</si>
  <si>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</si>
  <si>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</si>
  <si>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</si>
  <si>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</si>
  <si>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</si>
  <si>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</si>
  <si>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</si>
  <si>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</si>
  <si>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</si>
  <si>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</si>
  <si>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</si>
  <si>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</si>
  <si>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</si>
  <si>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</si>
  <si>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</si>
  <si>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</si>
  <si>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</si>
  <si>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</si>
  <si>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</si>
  <si>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</si>
  <si>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</si>
  <si>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</si>
  <si>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</si>
  <si>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</si>
  <si>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</si>
  <si>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</si>
  <si>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</si>
  <si>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</si>
  <si>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</si>
  <si>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</si>
  <si>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</si>
  <si>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</si>
  <si>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</si>
  <si>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</si>
  <si>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</si>
  <si>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</si>
  <si>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</si>
  <si>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</si>
  <si>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</si>
  <si>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</si>
  <si>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</si>
  <si>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</si>
  <si>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</si>
  <si>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</si>
  <si>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</si>
  <si>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</si>
  <si>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</si>
  <si>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</si>
  <si>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</si>
  <si>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</si>
  <si>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</si>
  <si>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</si>
  <si>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</si>
  <si>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</si>
  <si>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</si>
  <si>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</si>
  <si>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</si>
  <si>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</si>
  <si>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</si>
  <si>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</si>
  <si>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</si>
  <si>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</si>
  <si>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</si>
  <si>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</si>
  <si>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</si>
  <si>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</si>
  <si>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</si>
  <si>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</si>
  <si>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</si>
  <si>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</si>
  <si>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</si>
  <si>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</si>
  <si>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</si>
  <si>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</si>
  <si>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</si>
  <si>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</si>
  <si>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</si>
  <si>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</si>
  <si>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</si>
  <si>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</si>
  <si>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</si>
  <si>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</si>
  <si>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</si>
  <si>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</si>
  <si>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</si>
  <si>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</si>
  <si>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</si>
  <si>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</si>
  <si>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</si>
  <si>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</si>
  <si>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</si>
  <si>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</si>
  <si>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</si>
  <si>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</si>
  <si>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</si>
  <si>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</si>
  <si>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</si>
  <si>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</si>
  <si>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</si>
  <si>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</si>
  <si>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</si>
  <si>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</si>
  <si>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</si>
  <si>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</si>
  <si>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</si>
  <si>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</si>
  <si>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</si>
  <si>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</si>
  <si>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</si>
  <si>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</si>
  <si>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</si>
  <si>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</si>
  <si>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</si>
  <si>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</si>
  <si>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</si>
  <si>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</si>
  <si>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</si>
  <si>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</si>
  <si>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</si>
  <si>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</si>
  <si>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</si>
  <si>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</si>
  <si>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</si>
  <si>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</si>
  <si>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</si>
  <si>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</si>
  <si>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</si>
  <si>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</si>
  <si>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</si>
  <si>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</si>
  <si>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</si>
  <si>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</si>
  <si>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</si>
  <si>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</si>
  <si>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</si>
  <si>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</si>
  <si>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</si>
  <si>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</si>
  <si>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</si>
  <si>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</si>
  <si>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</si>
  <si>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</si>
  <si>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</si>
  <si>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</si>
  <si>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</si>
  <si>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</si>
  <si>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</si>
  <si>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</si>
  <si>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</si>
  <si>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</si>
  <si>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</si>
  <si>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</si>
  <si>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</si>
  <si>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</si>
  <si>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</si>
  <si>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</si>
  <si>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</si>
  <si>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</si>
  <si>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</si>
  <si>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</si>
  <si>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</si>
  <si>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</si>
  <si>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</si>
  <si>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</si>
  <si>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</si>
  <si>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</si>
  <si>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</si>
  <si>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</si>
  <si>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</si>
  <si>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</si>
  <si>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</si>
  <si>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</si>
  <si>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</si>
  <si>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</si>
  <si>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</si>
  <si>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</si>
  <si>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</si>
  <si>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</si>
  <si>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</si>
  <si>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</si>
  <si>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</si>
  <si>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</si>
  <si>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</si>
  <si>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</si>
  <si>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</si>
  <si>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</si>
  <si>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</si>
  <si>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</si>
  <si>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</si>
  <si>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</si>
  <si>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</si>
  <si>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</si>
  <si>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</si>
  <si>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</si>
  <si>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</si>
  <si>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</si>
  <si>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</si>
  <si>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</si>
  <si>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</si>
  <si>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</si>
  <si>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</si>
  <si>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</si>
  <si>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</si>
  <si>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</si>
  <si>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</si>
  <si>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</si>
  <si>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</si>
  <si>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</si>
  <si>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</si>
  <si>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</si>
  <si>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</si>
  <si>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</si>
  <si>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</si>
  <si>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</si>
  <si>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</si>
  <si>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</si>
  <si>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</si>
  <si>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</si>
  <si>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</si>
  <si>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</si>
  <si>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</si>
  <si>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</si>
  <si>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</si>
  <si>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</si>
  <si>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</si>
  <si>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</si>
  <si>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</si>
  <si>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</si>
  <si>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</si>
  <si>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</si>
  <si>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</si>
  <si>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</si>
  <si>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</si>
  <si>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</si>
  <si>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</si>
  <si>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</si>
  <si>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</si>
  <si>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</si>
  <si>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</si>
  <si>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</si>
  <si>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</si>
  <si>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</si>
  <si>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</si>
  <si>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</si>
  <si>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</si>
  <si>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</si>
  <si>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</si>
  <si>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</si>
  <si>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</si>
  <si>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</si>
  <si>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</si>
  <si>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</si>
  <si>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</si>
  <si>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</si>
  <si>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</si>
  <si>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</si>
  <si>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</si>
  <si>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</si>
  <si>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</si>
  <si>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</si>
  <si>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</si>
  <si>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</si>
  <si>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</si>
  <si>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</si>
  <si>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</si>
  <si>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</si>
  <si>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</si>
  <si>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</si>
  <si>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</si>
  <si>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</si>
  <si>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</si>
  <si>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</si>
  <si>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</si>
  <si>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</si>
  <si>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</si>
  <si>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</si>
  <si>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</si>
  <si>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</si>
  <si>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</si>
  <si>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</si>
  <si>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</si>
  <si>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</si>
  <si>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</si>
  <si>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</si>
  <si>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</si>
  <si>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</si>
  <si>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</si>
  <si>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</si>
  <si>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</si>
  <si>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</si>
  <si>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</si>
  <si>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</si>
  <si>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</si>
  <si>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</si>
  <si>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</si>
  <si>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</si>
  <si>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</si>
  <si>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</si>
  <si>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</si>
  <si>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</si>
  <si>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</si>
  <si>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</si>
  <si>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</si>
  <si>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</si>
  <si>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</si>
  <si>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</si>
  <si>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</si>
  <si>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</si>
  <si>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</si>
  <si>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</si>
  <si>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</si>
  <si>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</si>
  <si>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</si>
  <si>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</si>
  <si>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</si>
  <si>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</si>
  <si>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</si>
  <si>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</si>
  <si>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</si>
  <si>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</si>
  <si>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</si>
  <si>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</si>
  <si>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</si>
  <si>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</si>
  <si>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</si>
  <si>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</si>
  <si>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</si>
  <si>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</si>
  <si>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</si>
  <si>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</si>
  <si>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</si>
  <si>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</si>
  <si>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</si>
  <si>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</si>
  <si>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</si>
  <si>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</si>
  <si>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</si>
  <si>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</si>
  <si>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</si>
  <si>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</si>
  <si>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</si>
  <si>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</si>
  <si>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</si>
  <si>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</si>
  <si>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</si>
  <si>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</si>
  <si>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</si>
  <si>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</si>
  <si>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</si>
  <si>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</si>
  <si>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</si>
  <si>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</si>
  <si>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</si>
  <si>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</si>
  <si>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</si>
  <si>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</si>
  <si>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</si>
  <si>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</si>
  <si>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</si>
  <si>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</si>
  <si>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</si>
  <si>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</si>
  <si>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</si>
  <si>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</si>
  <si>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</si>
  <si>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</si>
  <si>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</si>
  <si>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</si>
  <si>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</si>
  <si>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</si>
  <si>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</si>
  <si>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</si>
  <si>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</si>
  <si>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</si>
  <si>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</si>
  <si>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</si>
  <si>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</si>
  <si>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</si>
  <si>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</si>
  <si>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</si>
  <si>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</si>
  <si>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</si>
  <si>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</si>
  <si>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</si>
  <si>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</si>
  <si>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</si>
  <si>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</si>
  <si>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</si>
  <si>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</si>
  <si>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</si>
  <si>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</si>
  <si>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</si>
  <si>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</si>
  <si>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</si>
  <si>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</si>
  <si>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</si>
  <si>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</si>
  <si>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</si>
  <si>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</si>
  <si>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</si>
  <si>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</si>
  <si>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</si>
  <si>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</si>
  <si>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</si>
  <si>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</si>
  <si>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</si>
  <si>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</si>
  <si>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</si>
  <si>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</si>
  <si>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</si>
  <si>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</si>
  <si>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</si>
  <si>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</si>
  <si>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</si>
  <si>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</si>
  <si>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</si>
  <si>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</si>
  <si>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</si>
  <si>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</si>
  <si>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</si>
  <si>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</si>
  <si>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</si>
  <si>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</si>
  <si>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</si>
  <si>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</si>
  <si>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</si>
  <si>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</si>
  <si>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</si>
  <si>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</si>
  <si>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</si>
  <si>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</si>
  <si>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</si>
  <si>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</si>
  <si>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</si>
  <si>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</si>
  <si>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</si>
  <si>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</si>
  <si>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</si>
  <si>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</si>
  <si>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</si>
  <si>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</si>
  <si>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</si>
  <si>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</si>
  <si>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</si>
  <si>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</si>
  <si>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</si>
  <si>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</si>
  <si>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</si>
  <si>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</si>
  <si>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</si>
  <si>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</si>
  <si>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</si>
  <si>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</si>
  <si>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</si>
  <si>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</si>
  <si>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</si>
  <si>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</si>
  <si>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</si>
  <si>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</si>
  <si>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</si>
  <si>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</si>
  <si>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</si>
  <si>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</si>
  <si>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</si>
  <si>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</si>
  <si>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</si>
  <si>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</si>
  <si>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</si>
  <si>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</si>
  <si>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</si>
  <si>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</si>
  <si>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</si>
  <si>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</si>
  <si>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</si>
  <si>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</si>
  <si>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</si>
  <si>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</si>
  <si>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</si>
  <si>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</si>
  <si>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</si>
  <si>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</si>
  <si>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</si>
  <si>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</si>
  <si>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</si>
  <si>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</si>
  <si>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</si>
  <si>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</si>
  <si>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</si>
  <si>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</si>
  <si>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</si>
  <si>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</si>
  <si>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</si>
  <si>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</si>
  <si>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</si>
  <si>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</si>
  <si>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</si>
  <si>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</si>
  <si>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</si>
  <si>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</si>
  <si>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</si>
  <si>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</si>
  <si>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</si>
  <si>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</si>
  <si>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</si>
  <si>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</si>
  <si>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</si>
  <si>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</si>
  <si>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</si>
  <si>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</si>
  <si>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</si>
  <si>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</si>
  <si>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</si>
  <si>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</si>
  <si>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</si>
  <si>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</si>
  <si>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</si>
  <si>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</si>
  <si>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</si>
  <si>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</si>
  <si>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</si>
  <si>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</si>
  <si>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</si>
  <si>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</si>
  <si>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</si>
  <si>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</si>
  <si>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</si>
  <si>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</si>
  <si>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</si>
  <si>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</si>
  <si>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</si>
  <si>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</si>
  <si>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</si>
  <si>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</si>
  <si>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</si>
  <si>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</si>
  <si>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</si>
  <si>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</si>
  <si>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</si>
  <si>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</si>
  <si>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</si>
  <si>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</si>
  <si>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</si>
  <si>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</si>
  <si>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</si>
  <si>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</si>
  <si>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</si>
  <si>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</si>
  <si>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</si>
  <si>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</si>
  <si>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</si>
  <si>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</si>
  <si>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</si>
  <si>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</si>
  <si>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</si>
  <si>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</si>
  <si>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</si>
  <si>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</si>
  <si>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</si>
  <si>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</si>
  <si>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</si>
  <si>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</si>
  <si>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</si>
  <si>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</si>
  <si>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</si>
  <si>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</si>
  <si>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</si>
  <si>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</si>
  <si>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</si>
  <si>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</si>
  <si>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</si>
  <si>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</si>
  <si>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</si>
  <si>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</si>
  <si>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</si>
  <si>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</si>
  <si>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</si>
  <si>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</si>
  <si>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</si>
  <si>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</si>
  <si>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</si>
  <si>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</si>
  <si>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</si>
  <si>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</si>
  <si>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</si>
  <si>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</si>
  <si>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</si>
  <si>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</si>
  <si>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</si>
  <si>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</si>
  <si>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</si>
  <si>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</si>
  <si>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</si>
  <si>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</si>
  <si>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</si>
  <si>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</si>
  <si>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</si>
  <si>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</si>
  <si>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</si>
  <si>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</si>
  <si>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</si>
  <si>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</si>
  <si>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</si>
  <si>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</si>
  <si>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</si>
  <si>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</si>
  <si>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</si>
  <si>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</si>
  <si>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</si>
  <si>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</si>
  <si>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</si>
  <si>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</si>
  <si>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</si>
  <si>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</si>
  <si>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</si>
  <si>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</si>
  <si>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</si>
  <si>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</si>
  <si>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</si>
  <si>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</si>
  <si>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</si>
  <si>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</si>
  <si>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</si>
  <si>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</si>
  <si>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</si>
  <si>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</si>
  <si>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</si>
  <si>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</si>
  <si>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</si>
  <si>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</si>
  <si>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</si>
  <si>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</si>
  <si>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</si>
  <si>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</si>
  <si>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</si>
  <si>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</si>
  <si>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</si>
  <si>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</si>
  <si>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</si>
  <si>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</si>
  <si>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</si>
  <si>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</si>
  <si>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</si>
  <si>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</si>
  <si>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</si>
  <si>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</si>
  <si>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</si>
  <si>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</si>
  <si>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</si>
  <si>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</si>
  <si>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</si>
  <si>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</si>
  <si>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</si>
  <si>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</si>
  <si>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</si>
  <si>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</si>
  <si>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</si>
  <si>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</si>
  <si>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</si>
  <si>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</si>
  <si>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</si>
  <si>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</si>
  <si>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</si>
  <si>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</si>
  <si>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</si>
  <si>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</si>
  <si>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</si>
  <si>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</si>
  <si>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</si>
  <si>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</si>
  <si>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</si>
  <si>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</si>
  <si>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</si>
  <si>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</si>
  <si>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</si>
  <si>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</si>
  <si>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</si>
  <si>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</si>
  <si>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</si>
  <si>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</si>
  <si>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</si>
  <si>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</si>
  <si>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</si>
  <si>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</si>
  <si>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</si>
  <si>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</si>
  <si>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</si>
  <si>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</si>
  <si>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</si>
  <si>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</si>
  <si>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</si>
  <si>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</si>
  <si>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</si>
  <si>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</si>
  <si>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</si>
  <si>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</si>
  <si>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</si>
  <si>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</si>
  <si>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</si>
  <si>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</si>
  <si>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</si>
  <si>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</si>
  <si>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</si>
  <si>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</si>
  <si>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</si>
  <si>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</si>
  <si>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</si>
  <si>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</si>
  <si>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</si>
  <si>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</si>
  <si>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</si>
  <si>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</si>
  <si>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</si>
  <si>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</si>
  <si>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</si>
  <si>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</si>
  <si>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</si>
  <si>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</si>
  <si>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</si>
  <si>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</si>
  <si>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</si>
  <si>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</si>
  <si>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</si>
  <si>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</si>
  <si>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</si>
  <si>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</si>
  <si>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</si>
  <si>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</si>
  <si>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</si>
  <si>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</si>
  <si>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</si>
  <si>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</si>
  <si>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</si>
  <si>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</si>
  <si>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</si>
  <si>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</si>
  <si>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</si>
  <si>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</si>
  <si>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</si>
  <si>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</si>
  <si>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</si>
  <si>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</si>
  <si>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</si>
  <si>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</si>
  <si>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</si>
  <si>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</si>
  <si>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</si>
  <si>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</si>
  <si>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</si>
  <si>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</si>
  <si>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</si>
  <si>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</si>
  <si>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</si>
  <si>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</si>
  <si>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</si>
  <si>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</si>
  <si>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</si>
  <si>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</si>
  <si>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</si>
  <si>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</si>
  <si>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</si>
  <si>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</si>
  <si>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</si>
  <si>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</si>
  <si>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</si>
  <si>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</si>
  <si>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</si>
  <si>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</si>
  <si>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</si>
  <si>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</si>
  <si>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</si>
  <si>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</si>
  <si>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</si>
  <si>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</si>
  <si>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</si>
  <si>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</si>
  <si>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</si>
  <si>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</si>
  <si>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</si>
  <si>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</si>
  <si>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</si>
  <si>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</si>
  <si>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</si>
  <si>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</si>
  <si>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</si>
  <si>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</si>
  <si>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</si>
  <si>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</si>
  <si>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</si>
  <si>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</si>
  <si>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</si>
  <si>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</si>
  <si>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</si>
  <si>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</si>
  <si>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</si>
  <si>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</si>
  <si>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</si>
  <si>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</si>
  <si>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</si>
  <si>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</si>
  <si>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</si>
  <si>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</si>
  <si>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</si>
  <si>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</si>
  <si>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</si>
  <si>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</si>
  <si>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</si>
  <si>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</si>
  <si>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</si>
  <si>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</si>
  <si>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</si>
  <si>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</si>
  <si>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</si>
  <si>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</si>
  <si>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</si>
  <si>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</si>
  <si>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</si>
  <si>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</si>
  <si>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</si>
  <si>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</si>
  <si>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</si>
  <si>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</si>
  <si>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</si>
  <si>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</si>
  <si>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</si>
  <si>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</si>
  <si>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</si>
  <si>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</si>
  <si>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</si>
  <si>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</si>
  <si>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</si>
  <si>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</si>
  <si>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</si>
  <si>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</si>
  <si>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</si>
  <si>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</si>
  <si>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</si>
  <si>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</si>
  <si>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</si>
  <si>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</si>
  <si>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</si>
  <si>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</si>
  <si>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</si>
  <si>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</si>
  <si>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</si>
  <si>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</si>
  <si>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</si>
  <si>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</si>
  <si>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</si>
  <si>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</si>
  <si>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</si>
  <si>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</si>
  <si>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</si>
  <si>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</si>
  <si>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</si>
  <si>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</si>
  <si>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</si>
  <si>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</si>
  <si>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</si>
  <si>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</si>
  <si>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</si>
  <si>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</si>
  <si>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</si>
  <si>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</si>
  <si>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</si>
  <si>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</si>
  <si>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</si>
  <si>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</si>
  <si>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</si>
  <si>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</si>
  <si>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</si>
  <si>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</si>
  <si>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</si>
  <si>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</si>
  <si>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</si>
  <si>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</si>
  <si>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</si>
  <si>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</si>
  <si>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</si>
  <si>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</si>
  <si>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</si>
  <si>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</si>
  <si>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</si>
  <si>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</si>
  <si>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</si>
  <si>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</si>
  <si>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</si>
  <si>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</si>
  <si>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</si>
  <si>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</si>
  <si>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</si>
  <si>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</si>
  <si>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</si>
  <si>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</si>
  <si>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</si>
  <si>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</si>
  <si>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</si>
  <si>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</si>
  <si>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</si>
  <si>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</si>
  <si>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</si>
  <si>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</si>
  <si>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</si>
  <si>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</si>
  <si>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</si>
  <si>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</si>
  <si>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</si>
  <si>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</si>
  <si>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</si>
  <si>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</si>
  <si>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</si>
  <si>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</si>
  <si>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</si>
  <si>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</si>
  <si>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</si>
  <si>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</si>
  <si>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</si>
  <si>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</si>
  <si>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</si>
  <si>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</si>
  <si>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</si>
  <si>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</si>
  <si>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</si>
  <si>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</si>
  <si>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</si>
  <si>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</si>
  <si>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</si>
  <si>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</si>
  <si>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</si>
  <si>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</si>
  <si>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</si>
  <si>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</si>
  <si>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</si>
  <si>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</si>
  <si>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</si>
  <si>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</si>
  <si>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</si>
  <si>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</si>
  <si>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</si>
  <si>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</si>
  <si>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</si>
  <si>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</si>
  <si>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</si>
  <si>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</si>
  <si>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</si>
  <si>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</si>
  <si>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</si>
  <si>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</si>
  <si>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</si>
  <si>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</si>
  <si>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</si>
  <si>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</si>
  <si>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</si>
  <si>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</si>
  <si>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</si>
  <si>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</si>
  <si>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</si>
  <si>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</si>
  <si>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</si>
  <si>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</si>
  <si>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</si>
  <si>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</si>
  <si>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</si>
  <si>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</si>
  <si>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</si>
  <si>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</si>
  <si>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</si>
  <si>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</si>
  <si>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</si>
  <si>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</si>
  <si>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</si>
  <si>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</si>
  <si>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</si>
  <si>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</si>
  <si>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</si>
  <si>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</si>
  <si>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</si>
  <si>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</si>
  <si>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</si>
  <si>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</si>
  <si>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</si>
  <si>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</si>
  <si>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</si>
  <si>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</si>
  <si>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</si>
  <si>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</si>
  <si>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</si>
  <si>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</si>
  <si>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</si>
  <si>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</si>
  <si>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</si>
  <si>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</si>
  <si>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</si>
  <si>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</si>
  <si>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</si>
  <si>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</si>
  <si>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</si>
  <si>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</si>
  <si>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</si>
  <si>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</si>
  <si>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</si>
  <si>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</si>
  <si>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</si>
  <si>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</si>
  <si>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</si>
  <si>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</si>
  <si>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</si>
  <si>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</si>
  <si>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</si>
  <si>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</si>
  <si>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</si>
  <si>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</si>
  <si>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</si>
  <si>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</si>
  <si>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</si>
  <si>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</si>
  <si>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</si>
  <si>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</si>
  <si>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</si>
  <si>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</si>
  <si>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</si>
  <si>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</si>
  <si>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</si>
  <si>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</si>
  <si>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</si>
  <si>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</si>
  <si>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</si>
  <si>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</si>
  <si>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</si>
  <si>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</si>
  <si>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</si>
  <si>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</si>
  <si>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</si>
  <si>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</si>
  <si>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</si>
  <si>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</si>
  <si>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</si>
  <si>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</si>
  <si>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</si>
  <si>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</si>
  <si>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</si>
  <si>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</si>
  <si>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</si>
  <si>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</si>
  <si>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</si>
  <si>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</si>
  <si>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</si>
  <si>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</si>
  <si>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</si>
  <si>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</si>
  <si>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</si>
  <si>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</si>
  <si>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</si>
  <si>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</si>
  <si>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</si>
  <si>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</si>
  <si>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</si>
  <si>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</si>
  <si>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</si>
  <si>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</si>
  <si>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</si>
  <si>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</si>
  <si>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</si>
  <si>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</si>
  <si>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</si>
  <si>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</si>
  <si>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</si>
  <si>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</si>
  <si>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</si>
  <si>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</si>
  <si>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</si>
  <si>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</si>
  <si>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</si>
  <si>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</si>
  <si>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</si>
  <si>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</si>
  <si>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</si>
  <si>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</si>
  <si>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</si>
  <si>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</si>
  <si>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</si>
  <si>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</si>
  <si>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</si>
  <si>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</si>
  <si>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</si>
  <si>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</si>
  <si>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</si>
  <si>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</si>
  <si>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</si>
  <si>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</si>
  <si>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</si>
  <si>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</si>
  <si>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</si>
  <si>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</si>
  <si>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</si>
  <si>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</si>
  <si>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</si>
  <si>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</si>
  <si>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</si>
  <si>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</si>
  <si>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</si>
  <si>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</si>
  <si>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</si>
  <si>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</si>
  <si>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</si>
  <si>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</si>
  <si>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</si>
  <si>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</si>
  <si>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</si>
  <si>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</si>
  <si>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</si>
  <si>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</si>
  <si>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</si>
  <si>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</si>
  <si>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</si>
  <si>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</si>
  <si>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</si>
  <si>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</si>
  <si>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</si>
  <si>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</si>
  <si>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</si>
  <si>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</si>
  <si>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</si>
  <si>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</si>
  <si>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</si>
  <si>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</si>
  <si>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</si>
  <si>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</si>
  <si>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</si>
  <si>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</si>
  <si>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</si>
  <si>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</si>
  <si>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</si>
  <si>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</si>
  <si>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</si>
  <si>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</si>
  <si>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</si>
  <si>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</si>
  <si>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</si>
  <si>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</si>
  <si>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</si>
  <si>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</si>
  <si>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</si>
  <si>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</si>
  <si>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</si>
  <si>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</si>
  <si>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</si>
  <si>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</si>
  <si>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</si>
  <si>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</si>
  <si>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</si>
  <si>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</si>
  <si>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</si>
  <si>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</si>
  <si>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</si>
  <si>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</si>
  <si>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</si>
  <si>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</si>
  <si>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</si>
  <si>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</si>
  <si>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</si>
  <si>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</si>
  <si>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</si>
  <si>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</si>
  <si>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</si>
  <si>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</si>
  <si>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</si>
  <si>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</si>
  <si>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</si>
  <si>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</si>
  <si>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</si>
  <si>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</si>
  <si>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</si>
  <si>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</si>
  <si>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</si>
  <si>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</si>
  <si>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</si>
  <si>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</si>
  <si>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</si>
  <si>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</si>
  <si>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</si>
  <si>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</si>
  <si>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</si>
  <si>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</si>
  <si>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</si>
  <si>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</si>
  <si>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</si>
  <si>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</si>
  <si>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</si>
  <si>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</si>
  <si>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</si>
  <si>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</si>
  <si>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</si>
  <si>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</si>
  <si>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</si>
  <si>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</si>
  <si>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</si>
  <si>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</si>
  <si>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</si>
  <si>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</si>
  <si>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</si>
  <si>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</si>
  <si>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</si>
  <si>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</si>
  <si>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</si>
  <si>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</si>
  <si>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</si>
  <si>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</si>
  <si>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</si>
  <si>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</si>
  <si>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</si>
  <si>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</si>
  <si>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</si>
  <si>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</si>
  <si>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</si>
  <si>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</si>
  <si>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</si>
  <si>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</si>
  <si>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</si>
  <si>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</si>
  <si>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</si>
  <si>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</si>
  <si>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</si>
  <si>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</si>
  <si>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</si>
  <si>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</si>
  <si>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</si>
  <si>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</si>
  <si>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</si>
  <si>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</si>
  <si>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</si>
  <si>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</si>
  <si>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</si>
  <si>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</si>
  <si>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</si>
  <si>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</si>
  <si>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</si>
  <si>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</si>
  <si>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</si>
  <si>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</si>
  <si>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</si>
  <si>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</si>
  <si>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</si>
  <si>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</si>
  <si>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</si>
  <si>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</si>
  <si>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</si>
  <si>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</si>
  <si>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</si>
  <si>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</si>
  <si>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</si>
  <si>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</si>
  <si>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</si>
  <si>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</si>
  <si>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</si>
  <si>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</si>
  <si>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</si>
  <si>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</si>
  <si>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</si>
  <si>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</si>
  <si>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</si>
  <si>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</si>
  <si>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</si>
  <si>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</si>
  <si>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</si>
  <si>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</si>
  <si>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</si>
  <si>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</si>
  <si>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</si>
  <si>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</si>
  <si>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</si>
  <si>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</si>
  <si>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</si>
  <si>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</si>
  <si>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</si>
  <si>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</si>
  <si>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</si>
  <si>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</si>
  <si>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</si>
  <si>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</si>
  <si>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</si>
  <si>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</si>
  <si>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</si>
  <si>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</si>
  <si>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</si>
  <si>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</si>
  <si>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</si>
  <si>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</si>
  <si>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</si>
  <si>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</si>
  <si>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</si>
  <si>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</si>
  <si>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</si>
  <si>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</si>
  <si>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</si>
  <si>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</si>
  <si>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</si>
  <si>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</si>
  <si>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</si>
  <si>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</si>
  <si>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</si>
  <si>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</si>
  <si>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</si>
  <si>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</si>
  <si>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</si>
  <si>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</si>
  <si>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</si>
  <si>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</si>
  <si>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</si>
  <si>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</si>
  <si>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</si>
  <si>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</si>
  <si>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</si>
  <si>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</si>
  <si>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</si>
  <si>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</si>
  <si>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</si>
  <si>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</si>
  <si>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</si>
  <si>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</si>
  <si>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</si>
  <si>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</si>
  <si>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</si>
  <si>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</si>
  <si>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</si>
  <si>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</si>
  <si>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</si>
  <si>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</si>
  <si>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</si>
  <si>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</si>
  <si>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</si>
  <si>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</si>
  <si>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</si>
  <si>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</si>
  <si>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</si>
  <si>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</si>
  <si>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</si>
  <si>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</si>
  <si>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</si>
  <si>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</si>
  <si>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</si>
  <si>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</si>
  <si>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</si>
  <si>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</si>
  <si>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</si>
  <si>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</si>
  <si>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</si>
  <si>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</si>
  <si>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</si>
  <si>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</si>
  <si>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</si>
  <si>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</si>
  <si>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</si>
  <si>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</si>
  <si>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</si>
  <si>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</si>
  <si>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</si>
  <si>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</si>
  <si>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</si>
  <si>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</si>
  <si>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</si>
  <si>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</si>
  <si>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</si>
  <si>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</si>
  <si>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</si>
  <si>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</si>
  <si>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</si>
  <si>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</si>
  <si>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</si>
  <si>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</si>
  <si>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</si>
  <si>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</si>
  <si>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</si>
  <si>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</si>
  <si>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</si>
  <si>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</si>
  <si>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</si>
  <si>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</si>
  <si>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</si>
  <si>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</si>
  <si>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</si>
  <si>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</si>
  <si>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</si>
  <si>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</si>
  <si>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</si>
  <si>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</si>
  <si>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</si>
  <si>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</si>
  <si>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</si>
  <si>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</si>
  <si>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</si>
  <si>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</si>
  <si>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</si>
  <si>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</si>
  <si>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</si>
  <si>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</si>
  <si>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</si>
  <si>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</si>
  <si>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</si>
  <si>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</si>
  <si>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</si>
  <si>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</si>
  <si>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</si>
  <si>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</si>
  <si>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</si>
  <si>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</si>
  <si>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</si>
  <si>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</si>
  <si>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</si>
  <si>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</si>
  <si>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</si>
  <si>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</si>
  <si>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</si>
  <si>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</si>
  <si>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</si>
  <si>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</si>
  <si>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</si>
  <si>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</si>
  <si>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</si>
  <si>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</si>
  <si>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</si>
  <si>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</si>
  <si>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</si>
  <si>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</si>
  <si>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</si>
  <si>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</si>
  <si>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</si>
  <si>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</si>
  <si>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</si>
  <si>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</si>
  <si>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</si>
  <si>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</si>
  <si>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</si>
  <si>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</si>
  <si>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</si>
  <si>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</si>
  <si>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</si>
  <si>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</si>
  <si>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</si>
  <si>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</si>
  <si>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</si>
  <si>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</si>
  <si>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</si>
  <si>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</si>
  <si>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</si>
  <si>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</si>
  <si>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</si>
  <si>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</si>
  <si>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</si>
  <si>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</si>
  <si>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</si>
  <si>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</si>
  <si>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</si>
  <si>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</si>
  <si>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</si>
  <si>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</si>
  <si>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</si>
  <si>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</si>
  <si>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</si>
  <si>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</si>
  <si>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</si>
  <si>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</si>
  <si>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</si>
  <si>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</si>
  <si>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</si>
  <si>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</si>
  <si>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</si>
  <si>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</si>
  <si>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</si>
  <si>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</si>
  <si>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</si>
  <si>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</si>
  <si>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</si>
  <si>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</si>
  <si>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</si>
  <si>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</si>
  <si>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</si>
  <si>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</si>
  <si>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</si>
  <si>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</si>
  <si>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</si>
  <si>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</si>
  <si>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</si>
  <si>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</si>
  <si>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</si>
  <si>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</si>
  <si>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</si>
  <si>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</si>
  <si>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</si>
  <si>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</si>
  <si>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</si>
  <si>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</si>
  <si>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</si>
  <si>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</si>
  <si>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</si>
  <si>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</si>
  <si>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</si>
  <si>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</si>
  <si>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</si>
  <si>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</si>
  <si>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</si>
  <si>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</si>
  <si>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</si>
  <si>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</si>
  <si>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</si>
  <si>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</si>
  <si>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</si>
  <si>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</si>
  <si>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</si>
  <si>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</si>
  <si>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</si>
  <si>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</si>
  <si>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</si>
  <si>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</si>
  <si>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</si>
  <si>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</si>
  <si>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</si>
  <si>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</si>
  <si>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</si>
  <si>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</si>
  <si>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</si>
  <si>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</si>
  <si>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</si>
  <si>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</si>
  <si>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</si>
  <si>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</si>
  <si>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</si>
  <si>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</si>
  <si>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</si>
  <si>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</si>
  <si>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</si>
  <si>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</si>
  <si>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</si>
  <si>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</si>
  <si>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</si>
  <si>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</si>
  <si>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</si>
  <si>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</si>
  <si>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</si>
  <si>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</si>
  <si>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</si>
  <si>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</si>
  <si>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</si>
  <si>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</si>
  <si>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</si>
  <si>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</si>
  <si>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</si>
  <si>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</si>
  <si>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</si>
  <si>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</si>
  <si>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</si>
  <si>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</si>
  <si>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</si>
  <si>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</si>
  <si>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</si>
  <si>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</si>
  <si>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</si>
  <si>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</si>
  <si>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</si>
  <si>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</si>
  <si>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</si>
  <si>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</si>
  <si>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</si>
  <si>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</si>
  <si>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</si>
  <si>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</si>
  <si>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</si>
  <si>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</si>
  <si>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</si>
  <si>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</si>
  <si>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</si>
  <si>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</si>
  <si>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</si>
  <si>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</si>
  <si>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</si>
  <si>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</si>
  <si>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</si>
  <si>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</si>
  <si>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</si>
  <si>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</si>
  <si>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</si>
  <si>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</si>
  <si>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</si>
  <si>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</si>
  <si>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</si>
  <si>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</si>
  <si>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</si>
  <si>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</si>
  <si>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</si>
  <si>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</si>
  <si>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</si>
  <si>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</si>
  <si>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</si>
  <si>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</si>
  <si>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</si>
  <si>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</si>
  <si>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</si>
  <si>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</si>
  <si>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</si>
  <si>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</si>
  <si>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</si>
  <si>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</si>
  <si>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</si>
  <si>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</si>
  <si>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</si>
  <si>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</si>
  <si>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</si>
  <si>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</si>
  <si>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</si>
  <si>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</si>
  <si>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</si>
  <si>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</si>
  <si>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</si>
  <si>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</si>
  <si>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</si>
  <si>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</si>
  <si>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</si>
  <si>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</si>
  <si>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</si>
  <si>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</si>
  <si>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</si>
  <si>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</si>
  <si>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</si>
  <si>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</si>
  <si>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</si>
  <si>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</si>
  <si>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</si>
  <si>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</si>
  <si>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</si>
  <si>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</si>
  <si>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</si>
  <si>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</si>
  <si>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</si>
  <si>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</si>
  <si>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</si>
  <si>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</si>
  <si>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</si>
  <si>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</si>
  <si>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</si>
  <si>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</si>
  <si>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</si>
  <si>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</si>
  <si>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</si>
  <si>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</si>
  <si>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</si>
  <si>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</si>
  <si>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</si>
  <si>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</si>
  <si>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</si>
  <si>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</si>
  <si>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</si>
  <si>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</si>
  <si>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</si>
  <si>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</si>
  <si>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</si>
  <si>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</si>
  <si>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</si>
  <si>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</si>
  <si>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</si>
  <si>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</si>
  <si>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</si>
  <si>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</si>
  <si>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</si>
  <si>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</si>
  <si>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</si>
  <si>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</si>
  <si>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</si>
  <si>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</si>
  <si>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</si>
  <si>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</si>
  <si>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</si>
  <si>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</si>
  <si>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</si>
  <si>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</si>
  <si>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</si>
  <si>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</si>
  <si>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</si>
  <si>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</si>
  <si>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</si>
  <si>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</si>
  <si>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</si>
  <si>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</si>
  <si>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</si>
  <si>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</si>
  <si>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</si>
  <si>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</si>
  <si>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</si>
  <si>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</si>
  <si>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</si>
  <si>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</si>
  <si>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</si>
  <si>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</si>
  <si>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</si>
  <si>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</si>
  <si>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</si>
  <si>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</si>
  <si>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</si>
  <si>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</si>
  <si>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</si>
  <si>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</si>
  <si>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</si>
  <si>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</si>
  <si>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</si>
  <si>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</si>
  <si>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</si>
  <si>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</si>
  <si>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</si>
  <si>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</si>
  <si>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</si>
  <si>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</si>
  <si>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</si>
  <si>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</si>
  <si>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</si>
  <si>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</si>
  <si>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</si>
  <si>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</si>
  <si>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</si>
  <si>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</si>
  <si>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</si>
  <si>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</si>
  <si>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</si>
  <si>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</si>
  <si>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</si>
  <si>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</si>
  <si>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</si>
  <si>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</si>
  <si>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</si>
  <si>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</si>
  <si>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</si>
  <si>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</si>
  <si>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</si>
  <si>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</si>
  <si>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</si>
  <si>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</si>
  <si>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</si>
  <si>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</si>
  <si>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</si>
  <si>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</si>
  <si>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</si>
  <si>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</si>
  <si>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</si>
  <si>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</si>
  <si>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</si>
  <si>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</si>
  <si>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</si>
  <si>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</si>
  <si>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</si>
  <si>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</si>
  <si>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</si>
  <si>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</si>
  <si>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</si>
  <si>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</si>
  <si>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</si>
  <si>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</si>
  <si>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</si>
  <si>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</si>
  <si>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</si>
  <si>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</si>
  <si>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</si>
  <si>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</si>
  <si>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</si>
  <si>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</si>
  <si>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</si>
  <si>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</si>
  <si>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</si>
  <si>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</si>
  <si>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</si>
  <si>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</si>
  <si>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</si>
  <si>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</si>
  <si>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</si>
  <si>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</si>
  <si>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</si>
  <si>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</si>
  <si>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</si>
  <si>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</si>
  <si>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</si>
  <si>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</si>
  <si>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</si>
  <si>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</si>
  <si>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</si>
  <si>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</si>
  <si>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</si>
  <si>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</si>
  <si>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</si>
  <si>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</si>
  <si>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</si>
  <si>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</si>
  <si>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</si>
  <si>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</si>
  <si>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</si>
  <si>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</si>
  <si>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</si>
  <si>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</si>
  <si>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</si>
  <si>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</si>
  <si>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</si>
  <si>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</si>
  <si>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</si>
  <si>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</si>
  <si>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</si>
  <si>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</si>
  <si>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</si>
  <si>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</si>
  <si>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</si>
  <si>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</si>
  <si>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</si>
  <si>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</si>
  <si>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</si>
  <si>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</si>
  <si>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</si>
  <si>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</si>
  <si>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</si>
  <si>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</si>
  <si>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</si>
  <si>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</si>
  <si>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</si>
  <si>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</si>
  <si>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</si>
  <si>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</si>
  <si>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</si>
  <si>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</si>
  <si>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</si>
  <si>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</si>
  <si>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</si>
  <si>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</si>
  <si>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</si>
  <si>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</si>
  <si>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</si>
  <si>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</si>
  <si>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</si>
  <si>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</si>
  <si>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</si>
  <si>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</si>
  <si>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</si>
  <si>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</si>
  <si>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</si>
  <si>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</si>
  <si>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</si>
  <si>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</si>
  <si>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</si>
  <si>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</si>
  <si>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</si>
  <si>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</si>
  <si>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</si>
  <si>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</si>
  <si>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</si>
  <si>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</si>
  <si>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</si>
  <si>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</si>
  <si>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</si>
  <si>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</si>
  <si>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</si>
  <si>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</si>
  <si>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</si>
  <si>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</si>
  <si>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</si>
  <si>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</si>
  <si>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</si>
  <si>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</si>
  <si>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</si>
  <si>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</si>
  <si>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</si>
  <si>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</si>
  <si>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</si>
  <si>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</si>
  <si>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</si>
  <si>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</si>
  <si>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</si>
  <si>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</si>
  <si>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</si>
  <si>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</si>
  <si>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</si>
  <si>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</si>
  <si>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</si>
  <si>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</si>
  <si>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</si>
  <si>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</si>
  <si>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</si>
  <si>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</si>
  <si>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</si>
  <si>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</si>
  <si>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</si>
  <si>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</si>
  <si>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</si>
  <si>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</si>
  <si>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</si>
  <si>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</si>
  <si>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</si>
  <si>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</si>
  <si>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</si>
  <si>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</si>
  <si>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</si>
  <si>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</si>
  <si>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</si>
  <si>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</si>
  <si>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</si>
  <si>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</si>
  <si>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</si>
  <si>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</si>
  <si>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</si>
  <si>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</si>
  <si>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</si>
  <si>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</si>
  <si>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</si>
  <si>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</si>
  <si>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</si>
  <si>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</si>
  <si>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</si>
  <si>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</si>
  <si>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</si>
  <si>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</si>
  <si>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</si>
  <si>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</si>
  <si>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</si>
  <si>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</si>
  <si>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</si>
  <si>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</si>
  <si>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</si>
  <si>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</si>
  <si>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</si>
  <si>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</si>
  <si>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</si>
  <si>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</si>
  <si>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</si>
  <si>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</si>
  <si>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</si>
  <si>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</si>
  <si>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</si>
  <si>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</si>
  <si>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</si>
  <si>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</si>
  <si>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</si>
  <si>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</si>
  <si>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</si>
  <si>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</si>
  <si>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</si>
  <si>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</si>
  <si>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</si>
  <si>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</si>
  <si>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</si>
  <si>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</si>
  <si>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</si>
  <si>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1995</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</si>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</sst>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30700</v>
      </c>
      <c r="F24" s="3419" t="str">
        <f t="shared" si="0"/>
        <v>NA</v>
      </c>
      <c r="G24" s="3395">
        <v>675.67909090909097</v>
      </c>
      <c r="H24" s="3374">
        <f t="shared" si="1"/>
        <v>2477.4900000000002</v>
      </c>
      <c r="I24" s="2579" t="s">
        <v>2147</v>
      </c>
      <c r="J24" s="2580"/>
      <c r="M24" s="125"/>
    </row>
    <row r="25" spans="2:13" ht="18" customHeight="1" x14ac:dyDescent="0.2">
      <c r="B25" s="165"/>
      <c r="C25" s="1563"/>
      <c r="D25" s="1452" t="s">
        <v>1789</v>
      </c>
      <c r="E25" s="3414">
        <v>19300</v>
      </c>
      <c r="F25" s="3419" t="str">
        <f t="shared" si="0"/>
        <v>NA</v>
      </c>
      <c r="G25" s="3395">
        <v>366.53331818181829</v>
      </c>
      <c r="H25" s="3374">
        <f t="shared" si="1"/>
        <v>1343.9555000000003</v>
      </c>
      <c r="I25" s="2579" t="s">
        <v>2147</v>
      </c>
      <c r="J25" s="2580"/>
      <c r="M25" s="125"/>
    </row>
    <row r="26" spans="2:13" ht="18" customHeight="1" x14ac:dyDescent="0.2">
      <c r="B26" s="165"/>
      <c r="C26" s="1563"/>
      <c r="D26" s="1452" t="s">
        <v>1790</v>
      </c>
      <c r="E26" s="3418">
        <v>10003.149703356943</v>
      </c>
      <c r="F26" s="3419">
        <f t="shared" si="0"/>
        <v>25.261363636363637</v>
      </c>
      <c r="G26" s="3395">
        <v>252.69320216548277</v>
      </c>
      <c r="H26" s="3374">
        <f t="shared" si="1"/>
        <v>926.54174127343686</v>
      </c>
      <c r="I26" s="3395">
        <v>926.54174127343686</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36933.768728498151</v>
      </c>
      <c r="F28" s="3419">
        <f>IF(I28="NA","NA",I28/(44/12)*1000/E28)</f>
        <v>0.96624319594575536</v>
      </c>
      <c r="G28" s="3395">
        <v>646.94048767544416</v>
      </c>
      <c r="H28" s="3374">
        <f>IF(G28="NA","NA",IF(G28="NO","NO",G28*44/12))</f>
        <v>2372.1151214766287</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113833.04961786067</v>
      </c>
      <c r="F31" s="3359">
        <f t="shared" ref="F31" si="3">IF(I31="NA","NA",I31/(44/12)*1000/E31)</f>
        <v>2.5333609691396757</v>
      </c>
      <c r="G31" s="3423">
        <f>SUM(G11:G29)</f>
        <v>2202.2001203889217</v>
      </c>
      <c r="H31" s="3371">
        <f t="shared" ref="H31" si="4">IF(G31="NA","NA",IF(G31="NO","NO",G31*44/12))</f>
        <v>8074.7337747593801</v>
      </c>
      <c r="I31" s="3423">
        <f>SUM(I11:I29)</f>
        <v>1057.3940846334369</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8382.3559693873976</v>
      </c>
      <c r="F35" s="3419">
        <f>IF(I35="NA","NA",I35/(44/12)*1000/E35)</f>
        <v>24.613251236751765</v>
      </c>
      <c r="G35" s="3399">
        <v>206.31703343041792</v>
      </c>
      <c r="H35" s="3396">
        <f t="shared" si="5"/>
        <v>756.4957892448657</v>
      </c>
      <c r="I35" s="3395">
        <v>756.4957892448657</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101358.83199999986</v>
      </c>
      <c r="F41" s="3419">
        <f t="shared" ref="F41" si="8">IF(I41="NA","NA",I41/(44/12)*1000/E41)</f>
        <v>28.595852860726417</v>
      </c>
      <c r="G41" s="3395">
        <v>2929.0400864878834</v>
      </c>
      <c r="H41" s="3396">
        <f t="shared" si="5"/>
        <v>10739.813650455571</v>
      </c>
      <c r="I41" s="3395">
        <v>10627.621568692643</v>
      </c>
      <c r="J41" s="3416" t="s">
        <v>2274</v>
      </c>
      <c r="M41" s="125"/>
    </row>
    <row r="42" spans="2:13" ht="18" customHeight="1" x14ac:dyDescent="0.2">
      <c r="B42" s="1434"/>
      <c r="C42" s="1564"/>
      <c r="D42" s="1452" t="s">
        <v>1792</v>
      </c>
      <c r="E42" s="3414">
        <v>3777.2146223274171</v>
      </c>
      <c r="F42" s="3419">
        <f>IF(I42="NA","NA",I42/(44/12)*1000/E42)</f>
        <v>22.309090909090909</v>
      </c>
      <c r="G42" s="3395">
        <v>84.266224392649832</v>
      </c>
      <c r="H42" s="3396">
        <f t="shared" si="5"/>
        <v>308.97615610638269</v>
      </c>
      <c r="I42" s="3395">
        <v>308.97615610638269</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113518.40259171468</v>
      </c>
      <c r="F45" s="3343">
        <f>IF(I45="NA","NA",I45/(44/12)*1000/E45)</f>
        <v>28.092586144820437</v>
      </c>
      <c r="G45" s="3423">
        <f>SUM(G33:G43)</f>
        <v>3219.6233443109509</v>
      </c>
      <c r="H45" s="3371">
        <f t="shared" ref="H45" si="9">IF(G45="NA","NA",IF(G45="NO","NO",G45*44/12))</f>
        <v>11805.285595806819</v>
      </c>
      <c r="I45" s="3423">
        <f>SUM(I33:I43)</f>
        <v>11693.093514043891</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21874.658077097374</v>
      </c>
      <c r="F47" s="3419">
        <f t="shared" ref="F47" si="10">IF(I47="NA","NA",I47/(44/12)*1000/E47)</f>
        <v>14.021432274344992</v>
      </c>
      <c r="G47" s="3395">
        <v>306.71403675247456</v>
      </c>
      <c r="H47" s="3374">
        <f t="shared" ref="H47" si="11">IF(G47="NA","NA",IF(G47="NO","NO",G47*44/12))</f>
        <v>1124.6181347590734</v>
      </c>
      <c r="I47" s="3395">
        <v>1124.6181347590732</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21874.658077097374</v>
      </c>
      <c r="F50" s="3343">
        <f>IF(I50="NA","NA",I50/(44/12)*1000/E50)</f>
        <v>14.021432274344992</v>
      </c>
      <c r="G50" s="3423">
        <f>SUM(G47:G48)</f>
        <v>306.71403675247456</v>
      </c>
      <c r="H50" s="3397">
        <f t="shared" ref="H50" si="13">IF(G50="NA","NA",IF(G50="NO","NO",G50*44/12))</f>
        <v>1124.6181347590734</v>
      </c>
      <c r="I50" s="3423">
        <f>SUM(I47:I48)</f>
        <v>1124.6181347590732</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249226.11028667272</v>
      </c>
      <c r="F55" s="3354">
        <f t="shared" si="14"/>
        <v>15.183480338917803</v>
      </c>
      <c r="G55" s="3423">
        <f>SUM(G31,G45,G50,G54)</f>
        <v>5728.537501452347</v>
      </c>
      <c r="H55" s="3398">
        <f t="shared" si="15"/>
        <v>21004.637505325274</v>
      </c>
      <c r="I55" s="3423">
        <f>SUM(I31,I45,I50,I54)</f>
        <v>13875.105733436401</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287.13734599999998</v>
      </c>
      <c r="D10" s="3127"/>
      <c r="E10" s="3127"/>
      <c r="F10" s="3078">
        <f>SUM(F11,F18)</f>
        <v>858.05208437666761</v>
      </c>
      <c r="G10" s="3078">
        <f>SUM(G11,G18)</f>
        <v>1111.5267994507171</v>
      </c>
      <c r="H10" s="3078">
        <f>H11</f>
        <v>-0.91930427934999992</v>
      </c>
      <c r="I10" s="3128" t="s">
        <v>2146</v>
      </c>
      <c r="L10" s="3750"/>
    </row>
    <row r="11" spans="2:12" ht="18" customHeight="1" x14ac:dyDescent="0.2">
      <c r="B11" s="1252" t="s">
        <v>334</v>
      </c>
      <c r="C11" s="3033">
        <v>65.209263000000007</v>
      </c>
      <c r="D11" s="3078">
        <f>IFERROR(SUM(F11,H11)/$C$11,"NA")</f>
        <v>10.143175435297485</v>
      </c>
      <c r="E11" s="3078">
        <f>IFERROR(SUM(G11,I11)/$C$11,"NA")</f>
        <v>16.16304775417899</v>
      </c>
      <c r="F11" s="3078">
        <f>SUM(F12:F16)</f>
        <v>662.34829889480318</v>
      </c>
      <c r="G11" s="3078">
        <f>SUM(G12:G16)</f>
        <v>1053.9804318838171</v>
      </c>
      <c r="H11" s="3078">
        <f>H12</f>
        <v>-0.91930427934999992</v>
      </c>
      <c r="I11" s="3128" t="s">
        <v>2146</v>
      </c>
    </row>
    <row r="12" spans="2:12" ht="18" customHeight="1" x14ac:dyDescent="0.2">
      <c r="B12" s="160" t="s">
        <v>335</v>
      </c>
      <c r="C12" s="3046"/>
      <c r="D12" s="3078">
        <f t="shared" ref="D12:D14" si="0">IFERROR(SUM(F12,H12)/$C$11,"NA")</f>
        <v>9.1489576715057801</v>
      </c>
      <c r="E12" s="3078">
        <f>IFERROR(SUM(G12,I12)/$C$11,"NA")</f>
        <v>16.123231582619542</v>
      </c>
      <c r="F12" s="3126">
        <v>597.51609125643802</v>
      </c>
      <c r="G12" s="3126">
        <v>1051.384048680944</v>
      </c>
      <c r="H12" s="3126">
        <v>-0.91930427934999992</v>
      </c>
      <c r="I12" s="3034" t="s">
        <v>2146</v>
      </c>
    </row>
    <row r="13" spans="2:12" ht="18" customHeight="1" x14ac:dyDescent="0.2">
      <c r="B13" s="160" t="s">
        <v>336</v>
      </c>
      <c r="C13" s="3046"/>
      <c r="D13" s="3078">
        <f t="shared" si="0"/>
        <v>0.37335099809846023</v>
      </c>
      <c r="E13" s="3078" t="s">
        <v>2147</v>
      </c>
      <c r="F13" s="3126">
        <v>24.345943426314996</v>
      </c>
      <c r="G13" s="3126" t="s">
        <v>2154</v>
      </c>
      <c r="H13" s="3126" t="s">
        <v>2146</v>
      </c>
      <c r="I13" s="3034" t="s">
        <v>2146</v>
      </c>
    </row>
    <row r="14" spans="2:12" ht="18" customHeight="1" x14ac:dyDescent="0.2">
      <c r="B14" s="160" t="s">
        <v>337</v>
      </c>
      <c r="C14" s="3046"/>
      <c r="D14" s="3078">
        <f t="shared" si="0"/>
        <v>0.62074021817123382</v>
      </c>
      <c r="E14" s="3078" t="s">
        <v>2147</v>
      </c>
      <c r="F14" s="3126">
        <v>40.478012141405372</v>
      </c>
      <c r="G14" s="3126" t="s">
        <v>2147</v>
      </c>
      <c r="H14" s="3126" t="s">
        <v>2146</v>
      </c>
      <c r="I14" s="3034" t="s">
        <v>2146</v>
      </c>
    </row>
    <row r="15" spans="2:12" ht="18" customHeight="1" x14ac:dyDescent="0.2">
      <c r="B15" s="160" t="s">
        <v>338</v>
      </c>
      <c r="C15" s="3033">
        <v>9.1930427934999997E-4</v>
      </c>
      <c r="D15" s="3078">
        <f>IFERROR(SUM(F15,H15)/$C15,"NA")</f>
        <v>8.9764301441360441</v>
      </c>
      <c r="E15" s="3078">
        <f>IFERROR(SUM(G15,I15)/$C15,"NA")</f>
        <v>2824.2914355940247</v>
      </c>
      <c r="F15" s="3126">
        <v>8.2520706447906031E-3</v>
      </c>
      <c r="G15" s="3126">
        <v>2.5963832028731417</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221.92808299999999</v>
      </c>
      <c r="D18" s="3078">
        <f>IFERROR(SUM(F18,H18)/$C$18,"NA")</f>
        <v>0.8818342538554006</v>
      </c>
      <c r="E18" s="3078">
        <f>IFERROR(SUM(G18,I18)/$C$18,"NA")</f>
        <v>0.2593018728814952</v>
      </c>
      <c r="F18" s="3078">
        <f>SUM(F19:F21)</f>
        <v>195.7037854818644</v>
      </c>
      <c r="G18" s="3131">
        <f t="shared" ref="G18" si="2">SUM(G19:G21)</f>
        <v>57.54636756689991</v>
      </c>
      <c r="H18" s="3078" t="s">
        <v>2146</v>
      </c>
      <c r="I18" s="3128" t="s">
        <v>2146</v>
      </c>
    </row>
    <row r="19" spans="2:9" ht="18" customHeight="1" x14ac:dyDescent="0.2">
      <c r="B19" s="160" t="s">
        <v>341</v>
      </c>
      <c r="C19" s="3046"/>
      <c r="D19" s="3078">
        <f>IFERROR(SUM(F19,H19)/$C$18,"NA")</f>
        <v>0.8818342538554006</v>
      </c>
      <c r="E19" s="3078">
        <f>IFERROR(SUM(G19,I19)/$C$18,"NA")</f>
        <v>0.2593018728814952</v>
      </c>
      <c r="F19" s="3126">
        <v>195.7037854818644</v>
      </c>
      <c r="G19" s="3126">
        <v>57.54636756689991</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442.50946651258664</v>
      </c>
      <c r="J10" s="3145">
        <f>IF(SUM(J11:J16)=0,"NO",SUM(J11:J16))</f>
        <v>3.4023007967209873</v>
      </c>
      <c r="K10" s="1913">
        <f>IF(SUM(K11:K16)=0,"NO",SUM(K11:K16))</f>
        <v>1.3335781873356814E-2</v>
      </c>
      <c r="L10" s="3146" t="s">
        <v>2146</v>
      </c>
    </row>
    <row r="11" spans="2:12" ht="18" customHeight="1" x14ac:dyDescent="0.2">
      <c r="B11" s="1252" t="s">
        <v>363</v>
      </c>
      <c r="C11" s="2165" t="s">
        <v>2159</v>
      </c>
      <c r="D11" s="2165" t="s">
        <v>2275</v>
      </c>
      <c r="E11" s="691">
        <v>276.70189629446702</v>
      </c>
      <c r="F11" s="1913">
        <f>I11*1000000/$E11</f>
        <v>3199.9999999999968</v>
      </c>
      <c r="G11" s="1913">
        <f>J11*1000000/$E11</f>
        <v>0.33333333333333298</v>
      </c>
      <c r="H11" s="1913">
        <f>K11*1000000/$E11</f>
        <v>0.225806451612903</v>
      </c>
      <c r="I11" s="3141">
        <v>0.88544606814229365</v>
      </c>
      <c r="J11" s="691">
        <v>9.2233965431488913E-5</v>
      </c>
      <c r="K11" s="3142">
        <v>6.2481073356815075E-5</v>
      </c>
      <c r="L11" s="3093" t="s">
        <v>2146</v>
      </c>
    </row>
    <row r="12" spans="2:12" ht="18" customHeight="1" x14ac:dyDescent="0.2">
      <c r="B12" s="1252" t="s">
        <v>364</v>
      </c>
      <c r="C12" s="2165" t="s">
        <v>2160</v>
      </c>
      <c r="D12" s="2165" t="s">
        <v>2161</v>
      </c>
      <c r="E12" s="691">
        <v>1154</v>
      </c>
      <c r="F12" s="1913" t="s">
        <v>2147</v>
      </c>
      <c r="G12" s="1913">
        <f>J12*1000000/$E12</f>
        <v>525.12998266897739</v>
      </c>
      <c r="H12" s="3096"/>
      <c r="I12" s="3147" t="s">
        <v>2147</v>
      </c>
      <c r="J12" s="691">
        <v>0.60599999999999987</v>
      </c>
      <c r="K12" s="3046"/>
      <c r="L12" s="3093" t="s">
        <v>2146</v>
      </c>
    </row>
    <row r="13" spans="2:12" ht="18" customHeight="1" x14ac:dyDescent="0.2">
      <c r="B13" s="1252" t="s">
        <v>365</v>
      </c>
      <c r="C13" s="2165" t="s">
        <v>2162</v>
      </c>
      <c r="D13" s="2165" t="s">
        <v>2161</v>
      </c>
      <c r="E13" s="691">
        <v>764</v>
      </c>
      <c r="F13" s="1913" t="s">
        <v>2147</v>
      </c>
      <c r="G13" s="1913">
        <f>J13*1000000/$E13</f>
        <v>332.03206806282725</v>
      </c>
      <c r="H13" s="3096"/>
      <c r="I13" s="3147" t="s">
        <v>2147</v>
      </c>
      <c r="J13" s="691">
        <v>0.25367250000000002</v>
      </c>
      <c r="K13" s="3046"/>
      <c r="L13" s="3093" t="s">
        <v>2146</v>
      </c>
    </row>
    <row r="14" spans="2:12" ht="18" customHeight="1" x14ac:dyDescent="0.2">
      <c r="B14" s="1252" t="s">
        <v>366</v>
      </c>
      <c r="C14" s="2165" t="s">
        <v>2163</v>
      </c>
      <c r="D14" s="2165" t="s">
        <v>2161</v>
      </c>
      <c r="E14" s="691">
        <v>1562.3</v>
      </c>
      <c r="F14" s="1913">
        <f>I14*1000000/$E14</f>
        <v>282675.5555555555</v>
      </c>
      <c r="G14" s="1913">
        <f>J14*1000000/$E14</f>
        <v>1598.244444444445</v>
      </c>
      <c r="H14" s="1913">
        <f>K14*1000000/$E14</f>
        <v>8.4960000000000004</v>
      </c>
      <c r="I14" s="3147">
        <v>441.62402044444434</v>
      </c>
      <c r="J14" s="691">
        <v>2.496937295555556</v>
      </c>
      <c r="K14" s="3142">
        <v>1.3273300799999999E-2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4.5598767200000008E-2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1694</v>
      </c>
      <c r="F18" s="1913" t="s">
        <v>2147</v>
      </c>
      <c r="G18" s="1913">
        <f>J18*1000000/$E18</f>
        <v>26.917808264462817</v>
      </c>
      <c r="H18" s="3148"/>
      <c r="I18" s="3150" t="s">
        <v>2147</v>
      </c>
      <c r="J18" s="2190">
        <v>4.5598767200000008E-2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43.813302134275133</v>
      </c>
      <c r="J21" s="3155">
        <f>IF(SUM(J22:J27)=0,"NO",SUM(J22:J27))</f>
        <v>161.32068455832527</v>
      </c>
      <c r="K21" s="3067">
        <f>IF(SUM(K22:K27)=0,"NO",SUM(K22:K27))</f>
        <v>9.5137428917274147E-4</v>
      </c>
      <c r="L21" s="3068" t="str">
        <f>IF(SUM(L22:L27)=0,"NO",SUM(L22:L27))</f>
        <v>NO</v>
      </c>
    </row>
    <row r="22" spans="2:12" ht="18" customHeight="1" x14ac:dyDescent="0.2">
      <c r="B22" s="1469" t="s">
        <v>371</v>
      </c>
      <c r="C22" s="2165" t="s">
        <v>2164</v>
      </c>
      <c r="D22" s="2165" t="s">
        <v>2147</v>
      </c>
      <c r="E22" s="691">
        <v>120.75251835102718</v>
      </c>
      <c r="F22" s="1913">
        <f>I22*1000000/$E22</f>
        <v>267566.56658023188</v>
      </c>
      <c r="G22" s="1913">
        <f>J22*1000000/$E22</f>
        <v>5185.4829203608106</v>
      </c>
      <c r="H22" s="1913">
        <f>K22*1000000/$E22</f>
        <v>7.8787117831124602</v>
      </c>
      <c r="I22" s="3141">
        <v>32.309336741100786</v>
      </c>
      <c r="J22" s="692">
        <v>0.62616012149980671</v>
      </c>
      <c r="K22" s="4141">
        <v>9.5137428917274147E-4</v>
      </c>
      <c r="L22" s="3156" t="s">
        <v>2146</v>
      </c>
    </row>
    <row r="23" spans="2:12" ht="18" customHeight="1" x14ac:dyDescent="0.2">
      <c r="B23" s="1252" t="s">
        <v>372</v>
      </c>
      <c r="C23" s="2165" t="s">
        <v>2165</v>
      </c>
      <c r="D23" s="2165" t="s">
        <v>2161</v>
      </c>
      <c r="E23" s="691">
        <v>2221.8514230813798</v>
      </c>
      <c r="F23" s="1913">
        <f>I23*1000000/$E23</f>
        <v>204.65503845773421</v>
      </c>
      <c r="G23" s="1913">
        <f>J23*1000000/$E23</f>
        <v>2625.6452849563861</v>
      </c>
      <c r="H23" s="3096"/>
      <c r="I23" s="3147">
        <v>0.45471308843809127</v>
      </c>
      <c r="J23" s="691">
        <v>5.8337937128872621</v>
      </c>
      <c r="K23" s="3046"/>
      <c r="L23" s="3156" t="s">
        <v>2146</v>
      </c>
    </row>
    <row r="24" spans="2:12" ht="18" customHeight="1" x14ac:dyDescent="0.2">
      <c r="B24" s="1252" t="s">
        <v>373</v>
      </c>
      <c r="C24" s="2165" t="s">
        <v>2165</v>
      </c>
      <c r="D24" s="2165" t="s">
        <v>2161</v>
      </c>
      <c r="E24" s="691">
        <v>2221.8514230813798</v>
      </c>
      <c r="F24" s="1913">
        <f t="shared" ref="F24:F26" si="0">I24*1000000/$E24</f>
        <v>901.74391491762492</v>
      </c>
      <c r="G24" s="1913">
        <f t="shared" ref="G24:G26" si="1">J24*1000000/$E24</f>
        <v>5010.0217705189316</v>
      </c>
      <c r="H24" s="1879"/>
      <c r="I24" s="691">
        <v>2.0035410006146996</v>
      </c>
      <c r="J24" s="691">
        <v>11.131524000496183</v>
      </c>
      <c r="K24" s="1914"/>
      <c r="L24" s="3093" t="str">
        <f>IF(Table1.C!E21="NO","NO",-Table1.C!E21)</f>
        <v>NO</v>
      </c>
    </row>
    <row r="25" spans="2:12" ht="18" customHeight="1" x14ac:dyDescent="0.2">
      <c r="B25" s="1252" t="s">
        <v>374</v>
      </c>
      <c r="C25" s="2165" t="s">
        <v>2276</v>
      </c>
      <c r="D25" s="2165" t="s">
        <v>2171</v>
      </c>
      <c r="E25" s="691">
        <v>12060</v>
      </c>
      <c r="F25" s="1913">
        <f t="shared" si="0"/>
        <v>20</v>
      </c>
      <c r="G25" s="1913">
        <f t="shared" si="1"/>
        <v>414.28571428571422</v>
      </c>
      <c r="H25" s="3096"/>
      <c r="I25" s="3147">
        <v>0.2412</v>
      </c>
      <c r="J25" s="691">
        <v>4.9962857142857136</v>
      </c>
      <c r="K25" s="3046"/>
      <c r="L25" s="3093" t="s">
        <v>2146</v>
      </c>
    </row>
    <row r="26" spans="2:12" ht="18" customHeight="1" x14ac:dyDescent="0.2">
      <c r="B26" s="1252" t="s">
        <v>375</v>
      </c>
      <c r="C26" s="2165" t="s">
        <v>2166</v>
      </c>
      <c r="D26" s="2165" t="s">
        <v>2161</v>
      </c>
      <c r="E26" s="691">
        <v>305.56795641830098</v>
      </c>
      <c r="F26" s="1913">
        <f t="shared" si="0"/>
        <v>27611.557654109038</v>
      </c>
      <c r="G26" s="1913">
        <f t="shared" si="1"/>
        <v>420683.17171733343</v>
      </c>
      <c r="H26" s="3096"/>
      <c r="I26" s="3147">
        <v>8.4372072458921945</v>
      </c>
      <c r="J26" s="691">
        <v>128.54729708123477</v>
      </c>
      <c r="K26" s="3046"/>
      <c r="L26" s="3093" t="s">
        <v>2146</v>
      </c>
    </row>
    <row r="27" spans="2:12" ht="18" customHeight="1" x14ac:dyDescent="0.2">
      <c r="B27" s="2414" t="s">
        <v>376</v>
      </c>
      <c r="C27" s="621"/>
      <c r="D27" s="621"/>
      <c r="E27" s="628"/>
      <c r="F27" s="628"/>
      <c r="G27" s="628"/>
      <c r="H27" s="3148"/>
      <c r="I27" s="1913">
        <f>IF(SUM(I29:I31)=0,"NO",SUM(I29:I31))</f>
        <v>0.36730405822935941</v>
      </c>
      <c r="J27" s="1913">
        <f>IF(SUM(J29:J31)=0,"NO",SUM(J29:J31))</f>
        <v>10.185623927921542</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0.36730405822935941</v>
      </c>
      <c r="J29" s="3150">
        <v>6.7266943385215416</v>
      </c>
      <c r="K29" s="3132"/>
      <c r="L29" s="3102" t="s">
        <v>2146</v>
      </c>
    </row>
    <row r="30" spans="2:12" ht="18" customHeight="1" x14ac:dyDescent="0.2">
      <c r="B30" s="2415" t="s">
        <v>378</v>
      </c>
      <c r="C30" s="2165" t="s">
        <v>2156</v>
      </c>
      <c r="D30" s="2165" t="s">
        <v>2155</v>
      </c>
      <c r="E30" s="691">
        <v>6078</v>
      </c>
      <c r="F30" s="1913" t="s">
        <v>2147</v>
      </c>
      <c r="G30" s="1913">
        <f t="shared" ref="G30" si="2">J30*1000000/$E30</f>
        <v>22.693252615992101</v>
      </c>
      <c r="H30" s="3148"/>
      <c r="I30" s="3150" t="s">
        <v>2147</v>
      </c>
      <c r="J30" s="3150">
        <v>0.1379295894</v>
      </c>
      <c r="K30" s="3132"/>
      <c r="L30" s="3102" t="s">
        <v>2146</v>
      </c>
    </row>
    <row r="31" spans="2:12" ht="18" customHeight="1" x14ac:dyDescent="0.2">
      <c r="B31" s="1242" t="s">
        <v>379</v>
      </c>
      <c r="C31" s="621"/>
      <c r="D31" s="621"/>
      <c r="E31" s="628"/>
      <c r="F31" s="628"/>
      <c r="G31" s="628"/>
      <c r="H31" s="3148"/>
      <c r="I31" s="1913" t="s">
        <v>2147</v>
      </c>
      <c r="J31" s="1913">
        <f>IF(SUM(J32:J34)=0,"NO",SUM(J32:J34))</f>
        <v>3.3210000000000002</v>
      </c>
      <c r="K31" s="3132"/>
      <c r="L31" s="3149" t="str">
        <f>IF(SUM(L32:L34)=0,"NO",SUM(L32:L34))</f>
        <v>NO</v>
      </c>
    </row>
    <row r="32" spans="2:12" ht="18" customHeight="1" x14ac:dyDescent="0.2">
      <c r="B32" s="2592" t="s">
        <v>2173</v>
      </c>
      <c r="C32" s="310" t="s">
        <v>2172</v>
      </c>
      <c r="D32" s="310" t="s">
        <v>2172</v>
      </c>
      <c r="E32" s="2190">
        <v>1</v>
      </c>
      <c r="F32" s="3095" t="s">
        <v>2147</v>
      </c>
      <c r="G32" s="3095">
        <f t="shared" ref="G32:G33" si="3">J32*1000000/$E32</f>
        <v>1109000</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370000</v>
      </c>
      <c r="H34" s="3158"/>
      <c r="I34" s="3159" t="s">
        <v>2147</v>
      </c>
      <c r="J34" s="3159">
        <v>0.37</v>
      </c>
      <c r="K34" s="3160"/>
      <c r="L34" s="3161" t="s">
        <v>2146</v>
      </c>
    </row>
    <row r="35" spans="2:12" ht="18" customHeight="1" x14ac:dyDescent="0.2">
      <c r="B35" s="1255" t="s">
        <v>380</v>
      </c>
      <c r="C35" s="2167"/>
      <c r="D35" s="2167"/>
      <c r="E35" s="3216"/>
      <c r="F35" s="3216"/>
      <c r="G35" s="3216"/>
      <c r="H35" s="3216"/>
      <c r="I35" s="3155">
        <f>IF(SUM(I36,I40)=0,"NO",SUM(I36,I40))</f>
        <v>5462.8639372974621</v>
      </c>
      <c r="J35" s="3067">
        <f>IF(SUM(J36,J40)=0,"NO",SUM(J36,J40))</f>
        <v>150.95968616278799</v>
      </c>
      <c r="K35" s="3067">
        <f>IF(SUM(K36,K40)=0,"NO",SUM(K36,K40))</f>
        <v>0.10160850377016983</v>
      </c>
      <c r="L35" s="3068" t="str">
        <f>IF(SUM(L36,L40)=0,"NO",SUM(L36,L40))</f>
        <v>NO</v>
      </c>
    </row>
    <row r="36" spans="2:12" ht="18" customHeight="1" x14ac:dyDescent="0.2">
      <c r="B36" s="1468" t="s">
        <v>381</v>
      </c>
      <c r="C36" s="2170"/>
      <c r="D36" s="2170"/>
      <c r="E36" s="3025"/>
      <c r="F36" s="3025"/>
      <c r="G36" s="3025"/>
      <c r="H36" s="3025"/>
      <c r="I36" s="3162">
        <f>IF(SUM(I37:I39)=0,"NO",SUM(I37:I39))</f>
        <v>2369.163173658907</v>
      </c>
      <c r="J36" s="1913">
        <f>IF(SUM(J37:J39)=0,"NO",SUM(J37:J39))</f>
        <v>133.4193211087603</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3375.8514230813798</v>
      </c>
      <c r="F39" s="1913">
        <f t="shared" ref="F39" si="5">SUM(I39,L39)*1000000/$E39</f>
        <v>701797.22882958013</v>
      </c>
      <c r="G39" s="1913">
        <f t="shared" ref="G39" si="6">J39*1000000/$E39</f>
        <v>39521.680426023901</v>
      </c>
      <c r="H39" s="1913">
        <f t="shared" ref="H39" si="7">K39*1000000/$E39</f>
        <v>0</v>
      </c>
      <c r="I39" s="691">
        <v>2369.163173658907</v>
      </c>
      <c r="J39" s="691">
        <v>133.4193211087603</v>
      </c>
      <c r="K39" s="3132"/>
      <c r="L39" s="3093" t="s">
        <v>2146</v>
      </c>
    </row>
    <row r="40" spans="2:12" ht="18" customHeight="1" x14ac:dyDescent="0.2">
      <c r="B40" s="1468" t="s">
        <v>385</v>
      </c>
      <c r="C40" s="2170"/>
      <c r="D40" s="2170"/>
      <c r="E40" s="3025"/>
      <c r="F40" s="3025"/>
      <c r="G40" s="3025"/>
      <c r="H40" s="3025"/>
      <c r="I40" s="3162">
        <f>IF(SUM(I41:I43)=0,"NO",SUM(I41:I43))</f>
        <v>3093.7007636385551</v>
      </c>
      <c r="J40" s="3162">
        <f>IF(SUM(J41:J43)=0,"NO",SUM(J41:J43))</f>
        <v>17.540365054027681</v>
      </c>
      <c r="K40" s="1913">
        <f>IF(SUM(K41:K43)=0,"NO",SUM(K41:K43))</f>
        <v>0.10160850377016983</v>
      </c>
      <c r="L40" s="3065" t="str">
        <f>IF(SUM(L41:L43)=0,"NO",SUM(L41:L43))</f>
        <v>NO</v>
      </c>
    </row>
    <row r="41" spans="2:12" ht="18" customHeight="1" x14ac:dyDescent="0.2">
      <c r="B41" s="1470" t="s">
        <v>386</v>
      </c>
      <c r="C41" s="277" t="s">
        <v>2169</v>
      </c>
      <c r="D41" s="277" t="s">
        <v>2170</v>
      </c>
      <c r="E41" s="691">
        <v>404.34855249307407</v>
      </c>
      <c r="F41" s="1913">
        <f t="shared" ref="F41:F42" si="8">SUM(I41,L41)*1000000/$E41</f>
        <v>2900000.0000000005</v>
      </c>
      <c r="G41" s="1913">
        <f t="shared" ref="G41:H42" si="9">J41*1000000/$E41</f>
        <v>35000.000000000007</v>
      </c>
      <c r="H41" s="1913">
        <f t="shared" si="9"/>
        <v>81</v>
      </c>
      <c r="I41" s="692">
        <v>1172.610802229915</v>
      </c>
      <c r="J41" s="692">
        <v>14.152199337257594</v>
      </c>
      <c r="K41" s="692">
        <v>3.2752232751939003E-2</v>
      </c>
      <c r="L41" s="3156" t="s">
        <v>2146</v>
      </c>
    </row>
    <row r="42" spans="2:12" ht="18" customHeight="1" x14ac:dyDescent="0.2">
      <c r="B42" s="1470" t="s">
        <v>387</v>
      </c>
      <c r="C42" s="277" t="s">
        <v>2169</v>
      </c>
      <c r="D42" s="277" t="s">
        <v>2170</v>
      </c>
      <c r="E42" s="691">
        <v>41218.3544523932</v>
      </c>
      <c r="F42" s="1913">
        <f t="shared" si="8"/>
        <v>46607.633587786251</v>
      </c>
      <c r="G42" s="1913">
        <f t="shared" si="9"/>
        <v>82.200411971404336</v>
      </c>
      <c r="H42" s="1913">
        <f t="shared" si="9"/>
        <v>1.6705245013543459</v>
      </c>
      <c r="I42" s="691">
        <v>1921.0899614086404</v>
      </c>
      <c r="J42" s="691">
        <v>3.3881657167700894</v>
      </c>
      <c r="K42" s="691">
        <v>6.885627101823083E-2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43.89608911937443</v>
      </c>
      <c r="M9" s="3358">
        <f>100*C10/SUM(C10,'Table1.A(a)s3'!C16)</f>
        <v>56.10391088062557</v>
      </c>
    </row>
    <row r="10" spans="1:13" ht="18" customHeight="1" thickTop="1" thickBot="1" x14ac:dyDescent="0.25">
      <c r="B10" s="223" t="s">
        <v>430</v>
      </c>
      <c r="C10" s="3338">
        <f>IF(SUM(C11:C13)=0,"NO",SUM(C11:C13))</f>
        <v>84890</v>
      </c>
      <c r="D10" s="3339"/>
      <c r="E10" s="3340"/>
      <c r="F10" s="3340"/>
      <c r="G10" s="3338">
        <f>IF(SUM(G11:G13)=0,"NO",SUM(G11:G13))</f>
        <v>5908.3440000000001</v>
      </c>
      <c r="H10" s="3338">
        <f>IF(SUM(H11:H13)=0,"NO",SUM(H11:H13))</f>
        <v>1.0282306666666668E-2</v>
      </c>
      <c r="I10" s="1154">
        <f>IF(SUM(I11:I13)=0,"NO",SUM(I11:I13))</f>
        <v>3.0652411080701755E-2</v>
      </c>
      <c r="J10" s="4"/>
      <c r="K10" s="68" t="s">
        <v>431</v>
      </c>
      <c r="L10" s="3359">
        <f>100-M10</f>
        <v>46.912467554782033</v>
      </c>
      <c r="M10" s="3360">
        <f>100*C14/SUM(C14,'Table1.A(a)s3'!C88)</f>
        <v>53.087532445217967</v>
      </c>
    </row>
    <row r="11" spans="1:13" ht="18" customHeight="1" x14ac:dyDescent="0.2">
      <c r="B11" s="1258" t="s">
        <v>178</v>
      </c>
      <c r="C11" s="3341">
        <v>84890</v>
      </c>
      <c r="D11" s="116">
        <f>IF(G11="NO","NA",G11*1000/$C11)</f>
        <v>69.599999999999994</v>
      </c>
      <c r="E11" s="116">
        <f t="shared" ref="E11:F13" si="0">IF(H11="NO","NA",H11*1000000/$C11)</f>
        <v>0.12112506380806534</v>
      </c>
      <c r="F11" s="116">
        <f t="shared" si="0"/>
        <v>0.36108388597834556</v>
      </c>
      <c r="G11" s="3062">
        <v>5908.3440000000001</v>
      </c>
      <c r="H11" s="3062">
        <v>1.0282306666666668E-2</v>
      </c>
      <c r="I11" s="3063">
        <v>3.0652411080701755E-2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37090</v>
      </c>
      <c r="D14" s="3348"/>
      <c r="E14" s="3349"/>
      <c r="F14" s="3350"/>
      <c r="G14" s="3347">
        <f>IF(SUM(G15:G18,G20:G22)=0,"NO",SUM(G15:G18,G20:G22))</f>
        <v>2705.404</v>
      </c>
      <c r="H14" s="3347">
        <f>IF(SUM(H15:H18,H20:H22)=0,"NO",SUM(H15:H18,H20:H22))</f>
        <v>0.25962999999999997</v>
      </c>
      <c r="I14" s="1155">
        <f>IF(SUM(I15:I18,I20:I22)=0,"NO",SUM(I15:I18,I20:I22))</f>
        <v>7.4179999999999996E-2</v>
      </c>
      <c r="J14" s="4"/>
      <c r="K14" s="1047"/>
      <c r="L14" s="1047"/>
      <c r="M14" s="1047"/>
    </row>
    <row r="15" spans="1:13" ht="18" customHeight="1" x14ac:dyDescent="0.2">
      <c r="B15" s="1260" t="s">
        <v>190</v>
      </c>
      <c r="C15" s="143">
        <v>30490</v>
      </c>
      <c r="D15" s="116">
        <f>IF(G15="NO","NA",G15*1000/$C15)</f>
        <v>73.599999999999994</v>
      </c>
      <c r="E15" s="116">
        <f t="shared" ref="E15:F17" si="1">IF(H15="NO","NA",H15*1000000/$C15)</f>
        <v>6.9999999999999991</v>
      </c>
      <c r="F15" s="116">
        <f t="shared" si="1"/>
        <v>1.9999999999999998</v>
      </c>
      <c r="G15" s="3064">
        <v>2244.0639999999999</v>
      </c>
      <c r="H15" s="3064">
        <v>0.21342999999999998</v>
      </c>
      <c r="I15" s="135">
        <v>6.0979999999999993E-2</v>
      </c>
      <c r="J15" s="4"/>
      <c r="K15" s="1047"/>
      <c r="L15" s="1047"/>
      <c r="M15" s="1047"/>
    </row>
    <row r="16" spans="1:13" ht="18" customHeight="1" x14ac:dyDescent="0.2">
      <c r="B16" s="1260" t="s">
        <v>191</v>
      </c>
      <c r="C16" s="3351">
        <v>6600</v>
      </c>
      <c r="D16" s="116">
        <f>IF(G16="NO","NA",G16*1000/$C16)</f>
        <v>69.900000000000006</v>
      </c>
      <c r="E16" s="116">
        <f t="shared" si="1"/>
        <v>7</v>
      </c>
      <c r="F16" s="116">
        <f t="shared" si="1"/>
        <v>1.9999999999999998</v>
      </c>
      <c r="G16" s="3064">
        <v>461.34000000000003</v>
      </c>
      <c r="H16" s="3064">
        <v>4.6199999999999998E-2</v>
      </c>
      <c r="I16" s="135">
        <v>1.3199999999999998E-2</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20744.892915963468</v>
      </c>
      <c r="D10" s="2913">
        <f t="shared" ref="D10:N10" si="0">IF(SUM(D11,D16,D27,D35,D39,D45,D52,D57)=0,"NO",SUM(D11,D16,D27,D35,D39,D45,D52,D57))</f>
        <v>3.9338473991294824</v>
      </c>
      <c r="E10" s="2913">
        <f t="shared" si="0"/>
        <v>4.6579253291241027</v>
      </c>
      <c r="F10" s="2913">
        <f t="shared" si="0"/>
        <v>862.28099757385155</v>
      </c>
      <c r="G10" s="2913">
        <f t="shared" si="0"/>
        <v>1376.8283202008463</v>
      </c>
      <c r="H10" s="2913" t="str">
        <f t="shared" si="0"/>
        <v>NO</v>
      </c>
      <c r="I10" s="2913">
        <f t="shared" si="0"/>
        <v>1.3869076742967539E-2</v>
      </c>
      <c r="J10" s="2913" t="str">
        <f t="shared" si="0"/>
        <v>NO</v>
      </c>
      <c r="K10" s="2913">
        <f t="shared" si="0"/>
        <v>20.379696415737317</v>
      </c>
      <c r="L10" s="2914">
        <f t="shared" si="0"/>
        <v>9.4490947036275976</v>
      </c>
      <c r="M10" s="2915">
        <f t="shared" si="0"/>
        <v>229.91726007503567</v>
      </c>
      <c r="N10" s="2916">
        <f t="shared" si="0"/>
        <v>1096.8143921004091</v>
      </c>
      <c r="O10" s="3020">
        <f t="shared" ref="O10:O58" si="1">IF(SUM(C10:J10)=0,"NO",SUM(C10,F10:H10)+28*SUM(D10)+265*SUM(E10)+23500*SUM(I10)+16100*SUM(J10))</f>
        <v>24654.423476591419</v>
      </c>
    </row>
    <row r="11" spans="1:15" ht="18" customHeight="1" x14ac:dyDescent="0.2">
      <c r="B11" s="1263" t="s">
        <v>444</v>
      </c>
      <c r="C11" s="2137">
        <f>IF(SUM(C12:C15)=0,"NO",SUM(C12:C15))</f>
        <v>5826.2709371596793</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5826.2709371596793</v>
      </c>
    </row>
    <row r="12" spans="1:15" ht="18" customHeight="1" x14ac:dyDescent="0.2">
      <c r="B12" s="1264" t="s">
        <v>445</v>
      </c>
      <c r="C12" s="2920">
        <f>'Table2(I).A-H'!H11</f>
        <v>3357.7496959999999</v>
      </c>
      <c r="D12" s="2136"/>
      <c r="E12" s="2136"/>
      <c r="F12" s="628"/>
      <c r="G12" s="628"/>
      <c r="H12" s="2135"/>
      <c r="I12" s="628"/>
      <c r="J12" s="2135"/>
      <c r="K12" s="2135"/>
      <c r="L12" s="2135"/>
      <c r="M12" s="2135"/>
      <c r="N12" s="2919" t="s">
        <v>2146</v>
      </c>
      <c r="O12" s="2934">
        <f t="shared" si="1"/>
        <v>3357.7496959999999</v>
      </c>
    </row>
    <row r="13" spans="1:15" ht="18" customHeight="1" x14ac:dyDescent="0.2">
      <c r="B13" s="1264" t="s">
        <v>446</v>
      </c>
      <c r="C13" s="1878">
        <f>'Table2(I).A-H'!H12</f>
        <v>947.73726362540799</v>
      </c>
      <c r="D13" s="2108"/>
      <c r="E13" s="2108"/>
      <c r="F13" s="628"/>
      <c r="G13" s="628"/>
      <c r="H13" s="2135"/>
      <c r="I13" s="628"/>
      <c r="J13" s="2135"/>
      <c r="K13" s="628"/>
      <c r="L13" s="628"/>
      <c r="M13" s="628"/>
      <c r="N13" s="1838"/>
      <c r="O13" s="1880">
        <f t="shared" si="1"/>
        <v>947.73726362540799</v>
      </c>
    </row>
    <row r="14" spans="1:15" ht="18" customHeight="1" x14ac:dyDescent="0.2">
      <c r="B14" s="1264" t="s">
        <v>447</v>
      </c>
      <c r="C14" s="1878">
        <f>'Table2(I).A-H'!H13</f>
        <v>106.60611427674307</v>
      </c>
      <c r="D14" s="2108"/>
      <c r="E14" s="2108"/>
      <c r="F14" s="628"/>
      <c r="G14" s="628"/>
      <c r="H14" s="2135"/>
      <c r="I14" s="628"/>
      <c r="J14" s="2135"/>
      <c r="K14" s="628"/>
      <c r="L14" s="628"/>
      <c r="M14" s="628"/>
      <c r="N14" s="1838"/>
      <c r="O14" s="1880">
        <f t="shared" si="1"/>
        <v>106.60611427674307</v>
      </c>
    </row>
    <row r="15" spans="1:15" ht="18" customHeight="1" thickBot="1" x14ac:dyDescent="0.25">
      <c r="B15" s="1264" t="s">
        <v>448</v>
      </c>
      <c r="C15" s="1878">
        <f>'Table2(I).A-H'!H14</f>
        <v>1414.1778632575283</v>
      </c>
      <c r="D15" s="1879"/>
      <c r="E15" s="1879"/>
      <c r="F15" s="3021"/>
      <c r="G15" s="3021"/>
      <c r="H15" s="3021"/>
      <c r="I15" s="3021"/>
      <c r="J15" s="3021"/>
      <c r="K15" s="2606" t="s">
        <v>2146</v>
      </c>
      <c r="L15" s="2606" t="s">
        <v>2146</v>
      </c>
      <c r="M15" s="2606" t="s">
        <v>2146</v>
      </c>
      <c r="N15" s="2607" t="s">
        <v>2146</v>
      </c>
      <c r="O15" s="1880">
        <f t="shared" si="1"/>
        <v>1414.1778632575283</v>
      </c>
    </row>
    <row r="16" spans="1:15" ht="18" customHeight="1" x14ac:dyDescent="0.2">
      <c r="B16" s="1265" t="s">
        <v>449</v>
      </c>
      <c r="C16" s="2137">
        <f>IF(SUM(C17:C26)=0,"NO",SUM(C17:C26))</f>
        <v>1426.6149132761363</v>
      </c>
      <c r="D16" s="2137">
        <f t="shared" ref="D16:N16" si="3">IF(SUM(D17:D26)=0,"NO",SUM(D17:D26))</f>
        <v>0.52038379999999995</v>
      </c>
      <c r="E16" s="2137">
        <f t="shared" si="3"/>
        <v>4.5844841264516134</v>
      </c>
      <c r="F16" s="2138">
        <f t="shared" si="3"/>
        <v>761.85600000000011</v>
      </c>
      <c r="G16" s="2138" t="str">
        <f t="shared" si="3"/>
        <v>NO</v>
      </c>
      <c r="H16" s="2138" t="str">
        <f t="shared" si="3"/>
        <v>NO</v>
      </c>
      <c r="I16" s="2138" t="str">
        <f t="shared" si="3"/>
        <v>NO</v>
      </c>
      <c r="J16" s="2138" t="str">
        <f t="shared" si="3"/>
        <v>NO</v>
      </c>
      <c r="K16" s="2920" t="str">
        <f t="shared" si="3"/>
        <v>NO</v>
      </c>
      <c r="L16" s="2137" t="str">
        <f t="shared" si="3"/>
        <v>NO</v>
      </c>
      <c r="M16" s="2137">
        <f t="shared" si="3"/>
        <v>4.9241375539999996</v>
      </c>
      <c r="N16" s="2918" t="str">
        <f t="shared" si="3"/>
        <v>NO</v>
      </c>
      <c r="O16" s="2941">
        <f t="shared" si="1"/>
        <v>3417.9299531858142</v>
      </c>
    </row>
    <row r="17" spans="2:15" ht="18" customHeight="1" x14ac:dyDescent="0.2">
      <c r="B17" s="1266" t="s">
        <v>450</v>
      </c>
      <c r="C17" s="2920">
        <f>SUM('Table2(I).A-H'!H23,'Table2(I).A-H'!K23:L23)</f>
        <v>619.12899688634661</v>
      </c>
      <c r="D17" s="2139" t="str">
        <f>'Table2(I).A-H'!I23</f>
        <v>NO</v>
      </c>
      <c r="E17" s="2139" t="str">
        <f>'Table2(I).A-H'!J23</f>
        <v>NO</v>
      </c>
      <c r="F17" s="2135"/>
      <c r="G17" s="2135"/>
      <c r="H17" s="2135"/>
      <c r="I17" s="2135"/>
      <c r="J17" s="2135"/>
      <c r="K17" s="692" t="s">
        <v>2146</v>
      </c>
      <c r="L17" s="692" t="s">
        <v>2146</v>
      </c>
      <c r="M17" s="692" t="s">
        <v>2146</v>
      </c>
      <c r="N17" s="692" t="s">
        <v>2146</v>
      </c>
      <c r="O17" s="2934">
        <f t="shared" si="1"/>
        <v>619.12899688634661</v>
      </c>
    </row>
    <row r="18" spans="2:15" ht="18" customHeight="1" x14ac:dyDescent="0.2">
      <c r="B18" s="1264" t="s">
        <v>451</v>
      </c>
      <c r="C18" s="1910"/>
      <c r="D18" s="2136"/>
      <c r="E18" s="2139">
        <f>'Table2(I).A-H'!J24</f>
        <v>4.5844841264516134</v>
      </c>
      <c r="F18" s="628"/>
      <c r="G18" s="628"/>
      <c r="H18" s="2135"/>
      <c r="I18" s="628"/>
      <c r="J18" s="2135"/>
      <c r="K18" s="692" t="s">
        <v>2146</v>
      </c>
      <c r="L18" s="628"/>
      <c r="M18" s="628"/>
      <c r="N18" s="1838"/>
      <c r="O18" s="2934">
        <f t="shared" si="1"/>
        <v>1214.8882935096776</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664.94238596320281</v>
      </c>
      <c r="D22" s="1914"/>
      <c r="E22" s="628"/>
      <c r="F22" s="628"/>
      <c r="G22" s="628"/>
      <c r="H22" s="2135"/>
      <c r="I22" s="628"/>
      <c r="J22" s="2135"/>
      <c r="K22" s="1914"/>
      <c r="L22" s="1914"/>
      <c r="M22" s="1914"/>
      <c r="N22" s="2921"/>
      <c r="O22" s="1880">
        <f t="shared" si="1"/>
        <v>664.94238596320281</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46.86107299999999</v>
      </c>
      <c r="D24" s="1878">
        <f>'Table2(I).A-H'!I35</f>
        <v>0.52038379999999995</v>
      </c>
      <c r="E24" s="628"/>
      <c r="F24" s="628"/>
      <c r="G24" s="628"/>
      <c r="H24" s="2135"/>
      <c r="I24" s="628"/>
      <c r="J24" s="2135"/>
      <c r="K24" s="692" t="s">
        <v>2146</v>
      </c>
      <c r="L24" s="692" t="s">
        <v>2146</v>
      </c>
      <c r="M24" s="691">
        <v>4.9241375539999996</v>
      </c>
      <c r="N24" s="692" t="s">
        <v>2146</v>
      </c>
      <c r="O24" s="1880">
        <f t="shared" si="1"/>
        <v>61.431819399999988</v>
      </c>
    </row>
    <row r="25" spans="2:15" ht="18" customHeight="1" x14ac:dyDescent="0.2">
      <c r="B25" s="1264" t="s">
        <v>458</v>
      </c>
      <c r="C25" s="1914"/>
      <c r="D25" s="1914"/>
      <c r="E25" s="628"/>
      <c r="F25" s="2140">
        <f>'Table2(II)'!W40</f>
        <v>761.85600000000011</v>
      </c>
      <c r="G25" s="2140" t="str">
        <f>'Table2(II)'!AH40</f>
        <v>NO</v>
      </c>
      <c r="H25" s="2139" t="str">
        <f>'Table2(II)'!AI40</f>
        <v>NO</v>
      </c>
      <c r="I25" s="2140" t="str">
        <f>'Table2(II)'!AJ40</f>
        <v>NO</v>
      </c>
      <c r="J25" s="2139" t="str">
        <f>'Table2(II)'!AK40</f>
        <v>NO</v>
      </c>
      <c r="K25" s="1914"/>
      <c r="L25" s="1914"/>
      <c r="M25" s="1914"/>
      <c r="N25" s="2921"/>
      <c r="O25" s="1880">
        <f t="shared" si="1"/>
        <v>761.85600000000011</v>
      </c>
    </row>
    <row r="26" spans="2:15" ht="18" customHeight="1" thickBot="1" x14ac:dyDescent="0.25">
      <c r="B26" s="1264" t="s">
        <v>2110</v>
      </c>
      <c r="C26" s="1878">
        <f>'Table2(I).A-H'!H47</f>
        <v>95.682457426586708</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95.682457426586708</v>
      </c>
    </row>
    <row r="27" spans="2:15" ht="18" customHeight="1" x14ac:dyDescent="0.2">
      <c r="B27" s="1263" t="s">
        <v>459</v>
      </c>
      <c r="C27" s="2137">
        <f>IF(SUM(C28:C34)=0,"NO",SUM(C28:C34))</f>
        <v>13085.711804528275</v>
      </c>
      <c r="D27" s="2137">
        <f t="shared" ref="D27:N27" si="4">IF(SUM(D28:D34)=0,"NO",SUM(D28:D34))</f>
        <v>3.4134635991294826</v>
      </c>
      <c r="E27" s="2137">
        <f t="shared" si="4"/>
        <v>7.3441202672488951E-2</v>
      </c>
      <c r="F27" s="2138" t="str">
        <f t="shared" si="4"/>
        <v>NO</v>
      </c>
      <c r="G27" s="2138">
        <f t="shared" si="4"/>
        <v>1376.8283202008463</v>
      </c>
      <c r="H27" s="2138" t="str">
        <f t="shared" si="4"/>
        <v>NO</v>
      </c>
      <c r="I27" s="2138" t="str">
        <f t="shared" si="4"/>
        <v>NO</v>
      </c>
      <c r="J27" s="2138" t="str">
        <f t="shared" si="4"/>
        <v>NO</v>
      </c>
      <c r="K27" s="2137">
        <f t="shared" si="4"/>
        <v>20.379696415737317</v>
      </c>
      <c r="L27" s="2137">
        <f t="shared" si="4"/>
        <v>9.4490947036275976</v>
      </c>
      <c r="M27" s="2917">
        <f t="shared" si="4"/>
        <v>9.042125179274664E-2</v>
      </c>
      <c r="N27" s="2918">
        <f t="shared" si="4"/>
        <v>1096.8143921004091</v>
      </c>
      <c r="O27" s="2941">
        <f t="shared" si="1"/>
        <v>14577.579024212957</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2117.0759148098045</v>
      </c>
      <c r="D30" s="1879"/>
      <c r="E30" s="628"/>
      <c r="F30" s="628"/>
      <c r="G30" s="2140">
        <f>SUM('Table2(II)'!X41:Y41)</f>
        <v>1376.8283202008463</v>
      </c>
      <c r="H30" s="2136"/>
      <c r="I30" s="2142" t="s">
        <v>2146</v>
      </c>
      <c r="J30" s="2135"/>
      <c r="K30" s="691" t="s">
        <v>2147</v>
      </c>
      <c r="L30" s="691" t="s">
        <v>2147</v>
      </c>
      <c r="M30" s="691" t="s">
        <v>2147</v>
      </c>
      <c r="N30" s="2911">
        <v>32.818899999999992</v>
      </c>
      <c r="O30" s="1880">
        <f t="shared" si="1"/>
        <v>3493.9042350106511</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10968.635889718471</v>
      </c>
      <c r="D34" s="1881">
        <f>'Table2(I).A-H'!I67</f>
        <v>3.4134635991294826</v>
      </c>
      <c r="E34" s="1881">
        <f>'Table2(I).A-H'!J67</f>
        <v>7.3441202672488951E-2</v>
      </c>
      <c r="F34" s="2146" t="s">
        <v>2146</v>
      </c>
      <c r="G34" s="2146" t="s">
        <v>2146</v>
      </c>
      <c r="H34" s="2146" t="s">
        <v>2146</v>
      </c>
      <c r="I34" s="2146" t="s">
        <v>2146</v>
      </c>
      <c r="J34" s="2146" t="s">
        <v>2146</v>
      </c>
      <c r="K34" s="2606">
        <v>20.379696415737317</v>
      </c>
      <c r="L34" s="2606">
        <v>9.4490947036275976</v>
      </c>
      <c r="M34" s="2606">
        <v>9.042125179274664E-2</v>
      </c>
      <c r="N34" s="2607">
        <v>1063.9954921004091</v>
      </c>
      <c r="O34" s="1882">
        <f t="shared" si="1"/>
        <v>11083.674789202307</v>
      </c>
    </row>
    <row r="35" spans="2:15" ht="18" customHeight="1" x14ac:dyDescent="0.2">
      <c r="B35" s="2470" t="s">
        <v>2014</v>
      </c>
      <c r="C35" s="2920">
        <f>IF(SUM(C36:C38)=0,"NO",SUM(C36:C38))</f>
        <v>267.44714449999998</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172.18476326924292</v>
      </c>
      <c r="N35" s="2048" t="str">
        <f t="shared" ref="N35" si="7">IF(SUM(N36:N38)=0,"NO",SUM(N36:N38))</f>
        <v>NO</v>
      </c>
      <c r="O35" s="2934">
        <f t="shared" si="1"/>
        <v>267.44714449999998</v>
      </c>
    </row>
    <row r="36" spans="2:15" ht="18" customHeight="1" x14ac:dyDescent="0.2">
      <c r="B36" s="1270" t="s">
        <v>466</v>
      </c>
      <c r="C36" s="1878">
        <f>'Table2(I).A-H'!H73</f>
        <v>267.44714449999998</v>
      </c>
      <c r="D36" s="2140" t="str">
        <f>'Table2(I).A-H'!I73</f>
        <v>NO</v>
      </c>
      <c r="E36" s="2140" t="str">
        <f>'Table2(I).A-H'!J73</f>
        <v>NO</v>
      </c>
      <c r="F36" s="628"/>
      <c r="G36" s="628"/>
      <c r="H36" s="2135"/>
      <c r="I36" s="628"/>
      <c r="J36" s="2135"/>
      <c r="K36" s="2147" t="s">
        <v>2147</v>
      </c>
      <c r="L36" s="2147" t="s">
        <v>2147</v>
      </c>
      <c r="M36" s="691" t="s">
        <v>2147</v>
      </c>
      <c r="N36" s="2141" t="s">
        <v>2147</v>
      </c>
      <c r="O36" s="1880">
        <f t="shared" si="1"/>
        <v>267.44714449999998</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172.18476326924292</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100.42499757385144</v>
      </c>
      <c r="G45" s="2137" t="str">
        <f t="shared" ref="G45:J45" si="9">IF(SUM(G46:G51)=0,"NO",SUM(G46:G51))</f>
        <v>NO</v>
      </c>
      <c r="H45" s="2920" t="str">
        <f t="shared" si="9"/>
        <v>NO</v>
      </c>
      <c r="I45" s="2920" t="str">
        <f t="shared" si="9"/>
        <v>NO</v>
      </c>
      <c r="J45" s="2139" t="str">
        <f t="shared" si="9"/>
        <v>NO</v>
      </c>
      <c r="K45" s="1929"/>
      <c r="L45" s="1929"/>
      <c r="M45" s="1929"/>
      <c r="N45" s="2153"/>
      <c r="O45" s="2941">
        <f t="shared" si="1"/>
        <v>100.42499757385144</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89.690570947801632</v>
      </c>
      <c r="G46" s="1878" t="s">
        <v>2146</v>
      </c>
      <c r="H46" s="1878" t="s">
        <v>2146</v>
      </c>
      <c r="I46" s="1878" t="s">
        <v>2146</v>
      </c>
      <c r="J46" s="2139" t="str">
        <f t="shared" ref="J46" si="10">IF(SUM(J47:J52)=0,"NO",SUM(J47:J52))</f>
        <v>NO</v>
      </c>
      <c r="K46" s="628"/>
      <c r="L46" s="628"/>
      <c r="M46" s="628"/>
      <c r="N46" s="1838"/>
      <c r="O46" s="1880">
        <f t="shared" si="1"/>
        <v>89.690570947801632</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7.0705225533578036</v>
      </c>
      <c r="G47" s="1878" t="s">
        <v>2146</v>
      </c>
      <c r="H47" s="1878" t="s">
        <v>2146</v>
      </c>
      <c r="I47" s="1878" t="s">
        <v>2146</v>
      </c>
      <c r="J47" s="2139" t="str">
        <f t="shared" ref="J47" si="11">IF(SUM(J48:J53)=0,"NO",SUM(J48:J53))</f>
        <v>NO</v>
      </c>
      <c r="K47" s="628"/>
      <c r="L47" s="628"/>
      <c r="M47" s="628"/>
      <c r="N47" s="1838"/>
      <c r="O47" s="1880">
        <f t="shared" si="1"/>
        <v>7.0705225533578036</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0.32110328984198488</v>
      </c>
      <c r="G48" s="1878" t="s">
        <v>2146</v>
      </c>
      <c r="H48" s="1878" t="s">
        <v>2146</v>
      </c>
      <c r="I48" s="1878" t="s">
        <v>2146</v>
      </c>
      <c r="J48" s="2139" t="str">
        <f t="shared" ref="J48" si="12">IF(SUM(J49:J54)=0,"NO",SUM(J49:J54))</f>
        <v>NO</v>
      </c>
      <c r="K48" s="628"/>
      <c r="L48" s="628"/>
      <c r="M48" s="628"/>
      <c r="N48" s="1838"/>
      <c r="O48" s="1880">
        <f t="shared" si="1"/>
        <v>0.32110328984198488</v>
      </c>
    </row>
    <row r="49" spans="2:15" ht="18" customHeight="1" x14ac:dyDescent="0.2">
      <c r="B49" s="1270" t="s">
        <v>477</v>
      </c>
      <c r="C49" s="628"/>
      <c r="D49" s="628"/>
      <c r="E49" s="628"/>
      <c r="F49" s="1878"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78" t="s">
        <v>2146</v>
      </c>
      <c r="H49" s="1878" t="s">
        <v>2146</v>
      </c>
      <c r="I49" s="1878" t="s">
        <v>2146</v>
      </c>
      <c r="J49" s="2139" t="str">
        <f t="shared" ref="J49" si="13">IF(SUM(J50:J55)=0,"NO",SUM(J50:J55))</f>
        <v>NO</v>
      </c>
      <c r="K49" s="628"/>
      <c r="L49" s="628"/>
      <c r="M49" s="628"/>
      <c r="N49" s="1838"/>
      <c r="O49" s="1880" t="str">
        <f t="shared" si="1"/>
        <v>NO</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3.3428007828500186</v>
      </c>
      <c r="G50" s="1878" t="s">
        <v>2146</v>
      </c>
      <c r="H50" s="1878" t="s">
        <v>2146</v>
      </c>
      <c r="I50" s="1878" t="s">
        <v>2146</v>
      </c>
      <c r="J50" s="2139" t="str">
        <f t="shared" ref="J50" si="14">IF(SUM(J51:J56)=0,"NO",SUM(J51:J56))</f>
        <v>NO</v>
      </c>
      <c r="K50" s="628"/>
      <c r="L50" s="628"/>
      <c r="M50" s="628"/>
      <c r="N50" s="1838"/>
      <c r="O50" s="1880">
        <f t="shared" si="1"/>
        <v>3.3428007828500186</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1.3869076742967539E-2</v>
      </c>
      <c r="J52" s="2139" t="str">
        <f t="shared" si="16"/>
        <v>NO</v>
      </c>
      <c r="K52" s="2139" t="str">
        <f t="shared" si="16"/>
        <v>NO</v>
      </c>
      <c r="L52" s="2139" t="str">
        <f t="shared" si="16"/>
        <v>NO</v>
      </c>
      <c r="M52" s="2139" t="str">
        <f t="shared" si="16"/>
        <v>NO</v>
      </c>
      <c r="N52" s="2048" t="str">
        <f t="shared" si="16"/>
        <v>NO</v>
      </c>
      <c r="O52" s="2934">
        <f t="shared" si="1"/>
        <v>325.92330345973716</v>
      </c>
    </row>
    <row r="53" spans="2:15" ht="18" customHeight="1" x14ac:dyDescent="0.2">
      <c r="B53" s="1270" t="s">
        <v>481</v>
      </c>
      <c r="C53" s="2135"/>
      <c r="D53" s="2135"/>
      <c r="E53" s="2135"/>
      <c r="F53" s="2920" t="s">
        <v>2146</v>
      </c>
      <c r="G53" s="2920" t="s">
        <v>2146</v>
      </c>
      <c r="H53" s="2920" t="s">
        <v>2146</v>
      </c>
      <c r="I53" s="2920">
        <f>SUM('Table2(II).B-Hs2'!J163:M163)/1000</f>
        <v>1.3252651716657713E-2</v>
      </c>
      <c r="J53" s="2920" t="s">
        <v>2146</v>
      </c>
      <c r="K53" s="2135"/>
      <c r="L53" s="2135"/>
      <c r="M53" s="2135"/>
      <c r="N53" s="2149"/>
      <c r="O53" s="2934">
        <f t="shared" si="1"/>
        <v>311.43731534145627</v>
      </c>
    </row>
    <row r="54" spans="2:15" ht="18" customHeight="1" x14ac:dyDescent="0.2">
      <c r="B54" s="1270" t="s">
        <v>482</v>
      </c>
      <c r="C54" s="2135"/>
      <c r="D54" s="2135"/>
      <c r="E54" s="2135"/>
      <c r="F54" s="2135"/>
      <c r="G54" s="2920" t="s">
        <v>2146</v>
      </c>
      <c r="H54" s="3025"/>
      <c r="I54" s="2920">
        <f>SUM('Table2(II).B-Hs2'!J165:M165)/1000</f>
        <v>6.164250263098268E-4</v>
      </c>
      <c r="J54" s="2135"/>
      <c r="K54" s="2135"/>
      <c r="L54" s="2135"/>
      <c r="M54" s="2135"/>
      <c r="N54" s="2149"/>
      <c r="O54" s="2934">
        <f t="shared" si="1"/>
        <v>14.485988118280931</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138.84811649937512</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52.717937999999997</v>
      </c>
      <c r="N57" s="2073" t="str">
        <f>N58</f>
        <v>NA</v>
      </c>
      <c r="O57" s="2941">
        <f t="shared" si="1"/>
        <v>138.84811649937512</v>
      </c>
    </row>
    <row r="58" spans="2:15" ht="18" customHeight="1" thickBot="1" x14ac:dyDescent="0.25">
      <c r="B58" s="2596" t="s">
        <v>2180</v>
      </c>
      <c r="C58" s="2500">
        <f>'Table2(I).A-H'!H97</f>
        <v>138.84811649937512</v>
      </c>
      <c r="D58" s="2500" t="str">
        <f>'Table2(I).A-H'!I97</f>
        <v>NO</v>
      </c>
      <c r="E58" s="2500" t="str">
        <f>'Table2(I).A-H'!J97</f>
        <v>NO</v>
      </c>
      <c r="F58" s="2500" t="s">
        <v>2146</v>
      </c>
      <c r="G58" s="2500" t="s">
        <v>2146</v>
      </c>
      <c r="H58" s="2500" t="s">
        <v>2146</v>
      </c>
      <c r="I58" s="2500" t="s">
        <v>2146</v>
      </c>
      <c r="J58" s="2500" t="s">
        <v>2146</v>
      </c>
      <c r="K58" s="2912" t="s">
        <v>2147</v>
      </c>
      <c r="L58" s="2912" t="s">
        <v>2147</v>
      </c>
      <c r="M58" s="2912">
        <v>52.717937999999997</v>
      </c>
      <c r="N58" s="2922" t="s">
        <v>2147</v>
      </c>
      <c r="O58" s="2925">
        <f t="shared" si="1"/>
        <v>138.84811649937512</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61.444730510090999</v>
      </c>
      <c r="D10" s="2044">
        <f t="shared" ref="D10:X10" si="0">IF(SUM(D11,D16,D20,D26,D33,D37)=0,"NO",SUM(D11,D16,D20,D26,D33,D37))</f>
        <v>0.73937077845867416</v>
      </c>
      <c r="E10" s="2044" t="str">
        <f t="shared" si="0"/>
        <v>NO</v>
      </c>
      <c r="F10" s="2044">
        <f t="shared" si="0"/>
        <v>1.0976378406793613E-2</v>
      </c>
      <c r="G10" s="2044">
        <f t="shared" si="0"/>
        <v>13.381280573941346</v>
      </c>
      <c r="H10" s="2044">
        <f t="shared" si="0"/>
        <v>1.4981727079114337E-2</v>
      </c>
      <c r="I10" s="2044">
        <f t="shared" si="0"/>
        <v>38.262729243253467</v>
      </c>
      <c r="J10" s="2044" t="str">
        <f t="shared" si="0"/>
        <v>NO</v>
      </c>
      <c r="K10" s="2044">
        <f t="shared" si="0"/>
        <v>1.280828153558103</v>
      </c>
      <c r="L10" s="2044" t="str">
        <f t="shared" si="0"/>
        <v>NO</v>
      </c>
      <c r="M10" s="2044" t="str">
        <f t="shared" si="0"/>
        <v>NO</v>
      </c>
      <c r="N10" s="2044" t="str">
        <f t="shared" si="0"/>
        <v>NO</v>
      </c>
      <c r="O10" s="2044">
        <f t="shared" si="0"/>
        <v>0.45442381829003681</v>
      </c>
      <c r="P10" s="2044" t="str">
        <f t="shared" si="0"/>
        <v>NO</v>
      </c>
      <c r="Q10" s="2044" t="str">
        <f t="shared" si="0"/>
        <v>NO</v>
      </c>
      <c r="R10" s="2044">
        <f t="shared" si="0"/>
        <v>4.8673577255082317E-5</v>
      </c>
      <c r="S10" s="2044" t="str">
        <f t="shared" si="0"/>
        <v>NO</v>
      </c>
      <c r="T10" s="2044" t="str">
        <f t="shared" si="0"/>
        <v>NO</v>
      </c>
      <c r="U10" s="2044" t="str">
        <f t="shared" si="0"/>
        <v>NO</v>
      </c>
      <c r="V10" s="2045" t="str">
        <f t="shared" si="0"/>
        <v>NO</v>
      </c>
      <c r="W10" s="2046"/>
      <c r="X10" s="2044">
        <f t="shared" si="0"/>
        <v>170.57775523341994</v>
      </c>
      <c r="Y10" s="2044">
        <f t="shared" ref="Y10" si="1">IF(SUM(Y11,Y16,Y20,Y26,Y33,Y37)=0,"NO",SUM(Y11,Y16,Y20,Y26,Y33,Y37))</f>
        <v>22.15295522552</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13.86907674296754</v>
      </c>
      <c r="AK10" s="2048" t="str">
        <f t="shared" si="9"/>
        <v>NO</v>
      </c>
    </row>
    <row r="11" spans="2:37" ht="18" customHeight="1" x14ac:dyDescent="0.2">
      <c r="B11" s="1288" t="s">
        <v>595</v>
      </c>
      <c r="C11" s="2049">
        <f>IF(SUM(C12,C15)=0,"NO",SUM(C12,C15))</f>
        <v>61.440000000000005</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f>IF(SUM(C13:C14)=0,"NO",SUM(C13:C14))</f>
        <v>61.440000000000005</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f>'Table2(II).B-Hs1'!G13</f>
        <v>61.440000000000005</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170.57775523341994</v>
      </c>
      <c r="Y16" s="2050">
        <f t="shared" ref="Y16" si="35">IF(SUM(Y17:Y19)=0,"NO",SUM(Y17:Y19))</f>
        <v>22.15295522552</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170.57775523341994</v>
      </c>
      <c r="Y17" s="2050">
        <f>'Table2(II).B-Hs1'!G26</f>
        <v>22.15295522552</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4.7305100909949055E-3</v>
      </c>
      <c r="D26" s="2069">
        <f t="shared" ref="D26:AK26" si="58">IF(SUM(D27:D32)=0,"NO",SUM(D27:D32))</f>
        <v>0.73937077845867416</v>
      </c>
      <c r="E26" s="2069" t="str">
        <f t="shared" si="58"/>
        <v>NO</v>
      </c>
      <c r="F26" s="2069">
        <f t="shared" si="58"/>
        <v>1.0976378406793613E-2</v>
      </c>
      <c r="G26" s="2069">
        <f t="shared" si="58"/>
        <v>13.381280573941346</v>
      </c>
      <c r="H26" s="2069">
        <f t="shared" si="58"/>
        <v>1.4981727079114337E-2</v>
      </c>
      <c r="I26" s="2069">
        <f t="shared" si="58"/>
        <v>38.262729243253467</v>
      </c>
      <c r="J26" s="2069" t="str">
        <f t="shared" si="58"/>
        <v>NO</v>
      </c>
      <c r="K26" s="2069">
        <f t="shared" si="58"/>
        <v>1.280828153558103</v>
      </c>
      <c r="L26" s="2069" t="str">
        <f t="shared" si="58"/>
        <v>NO</v>
      </c>
      <c r="M26" s="2069" t="str">
        <f t="shared" si="58"/>
        <v>NO</v>
      </c>
      <c r="N26" s="2069" t="str">
        <f t="shared" si="58"/>
        <v>NO</v>
      </c>
      <c r="O26" s="2069">
        <f t="shared" si="58"/>
        <v>0.45442381829003681</v>
      </c>
      <c r="P26" s="2069" t="str">
        <f t="shared" si="58"/>
        <v>NO</v>
      </c>
      <c r="Q26" s="2069" t="str">
        <f t="shared" si="58"/>
        <v>NO</v>
      </c>
      <c r="R26" s="2069">
        <f t="shared" si="58"/>
        <v>4.8673577255082317E-5</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4.2248659316487178E-3</v>
      </c>
      <c r="D27" s="2044">
        <f>IF(SUM('Table2(II).B-Hs2'!J14:M14,'Table2(II).B-Hs2'!J27:M27,'Table2(II).B-Hs2'!J40:M40,'Table2(II).B-Hs2'!J53:M53,'Table2(II).B-Hs2'!J66:M66,'Table2(II).B-Hs2'!J79:M79)=0,"NO",SUM('Table2(II).B-Hs2'!J14:M14,'Table2(II).B-Hs2'!J27:M27,'Table2(II).B-Hs2'!J40:M40,'Table2(II).B-Hs2'!J53:M53,'Table2(II).B-Hs2'!J66:M66,'Table2(II).B-Hs2'!J79:M79))</f>
        <v>0.66033944599612271</v>
      </c>
      <c r="E27" s="2044" t="s">
        <v>2146</v>
      </c>
      <c r="F27" s="2044">
        <f>IF(SUM('Table2(II).B-Hs2'!J15:M15,'Table2(II).B-Hs2'!J28:M28,'Table2(II).B-Hs2'!J41:M41,'Table2(II).B-Hs2'!J54:M54,'Table2(II).B-Hs2'!J67:M67,'Table2(II).B-Hs2'!J80:M80)=0,"NO",SUM('Table2(II).B-Hs2'!J15:M15,'Table2(II).B-Hs2'!J28:M28,'Table2(II).B-Hs2'!J41:M41,'Table2(II).B-Hs2'!J54:M54,'Table2(II).B-Hs2'!J67:M67,'Table2(II).B-Hs2'!J80:M80))</f>
        <v>9.8031134680433164E-3</v>
      </c>
      <c r="G27" s="2044">
        <f>IF(SUM('Table2(II).B-Hs2'!J16:M16,'Table2(II).B-Hs2'!J29:M29,'Table2(II).B-Hs2'!J42:M42,'Table2(II).B-Hs2'!J55:M55,'Table2(II).B-Hs2'!J68:M68,'Table2(II).B-Hs2'!J81:M81)=0,"NO",SUM('Table2(II).B-Hs2'!J16:M16,'Table2(II).B-Hs2'!J29:M29,'Table2(II).B-Hs2'!J42:M42,'Table2(II).B-Hs2'!J55:M55,'Table2(II).B-Hs2'!J68:M68,'Table2(II).B-Hs2'!J81:M81))</f>
        <v>11.950955675223501</v>
      </c>
      <c r="H27" s="2044">
        <f>IF(SUM('Table2(II).B-Hs2'!J17:M17,'Table2(II).B-Hs2'!J30:M30,'Table2(II).B-Hs2'!J43:M43,'Table2(II).B-Hs2'!J56:M56,'Table2(II).B-Hs2'!J69:M69,'Table2(II).B-Hs2'!J82:M82)=0,"NO",SUM('Table2(II).B-Hs2'!J17:M17,'Table2(II).B-Hs2'!J30:M30,'Table2(II).B-Hs2'!J43:M43,'Table2(II).B-Hs2'!J56:M56,'Table2(II).B-Hs2'!J69:M69,'Table2(II).B-Hs2'!J82:M82))</f>
        <v>1.3380330475206124E-2</v>
      </c>
      <c r="I27" s="2044">
        <f>IF(SUM('Table2(II).B-Hs2'!J18:M18,'Table2(II).B-Hs2'!J31:M31,'Table2(II).B-Hs2'!J44:M44,'Table2(II).B-Hs2'!J57:M57,'Table2(II).B-Hs2'!J70:M70,'Table2(II).B-Hs2'!J83:M83)=0,"NO",SUM('Table2(II).B-Hs2'!J18:M18,'Table2(II).B-Hs2'!J31:M31,'Table2(II).B-Hs2'!J44:M44,'Table2(II).B-Hs2'!J57:M57,'Table2(II).B-Hs2'!J70:M70,'Table2(II).B-Hs2'!J83:M83))</f>
        <v>34.172826634372953</v>
      </c>
      <c r="J27" s="2044" t="s">
        <v>2146</v>
      </c>
      <c r="K27" s="2044">
        <f>IF(SUM('Table2(II).B-Hs2'!J19:M19,'Table2(II).B-Hs2'!J32:M32,'Table2(II).B-Hs2'!J45:M45,'Table2(II).B-Hs2'!J58:M58,'Table2(II).B-Hs2'!J71:M71,'Table2(II).B-Hs2'!J84:M84)=0,"NO",SUM('Table2(II).B-Hs2'!J19:M19,'Table2(II).B-Hs2'!J32:M32,'Table2(II).B-Hs2'!J45:M45,'Table2(II).B-Hs2'!J58:M58,'Table2(II).B-Hs2'!J71:M71,'Table2(II).B-Hs2'!J84:M84))</f>
        <v>1.1439204496287354</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f>IF(SUM('Table2(II).B-Hs2'!J21:M21,'Table2(II).B-Hs2'!J34:M34,'Table2(II).B-Hs2'!J47:M47,'Table2(II).B-Hs2'!J60:M60,'Table2(II).B-Hs2'!J73:M73,'Table2(II).B-Hs2'!J86:M86)=0,"NO",SUM('Table2(II).B-Hs2'!J21:M21,'Table2(II).B-Hs2'!J34:M34,'Table2(II).B-Hs2'!J47:M47,'Table2(II).B-Hs2'!J60:M60,'Table2(II).B-Hs2'!J73:M73,'Table2(II).B-Hs2'!J86:M86))</f>
        <v>0.40585046252792611</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4.3470859243684615E-5</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3.3305630167100033E-4</v>
      </c>
      <c r="D28" s="2044">
        <f>IF(SUM('Table2(II).B-Hs2'!J93:M93,'Table2(II).B-Hs2'!J106:M106)=0,"NO",SUM('Table2(II).B-Hs2'!J93:M93,'Table2(II).B-Hs2'!J106:M106))</f>
        <v>5.2056140310497392E-2</v>
      </c>
      <c r="E28" s="2044" t="s">
        <v>2146</v>
      </c>
      <c r="F28" s="2044">
        <f>IF(SUM('Table2(II).B-Hs2'!J94:M94,'Table2(II).B-Hs2'!J107:M107)=0,"NO",SUM('Table2(II).B-Hs2'!J94:M94,'Table2(II).B-Hs2'!J107:M107))</f>
        <v>7.7280291714571588E-4</v>
      </c>
      <c r="G28" s="2044">
        <f>IF(SUM('Table2(II).B-Hs2'!J95:M95,'Table2(II).B-Hs2'!J108:M108)=0,"NO",SUM('Table2(II).B-Hs2'!J95:M95,'Table2(II).B-Hs2'!J108:M108))</f>
        <v>0.9421224632968882</v>
      </c>
      <c r="H28" s="2044">
        <f>IF(SUM('Table2(II).B-Hs2'!J96:M96,'Table2(II).B-Hs2'!J109:M109)=0,"NO",SUM('Table2(II).B-Hs2'!J96:M96,'Table2(II).B-Hs2'!J109:M109))</f>
        <v>1.0548035027158501E-3</v>
      </c>
      <c r="I28" s="2044">
        <f>IF(SUM('Table2(II).B-Hs2'!J97:M97,'Table2(II).B-Hs2'!J110:M110)=0,"NO",SUM('Table2(II).B-Hs2'!J97:M97,'Table2(II).B-Hs2'!J110:M110))</f>
        <v>2.6939257814618958</v>
      </c>
      <c r="J28" s="2044" t="s">
        <v>2146</v>
      </c>
      <c r="K28" s="2044">
        <f>IF(SUM('Table2(II).B-Hs2'!J98:M98,'Table2(II).B-Hs2'!J111:M111)=0,"NO",SUM('Table2(II).B-Hs2'!J98:M98,'Table2(II).B-Hs2'!J111:M111))</f>
        <v>9.017798920083045E-2</v>
      </c>
      <c r="L28" s="2044" t="s">
        <v>2146</v>
      </c>
      <c r="M28" s="2044" t="str">
        <f>IF(SUM('Table2(II).B-Hs2'!J99:M99,'Table2(II).B-Hs2'!J112:M112)=0,"NO",SUM('Table2(II).B-Hs2'!J99:M99,'Table2(II).B-Hs2'!J112:M112))</f>
        <v>NO</v>
      </c>
      <c r="N28" s="2044" t="s">
        <v>2146</v>
      </c>
      <c r="O28" s="2044">
        <f>IF(SUM('Table2(II).B-Hs2'!J100:M100,'Table2(II).B-Hs2'!J113:M113)=0,"NO",SUM('Table2(II).B-Hs2'!J100:M100,'Table2(II).B-Hs2'!J113:M113))</f>
        <v>3.1994164138663357E-2</v>
      </c>
      <c r="P28" s="2044" t="s">
        <v>2146</v>
      </c>
      <c r="Q28" s="2044" t="s">
        <v>2146</v>
      </c>
      <c r="R28" s="2044">
        <f>IF(SUM('Table2(II).B-Hs2'!J101:M101,'Table2(II).B-Hs2'!J114:M114)=0,"NO",SUM('Table2(II).B-Hs2'!J101:M101,'Table2(II).B-Hs2'!J114:M114))</f>
        <v>3.426911964638889E-6</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1.5125540348976633E-5</v>
      </c>
      <c r="D29" s="2044">
        <f>IF(SUM('Table2(II).B-Hs2'!J119:M119)=0,"NO",SUM('Table2(II).B-Hs2'!J119:M119))</f>
        <v>2.3640965408191082E-3</v>
      </c>
      <c r="E29" s="2044" t="s">
        <v>2146</v>
      </c>
      <c r="F29" s="2044">
        <f>IF(SUM('Table2(II).B-Hs2'!J120:M120)=0,"NO",SUM('Table2(II).B-Hs2'!J120:M120))</f>
        <v>3.5096353518754496E-5</v>
      </c>
      <c r="G29" s="2044">
        <f>IF(SUM('Table2(II).B-Hs2'!J121:M121)=0,"NO",SUM('Table2(II).B-Hs2'!J121:M121))</f>
        <v>4.2785893138124392E-2</v>
      </c>
      <c r="H29" s="2044">
        <f>IF(SUM('Table2(II).B-Hs2'!J122:M122)=0,"NO",SUM('Table2(II).B-Hs2'!J122:M122))</f>
        <v>4.7903230956820683E-5</v>
      </c>
      <c r="I29" s="2044">
        <f>IF(SUM('Table2(II).B-Hs2'!J123:M123)=0,"NO",SUM('Table2(II).B-Hs2'!J123:M123))</f>
        <v>0.12234292790803011</v>
      </c>
      <c r="J29" s="2044" t="s">
        <v>2146</v>
      </c>
      <c r="K29" s="2044">
        <f>IF(SUM('Table2(II).B-Hs2'!J124:M124)=0,"NO",SUM('Table2(II).B-Hs2'!J124:M124))</f>
        <v>4.0953760892778945E-3</v>
      </c>
      <c r="L29" s="2044" t="s">
        <v>2146</v>
      </c>
      <c r="M29" s="2044" t="str">
        <f>IF(SUM('Table2(II).B-Hs2'!J125:M125)=0,"NO",SUM('Table2(II).B-Hs2'!J125:M125))</f>
        <v>NO</v>
      </c>
      <c r="N29" s="2044" t="s">
        <v>2146</v>
      </c>
      <c r="O29" s="2044">
        <f>IF(SUM('Table2(II).B-Hs2'!J126:M126)=0,"NO",SUM('Table2(II).B-Hs2'!J126:M126))</f>
        <v>1.4529946383935069E-3</v>
      </c>
      <c r="P29" s="2044" t="s">
        <v>2146</v>
      </c>
      <c r="Q29" s="2044" t="s">
        <v>2146</v>
      </c>
      <c r="R29" s="2044">
        <f>IF(SUM('Table2(II).B-Hs2'!J127:M127)=0,"NO",SUM('Table2(II).B-Hs2'!J127:M127))</f>
        <v>1.5563102974925501E-7</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t="str">
        <f>IF(SUM('Table2(II).B-Hs2'!J132:M132)=0,"NO",SUM('Table2(II).B-Hs2'!J132:M132))</f>
        <v>NO</v>
      </c>
      <c r="D30" s="2044" t="str">
        <f>IF(SUM('Table2(II).B-Hs2'!J133:M133)=0,"NO",SUM('Table2(II).B-Hs2'!J133:M133))</f>
        <v>NO</v>
      </c>
      <c r="E30" s="2044" t="s">
        <v>2146</v>
      </c>
      <c r="F30" s="2044" t="str">
        <f>IF(SUM('Table2(II).B-Hs2'!J134:M134)=0,"NO",SUM('Table2(II).B-Hs2'!J134:M134))</f>
        <v>NO</v>
      </c>
      <c r="G30" s="2044" t="str">
        <f>IF(SUM('Table2(II).B-Hs2'!J135:M135)=0,"NO",SUM('Table2(II).B-Hs2'!J135:M135))</f>
        <v>NO</v>
      </c>
      <c r="H30" s="2044" t="str">
        <f>IF(SUM('Table2(II).B-Hs2'!J136:M136)=0,"NO",SUM('Table2(II).B-Hs2'!J136:M136))</f>
        <v>NO</v>
      </c>
      <c r="I30" s="2044" t="str">
        <f>IF(SUM('Table2(II).B-Hs2'!J137:M137)=0,"NO",SUM('Table2(II).B-Hs2'!J137:M137))</f>
        <v>NO</v>
      </c>
      <c r="J30" s="2044" t="s">
        <v>2146</v>
      </c>
      <c r="K30" s="2044" t="str">
        <f>IF(SUM('Table2(II).B-Hs2'!J138:M138)=0,"NO",SUM('Table2(II).B-Hs2'!J138:M138))</f>
        <v>NO</v>
      </c>
      <c r="L30" s="2044" t="s">
        <v>2146</v>
      </c>
      <c r="M30" s="2044" t="str">
        <f>IF(SUM('Table2(II).B-Hs2'!J139:M139)=0,"NO",SUM('Table2(II).B-Hs2'!J139:M139))</f>
        <v>NO</v>
      </c>
      <c r="N30" s="2044" t="s">
        <v>2146</v>
      </c>
      <c r="O30" s="2044" t="str">
        <f>IF(SUM('Table2(II).B-Hs2'!J140:M140)=0,"NO",SUM('Table2(II).B-Hs2'!J140:M140))</f>
        <v>NO</v>
      </c>
      <c r="P30" s="2044" t="s">
        <v>2146</v>
      </c>
      <c r="Q30" s="2044" t="s">
        <v>2146</v>
      </c>
      <c r="R30" s="2044" t="str">
        <f>IF(SUM('Table2(II).B-Hs2'!J141:M141)=0,"NO",SUM('Table2(II).B-Hs2'!J141:M141))</f>
        <v>NO</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1.5746231732621015E-4</v>
      </c>
      <c r="D31" s="2044">
        <f>IF(SUM('Table2(II).B-Hs2'!J148:M148)=0,"NO",SUM('Table2(II).B-Hs2'!J148:M148))</f>
        <v>2.4611095611234823E-2</v>
      </c>
      <c r="E31" s="2044" t="s">
        <v>2146</v>
      </c>
      <c r="F31" s="2044">
        <f>IF(SUM('Table2(II).B-Hs2'!J149:M149)=0,"NO",SUM('Table2(II).B-Hs2'!J149:M149))</f>
        <v>3.6536566808582644E-4</v>
      </c>
      <c r="G31" s="2044">
        <f>IF(SUM('Table2(II).B-Hs2'!J150:M150)=0,"NO",SUM('Table2(II).B-Hs2'!J150:M150))</f>
        <v>0.44541654228283373</v>
      </c>
      <c r="H31" s="2044">
        <f>IF(SUM('Table2(II).B-Hs2'!J151:M151)=0,"NO",SUM('Table2(II).B-Hs2'!J151:M151))</f>
        <v>4.9868987023554321E-4</v>
      </c>
      <c r="I31" s="2044">
        <f>IF(SUM('Table2(II).B-Hs2'!J152:M152)=0,"NO",SUM('Table2(II).B-Hs2'!J152:M152))</f>
        <v>1.2736338995105903</v>
      </c>
      <c r="J31" s="2044" t="s">
        <v>2146</v>
      </c>
      <c r="K31" s="2044">
        <f>IF(SUM('Table2(II).B-Hs2'!J153:M153)=0,"NO",SUM('Table2(II).B-Hs2'!J153:M153))</f>
        <v>4.2634338639259244E-2</v>
      </c>
      <c r="L31" s="2044" t="s">
        <v>2146</v>
      </c>
      <c r="M31" s="2044" t="str">
        <f>IF(SUM('Table2(II).B-Hs2'!J154:M154)=0,"NO",SUM('Table2(II).B-Hs2'!J154:M154))</f>
        <v>NO</v>
      </c>
      <c r="N31" s="2044" t="s">
        <v>2146</v>
      </c>
      <c r="O31" s="2044">
        <f>IF(SUM('Table2(II).B-Hs2'!J155:M155)=0,"NO",SUM('Table2(II).B-Hs2'!J155:M155))</f>
        <v>1.5126196985053826E-2</v>
      </c>
      <c r="P31" s="2044" t="s">
        <v>2146</v>
      </c>
      <c r="Q31" s="2044" t="s">
        <v>2146</v>
      </c>
      <c r="R31" s="2044">
        <f>IF(SUM('Table2(II).B-Hs2'!J156:M156)=0,"NO",SUM('Table2(II).B-Hs2'!J156:M156))</f>
        <v>1.6201750170095624E-6</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13.86907674296754</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13.252651716657713</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0.61642502630982676</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761.91465832512847</v>
      </c>
      <c r="D39" s="4196">
        <f t="shared" ref="D39:AK39" si="72">IF(SUM(D40:D45)=0,"NO",SUM(D40:D45))</f>
        <v>0.50055401701652236</v>
      </c>
      <c r="E39" s="4196" t="str">
        <f t="shared" si="72"/>
        <v>NO</v>
      </c>
      <c r="F39" s="4196">
        <f t="shared" si="72"/>
        <v>1.8111024371209459E-2</v>
      </c>
      <c r="G39" s="4196">
        <f t="shared" si="72"/>
        <v>42.418659419394068</v>
      </c>
      <c r="H39" s="4196">
        <f t="shared" si="72"/>
        <v>1.677953432860806E-2</v>
      </c>
      <c r="I39" s="4196">
        <f t="shared" si="72"/>
        <v>49.741548016229508</v>
      </c>
      <c r="J39" s="4196" t="str">
        <f t="shared" si="72"/>
        <v>NO</v>
      </c>
      <c r="K39" s="4196">
        <f t="shared" si="72"/>
        <v>6.1479751370788946</v>
      </c>
      <c r="L39" s="4196" t="str">
        <f t="shared" si="72"/>
        <v>NO</v>
      </c>
      <c r="M39" s="4196" t="str">
        <f t="shared" si="72"/>
        <v>NO</v>
      </c>
      <c r="N39" s="4196" t="str">
        <f t="shared" si="72"/>
        <v>NO</v>
      </c>
      <c r="O39" s="4196">
        <f t="shared" si="72"/>
        <v>1.5223197912716233</v>
      </c>
      <c r="P39" s="4196" t="str">
        <f t="shared" si="72"/>
        <v>NO</v>
      </c>
      <c r="Q39" s="4196" t="str">
        <f t="shared" si="72"/>
        <v>NO</v>
      </c>
      <c r="R39" s="4196">
        <f t="shared" si="72"/>
        <v>3.9230903267596347E-4</v>
      </c>
      <c r="S39" s="4196" t="str">
        <f t="shared" si="72"/>
        <v>NO</v>
      </c>
      <c r="T39" s="4196" t="str">
        <f t="shared" si="72"/>
        <v>NO</v>
      </c>
      <c r="U39" s="4196" t="str">
        <f t="shared" si="72"/>
        <v>NO</v>
      </c>
      <c r="V39" s="4196" t="str">
        <f t="shared" si="72"/>
        <v>NO</v>
      </c>
      <c r="W39" s="4196">
        <f t="shared" si="72"/>
        <v>862.28099757385155</v>
      </c>
      <c r="X39" s="4196">
        <f t="shared" si="72"/>
        <v>1130.9305171975743</v>
      </c>
      <c r="Y39" s="4196">
        <f t="shared" si="72"/>
        <v>245.89780300327197</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1376.8283202008463</v>
      </c>
      <c r="AI39" s="4197" t="str">
        <f t="shared" si="72"/>
        <v>NO</v>
      </c>
      <c r="AJ39" s="4197">
        <f t="shared" si="72"/>
        <v>325.92330345973716</v>
      </c>
      <c r="AK39" s="2918" t="str">
        <f t="shared" si="72"/>
        <v>NO</v>
      </c>
    </row>
    <row r="40" spans="2:37" ht="18" customHeight="1" x14ac:dyDescent="0.2">
      <c r="B40" s="1292" t="s">
        <v>595</v>
      </c>
      <c r="C40" s="4198">
        <f>IF(SUM(C11)=0,"NO",C11*12400/1000)</f>
        <v>761.85600000000011</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f>IF(SUM(C40:V40)=0,"NO",SUM(C40:V40))</f>
        <v>761.85600000000011</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1130.9305171975743</v>
      </c>
      <c r="Y41" s="4199">
        <f>IF(SUM(Y16)=0,"NO",Y16*11100/1000)</f>
        <v>245.89780300327197</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1376.8283202008463</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5.8658325128336825E-2</v>
      </c>
      <c r="D43" s="4199">
        <f>IF(SUM(D26)=0,"NO",D26*677/1000)</f>
        <v>0.50055401701652236</v>
      </c>
      <c r="E43" s="4199" t="str">
        <f>IF(SUM(E26)=0,"NO",E26*116/1000)</f>
        <v>NO</v>
      </c>
      <c r="F43" s="4199">
        <f>IF(SUM(F26)=0,"NO",F26*1650/1000)</f>
        <v>1.8111024371209459E-2</v>
      </c>
      <c r="G43" s="4199">
        <f>IF(SUM(G26)=0,"NO",G26*3170/1000)</f>
        <v>42.418659419394068</v>
      </c>
      <c r="H43" s="4199">
        <f>IF(SUM(H26)=0,"NO",H26*1120/1000)</f>
        <v>1.677953432860806E-2</v>
      </c>
      <c r="I43" s="4199">
        <f>IF(SUM(I26)=0,"NO",I26*1300/1000)</f>
        <v>49.741548016229508</v>
      </c>
      <c r="J43" s="4199" t="str">
        <f>IF(SUM(J26)=0,"NO",J26*328/1000)</f>
        <v>NO</v>
      </c>
      <c r="K43" s="4199">
        <f>IF(SUM(K26)=0,"NO",K26*4800/1000)</f>
        <v>6.1479751370788946</v>
      </c>
      <c r="L43" s="4199" t="str">
        <f>IF(SUM(L26)=0,"NO",L26*16/1000)</f>
        <v>NO</v>
      </c>
      <c r="M43" s="4199" t="str">
        <f>IF(SUM(M26)=0,"NO",M26*138/1000)</f>
        <v>NO</v>
      </c>
      <c r="N43" s="4199" t="str">
        <f>IF(SUM(N26)=0,"NO",N26*4/1000)</f>
        <v>NO</v>
      </c>
      <c r="O43" s="4199">
        <f>IF(SUM(O26)=0,"NO",O26*3350/1000)</f>
        <v>1.5223197912716233</v>
      </c>
      <c r="P43" s="4199" t="str">
        <f>IF(SUM(P26)=0,"NO",P26*1210/1000)</f>
        <v>NO</v>
      </c>
      <c r="Q43" s="4199" t="str">
        <f>IF(SUM(Q26)=0,"NO",Q26*1330/1000)</f>
        <v>NO</v>
      </c>
      <c r="R43" s="4199">
        <f>IF(SUM(R26)=0,"NO",R26*8060/1000)</f>
        <v>3.9230903267596347E-4</v>
      </c>
      <c r="S43" s="4199" t="str">
        <f>IF(SUM(S26)=0,"NO",S26*716/1000)</f>
        <v>NO</v>
      </c>
      <c r="T43" s="4199" t="str">
        <f>IF(SUM(T26)=0,"NO",T26*858/1000)</f>
        <v>NO</v>
      </c>
      <c r="U43" s="4199" t="str">
        <f>IF(SUM(U26)=0,"NO",U26*804/1000)</f>
        <v>NO</v>
      </c>
      <c r="V43" s="4199" t="str">
        <f>IF(SUM(V26)=0,"NO",V26*1/1000)</f>
        <v>NO</v>
      </c>
      <c r="W43" s="4199">
        <f t="shared" si="73"/>
        <v>100.42499757385146</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325.92330345973716</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5826.2709371596793</v>
      </c>
      <c r="I10" s="628"/>
      <c r="J10" s="628"/>
      <c r="K10" s="3192" t="str">
        <f>IF(SUM(K11:K14)=0,"NO",SUM(K11:K14))</f>
        <v>NO</v>
      </c>
      <c r="L10" s="3192" t="str">
        <f>IF(SUM(L11:L14)=0,"NO",SUM(L11:L14))</f>
        <v>NO</v>
      </c>
      <c r="M10" s="628"/>
      <c r="N10" s="1838"/>
    </row>
    <row r="11" spans="2:14" ht="18" customHeight="1" x14ac:dyDescent="0.2">
      <c r="B11" s="287" t="s">
        <v>491</v>
      </c>
      <c r="C11" s="2099" t="s">
        <v>2181</v>
      </c>
      <c r="D11" s="691">
        <v>5998.4189999999999</v>
      </c>
      <c r="E11" s="1913">
        <f>IF(SUM($D11)=0,"NA",H11/$D11)</f>
        <v>0.55977244937374326</v>
      </c>
      <c r="F11" s="628"/>
      <c r="G11" s="628"/>
      <c r="H11" s="3180">
        <v>3357.7496959999999</v>
      </c>
      <c r="I11" s="628"/>
      <c r="J11" s="628"/>
      <c r="K11" s="3180" t="s">
        <v>2146</v>
      </c>
      <c r="L11" s="691" t="s">
        <v>2146</v>
      </c>
      <c r="M11" s="628"/>
      <c r="N11" s="1838"/>
    </row>
    <row r="12" spans="2:14" ht="18" customHeight="1" x14ac:dyDescent="0.2">
      <c r="B12" s="287" t="s">
        <v>492</v>
      </c>
      <c r="C12" s="2100" t="s">
        <v>2182</v>
      </c>
      <c r="D12" s="691">
        <v>1266.2615197233831</v>
      </c>
      <c r="E12" s="1913">
        <f>IF(SUM($D12)=0,"NA",H12/$D12)</f>
        <v>0.7484530240107452</v>
      </c>
      <c r="F12" s="628"/>
      <c r="G12" s="628"/>
      <c r="H12" s="3180">
        <v>947.73726362540799</v>
      </c>
      <c r="I12" s="628"/>
      <c r="J12" s="628"/>
      <c r="K12" s="3180" t="s">
        <v>2146</v>
      </c>
      <c r="L12" s="691" t="s">
        <v>2146</v>
      </c>
      <c r="M12" s="628"/>
      <c r="N12" s="1838"/>
    </row>
    <row r="13" spans="2:14" ht="18" customHeight="1" x14ac:dyDescent="0.2">
      <c r="B13" s="287" t="s">
        <v>493</v>
      </c>
      <c r="C13" s="2100" t="s">
        <v>2267</v>
      </c>
      <c r="D13" s="691">
        <v>269.38490842889644</v>
      </c>
      <c r="E13" s="1913">
        <f>IF(SUM($D13)=0,"NA",H13/$D13)</f>
        <v>0.39573900000000006</v>
      </c>
      <c r="F13" s="628"/>
      <c r="G13" s="628"/>
      <c r="H13" s="3180">
        <v>106.60611427674307</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1414.1778632575283</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39.339408123600002</v>
      </c>
      <c r="I15" s="628"/>
      <c r="J15" s="628"/>
      <c r="K15" s="3180" t="s">
        <v>2146</v>
      </c>
      <c r="L15" s="691" t="s">
        <v>2146</v>
      </c>
      <c r="M15" s="628"/>
      <c r="N15" s="1838"/>
    </row>
    <row r="16" spans="2:14" ht="18" customHeight="1" x14ac:dyDescent="0.2">
      <c r="B16" s="160" t="s">
        <v>496</v>
      </c>
      <c r="C16" s="484" t="s">
        <v>2316</v>
      </c>
      <c r="D16" s="2905">
        <v>386.35550499999999</v>
      </c>
      <c r="E16" s="1913">
        <f>IF(SUM($D16)=0,"NA",H16/$D16)</f>
        <v>0.41492000000000012</v>
      </c>
      <c r="F16" s="628"/>
      <c r="G16" s="628"/>
      <c r="H16" s="3180">
        <v>160.30662613460004</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1214.5318289993284</v>
      </c>
      <c r="I18" s="628"/>
      <c r="J18" s="628"/>
      <c r="K18" s="3181" t="str">
        <f>K19</f>
        <v>NO</v>
      </c>
      <c r="L18" s="3193" t="str">
        <f>L19</f>
        <v>NO</v>
      </c>
      <c r="M18" s="628"/>
      <c r="N18" s="1838"/>
    </row>
    <row r="19" spans="2:14" ht="18" customHeight="1" x14ac:dyDescent="0.2">
      <c r="B19" s="3182" t="s">
        <v>2265</v>
      </c>
      <c r="C19" s="484" t="s">
        <v>2267</v>
      </c>
      <c r="D19" s="2905">
        <v>2511.5599439711041</v>
      </c>
      <c r="E19" s="1913">
        <f>IF(SUM($D19)=0,"NA",H19/$D19)</f>
        <v>0.41179717451021108</v>
      </c>
      <c r="F19" s="628"/>
      <c r="G19" s="628"/>
      <c r="H19" s="3180">
        <v>1034.2532885403248</v>
      </c>
      <c r="I19" s="628"/>
      <c r="J19" s="628"/>
      <c r="K19" s="3180" t="s">
        <v>2146</v>
      </c>
      <c r="L19" s="3180" t="s">
        <v>2146</v>
      </c>
      <c r="M19" s="628"/>
      <c r="N19" s="1838"/>
    </row>
    <row r="20" spans="2:14" ht="18" customHeight="1" x14ac:dyDescent="0.2">
      <c r="B20" s="3183" t="s">
        <v>2264</v>
      </c>
      <c r="C20" s="484" t="s">
        <v>2267</v>
      </c>
      <c r="D20" s="2905">
        <v>265.19744611759296</v>
      </c>
      <c r="E20" s="1913">
        <f>IF(SUM($D20)=0,"NA",H20/$D20)</f>
        <v>0.50878300034673296</v>
      </c>
      <c r="F20" s="628"/>
      <c r="G20" s="628"/>
      <c r="H20" s="3180">
        <v>134.92795232</v>
      </c>
      <c r="I20" s="628"/>
      <c r="J20" s="628"/>
      <c r="K20" s="3180" t="s">
        <v>2146</v>
      </c>
      <c r="L20" s="3180" t="s">
        <v>2146</v>
      </c>
      <c r="M20" s="2135"/>
      <c r="N20" s="2149"/>
    </row>
    <row r="21" spans="2:14" ht="18" customHeight="1" thickBot="1" x14ac:dyDescent="0.25">
      <c r="B21" s="3183" t="s">
        <v>2266</v>
      </c>
      <c r="C21" s="484" t="s">
        <v>2267</v>
      </c>
      <c r="D21" s="2905">
        <v>606.11108149999995</v>
      </c>
      <c r="E21" s="1913">
        <f>IF(SUM($D21)=0,"NA",H21/$D21)</f>
        <v>7.4822238898470811E-2</v>
      </c>
      <c r="F21" s="628"/>
      <c r="G21" s="628"/>
      <c r="H21" s="3180">
        <v>45.350588139003506</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1552.3215513742841</v>
      </c>
      <c r="I22" s="3067">
        <f>IF(SUM(I23:I26,I30,I33:I35,I47)=0,"IE",SUM(I23:I26,I30,I33:I35,I47))</f>
        <v>0.52038379999999995</v>
      </c>
      <c r="J22" s="3067">
        <f>IF(SUM(J23:J26,J30,J33:J35,J47)=0,"IE",SUM(J23:J26,J30,J33:J35,J47))</f>
        <v>4.5844841264516134</v>
      </c>
      <c r="K22" s="3067">
        <f>IF(SUM(K23:K26,K30,K33:K35,K47)=0,"NO",SUM(K23:K26,K30,K33:K35,K47))</f>
        <v>-125.70663809814801</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520.87640178599997</v>
      </c>
      <c r="E23" s="1913">
        <f>IF(SUM($D23)=0,"NA",H23/$D23)</f>
        <v>1.4299661732237725</v>
      </c>
      <c r="F23" s="1913" t="str">
        <f>IFERROR(IF(SUM($D23)=0,"NA",I23/$D23),"NA")</f>
        <v>NA</v>
      </c>
      <c r="G23" s="1913" t="str">
        <f>IFERROR(IF(SUM($D23)=0,"NA",J23/$D23),"NA")</f>
        <v>NA</v>
      </c>
      <c r="H23" s="691">
        <v>744.83563498449462</v>
      </c>
      <c r="I23" s="691" t="s">
        <v>2146</v>
      </c>
      <c r="J23" s="691" t="s">
        <v>2146</v>
      </c>
      <c r="K23" s="3180">
        <v>-125.70663809814801</v>
      </c>
      <c r="L23" s="691" t="s">
        <v>2146</v>
      </c>
      <c r="M23" s="691" t="s">
        <v>2146</v>
      </c>
      <c r="N23" s="2911" t="s">
        <v>2146</v>
      </c>
    </row>
    <row r="24" spans="2:14" ht="18" customHeight="1" x14ac:dyDescent="0.2">
      <c r="B24" s="287" t="s">
        <v>500</v>
      </c>
      <c r="C24" s="484" t="s">
        <v>220</v>
      </c>
      <c r="D24" s="691">
        <v>444.13600000000002</v>
      </c>
      <c r="E24" s="2108"/>
      <c r="F24" s="2108"/>
      <c r="G24" s="1913">
        <f>IF(SUM($D24)=0,"NA",J24/$D24)</f>
        <v>1.0322252928048194E-2</v>
      </c>
      <c r="H24" s="2108"/>
      <c r="I24" s="2108"/>
      <c r="J24" s="691">
        <v>4.5844841264516134</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664.94238596320281</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46.86107299999999</v>
      </c>
      <c r="I35" s="3196">
        <f>I46</f>
        <v>0.52038379999999995</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46.86107299999999</v>
      </c>
      <c r="I42" s="3198">
        <f>IF(SUM(I44:I45)=0,"NO",SUM(I44:I45))</f>
        <v>0.52038379999999995</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46.86107299999999</v>
      </c>
      <c r="I45" s="3198">
        <f>I46</f>
        <v>0.52038379999999995</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46.86107299999999</v>
      </c>
      <c r="I46" s="691">
        <v>0.52038379999999995</v>
      </c>
      <c r="J46" s="628"/>
      <c r="K46" s="691" t="s">
        <v>2146</v>
      </c>
      <c r="L46" s="691" t="s">
        <v>2146</v>
      </c>
      <c r="M46" s="691" t="s">
        <v>2146</v>
      </c>
      <c r="N46" s="1838"/>
    </row>
    <row r="47" spans="2:16" ht="18" customHeight="1" x14ac:dyDescent="0.2">
      <c r="B47" s="287" t="s">
        <v>520</v>
      </c>
      <c r="C47" s="2104"/>
      <c r="D47" s="628"/>
      <c r="E47" s="628"/>
      <c r="F47" s="628"/>
      <c r="G47" s="628"/>
      <c r="H47" s="3198">
        <f>H50</f>
        <v>95.682457426586708</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95.682457426586708</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95.682457426586708</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13085.711804528275</v>
      </c>
      <c r="I52" s="3192">
        <f>IF(SUM(I53,I62:I67)=0,"IE",SUM(I53,I62:I67))</f>
        <v>3.4134635991294826</v>
      </c>
      <c r="J52" s="1909">
        <f>J67</f>
        <v>7.3441202672488951E-2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1285</v>
      </c>
      <c r="E63" s="4130">
        <f>IF(SUM($D63)=0,"NA",H63/$D63)</f>
        <v>1.6475298947936221</v>
      </c>
      <c r="F63" s="1892"/>
      <c r="G63" s="2107"/>
      <c r="H63" s="691">
        <v>2117.0759148098045</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10968.635889718471</v>
      </c>
      <c r="I67" s="3199">
        <f t="shared" ref="I67:N67" si="8">IF(SUM(I69:I70)=0,I70,SUM(I69:I70))</f>
        <v>3.4134635991294826</v>
      </c>
      <c r="J67" s="3199">
        <f t="shared" si="8"/>
        <v>7.3441202672488951E-2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10968.635889718471</v>
      </c>
      <c r="I70" s="3095">
        <f t="shared" si="9"/>
        <v>3.4134635991294826</v>
      </c>
      <c r="J70" s="3095">
        <f t="shared" si="9"/>
        <v>7.3441202672488951E-2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10968.635889718471</v>
      </c>
      <c r="I71" s="3123">
        <v>3.4134635991294826</v>
      </c>
      <c r="J71" s="3123">
        <v>7.3441202672488951E-2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267.44714449999998</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497.42268045799995</v>
      </c>
      <c r="E73" s="4130">
        <f t="shared" ref="E73:G74" si="11">IF(SUM($D73)=0,"NA",H73/$D73)</f>
        <v>0.53766576195067961</v>
      </c>
      <c r="F73" s="276" t="s">
        <v>2147</v>
      </c>
      <c r="G73" s="276" t="s">
        <v>2147</v>
      </c>
      <c r="H73" s="3122">
        <v>267.44714449999998</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301.83681818181799</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138.84811649937512</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138.84811649937512</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f t="shared" ref="G10:H12" si="0">G11</f>
        <v>61.440000000000005</v>
      </c>
      <c r="H10" s="2612" t="str">
        <f t="shared" si="0"/>
        <v>NO</v>
      </c>
    </row>
    <row r="11" spans="2:8" ht="18" customHeight="1" x14ac:dyDescent="0.2">
      <c r="B11" s="169" t="s">
        <v>596</v>
      </c>
      <c r="C11" s="2507"/>
      <c r="D11" s="1825"/>
      <c r="E11" s="1826"/>
      <c r="F11" s="4322"/>
      <c r="G11" s="1913">
        <f t="shared" si="0"/>
        <v>61.440000000000005</v>
      </c>
      <c r="H11" s="2611" t="str">
        <f t="shared" si="0"/>
        <v>NO</v>
      </c>
    </row>
    <row r="12" spans="2:8" ht="18" customHeight="1" x14ac:dyDescent="0.2">
      <c r="B12" s="1169" t="s">
        <v>597</v>
      </c>
      <c r="C12" s="2507"/>
      <c r="D12" s="1825"/>
      <c r="E12" s="1826"/>
      <c r="F12" s="4322"/>
      <c r="G12" s="1913">
        <f t="shared" si="0"/>
        <v>61.440000000000005</v>
      </c>
      <c r="H12" s="2611" t="str">
        <f t="shared" si="0"/>
        <v>NO</v>
      </c>
    </row>
    <row r="13" spans="2:8" ht="18" customHeight="1" x14ac:dyDescent="0.2">
      <c r="B13" s="1170" t="s">
        <v>622</v>
      </c>
      <c r="C13" s="2620" t="s">
        <v>559</v>
      </c>
      <c r="D13" s="73" t="s">
        <v>624</v>
      </c>
      <c r="E13" s="2608">
        <v>1536</v>
      </c>
      <c r="F13" s="4323">
        <f>IF(SUM(E13)=0,"NA",SUM(G13)*1000/E13)</f>
        <v>40.000000000000007</v>
      </c>
      <c r="G13" s="691">
        <v>61.440000000000005</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192.73071045893994</v>
      </c>
      <c r="H22" s="2611" t="str">
        <f>H23</f>
        <v>NO</v>
      </c>
    </row>
    <row r="23" spans="2:8" ht="18" customHeight="1" x14ac:dyDescent="0.2">
      <c r="B23" s="169" t="s">
        <v>636</v>
      </c>
      <c r="C23" s="2507"/>
      <c r="D23" s="76"/>
      <c r="E23" s="76"/>
      <c r="F23" s="4322"/>
      <c r="G23" s="3188">
        <f>IF(SUM(G24,G27)=0,"NO",SUM(G24,G27))</f>
        <v>192.73071045893994</v>
      </c>
      <c r="H23" s="2611" t="str">
        <f>H24</f>
        <v>NO</v>
      </c>
    </row>
    <row r="24" spans="2:8" ht="18" customHeight="1" x14ac:dyDescent="0.2">
      <c r="B24" s="171" t="s">
        <v>637</v>
      </c>
      <c r="C24" s="2507"/>
      <c r="D24" s="76"/>
      <c r="E24" s="76"/>
      <c r="F24" s="4322"/>
      <c r="G24" s="3188">
        <f>IF(SUM(G25:G26)=0,"NO",SUM(G25:G26))</f>
        <v>192.73071045893994</v>
      </c>
      <c r="H24" s="2611" t="str">
        <f>H25</f>
        <v>NO</v>
      </c>
    </row>
    <row r="25" spans="2:8" ht="18" customHeight="1" x14ac:dyDescent="0.25">
      <c r="B25" s="2609" t="s">
        <v>1741</v>
      </c>
      <c r="C25" s="2620" t="s">
        <v>1741</v>
      </c>
      <c r="D25" s="73" t="s">
        <v>638</v>
      </c>
      <c r="E25" s="691">
        <v>1285000</v>
      </c>
      <c r="F25" s="4320">
        <f t="shared" ref="F25:F28" si="2">IF(SUM(E25)=0,"NA",G25*1000/E25)</f>
        <v>0.13274533481199996</v>
      </c>
      <c r="G25" s="691">
        <v>170.57775523341994</v>
      </c>
      <c r="H25" s="2610" t="s">
        <v>2146</v>
      </c>
    </row>
    <row r="26" spans="2:8" ht="18" customHeight="1" x14ac:dyDescent="0.25">
      <c r="B26" s="2609" t="s">
        <v>1742</v>
      </c>
      <c r="C26" s="2620" t="s">
        <v>1742</v>
      </c>
      <c r="D26" s="73" t="s">
        <v>638</v>
      </c>
      <c r="E26" s="691">
        <v>1285000</v>
      </c>
      <c r="F26" s="4320">
        <f t="shared" si="2"/>
        <v>1.7239653872000001E-2</v>
      </c>
      <c r="G26" s="691">
        <v>22.15295522552</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11.471576348622921</v>
      </c>
      <c r="K10" s="3224">
        <f>IF(SUM(K11,K90,K117,K130,K146,K159)=0,"NO",SUM(K11,K90,K117,K130,K146,K159))</f>
        <v>42.677793508032849</v>
      </c>
      <c r="L10" s="3225">
        <f>IF(SUM(L11,L90,L117,L130,L146,L159)=0,"NO",SUM(L11,L90,L117,L130,L146,L159))</f>
        <v>1.8290794046444254E-14</v>
      </c>
      <c r="M10" s="3498" t="str">
        <f>IF(SUM(M11,M90,M117,M130,M146,M159)=0,"NO",SUM(M11,M90,M117,M130,M146,M159))</f>
        <v>NO</v>
      </c>
    </row>
    <row r="11" spans="1:13" ht="18" customHeight="1" x14ac:dyDescent="0.2">
      <c r="B11" s="147" t="s">
        <v>667</v>
      </c>
      <c r="C11" s="2508"/>
      <c r="D11" s="2108"/>
      <c r="E11" s="2108"/>
      <c r="F11" s="2108"/>
      <c r="G11" s="2108"/>
      <c r="H11" s="2108"/>
      <c r="I11" s="2108"/>
      <c r="J11" s="3103">
        <f>IF(SUM(J12,J25,J38,J51,J64,J77)=0,"NO",SUM(J12,J25,J38,J51,J64,J77))</f>
        <v>7.7080405854052998</v>
      </c>
      <c r="K11" s="3103">
        <f t="shared" ref="K11:M11" si="0">IF(SUM(K12,K25,K38,K51,K64,K77)=0,"NO",SUM(K12,K25,K38,K51,K64,K77))</f>
        <v>40.653303863078065</v>
      </c>
      <c r="L11" s="3103">
        <f t="shared" si="0"/>
        <v>1.2981293218638189E-14</v>
      </c>
      <c r="M11" s="3226" t="str">
        <f t="shared" si="0"/>
        <v>NO</v>
      </c>
    </row>
    <row r="12" spans="1:13" ht="18" customHeight="1" x14ac:dyDescent="0.2">
      <c r="B12" s="104" t="s">
        <v>668</v>
      </c>
      <c r="C12" s="2508"/>
      <c r="D12" s="2108"/>
      <c r="E12" s="2108"/>
      <c r="F12" s="2108"/>
      <c r="G12" s="2108"/>
      <c r="H12" s="2108"/>
      <c r="I12" s="2108"/>
      <c r="J12" s="3103">
        <f>IF(SUM(J13:J24)=0,"NO",SUM(J13:J24))</f>
        <v>3.1384906273444453</v>
      </c>
      <c r="K12" s="3103">
        <f>IF(SUM(K13:K24)=0,"NO",SUM(K13:K24))</f>
        <v>13.044530786664309</v>
      </c>
      <c r="L12" s="3103">
        <f>IF(SUM(L13:L24)=0,"NO",SUM(L13:L24))</f>
        <v>1.635737511694775E-14</v>
      </c>
      <c r="M12" s="3226" t="str">
        <f>IF(SUM(M13:M24)=0,"NO",SUM(M13:M24))</f>
        <v>NO</v>
      </c>
    </row>
    <row r="13" spans="1:13" ht="18" customHeight="1" x14ac:dyDescent="0.2">
      <c r="B13" s="2616" t="s">
        <v>559</v>
      </c>
      <c r="C13" s="2618" t="s">
        <v>559</v>
      </c>
      <c r="D13" s="3227">
        <v>1.5667415228282071E-2</v>
      </c>
      <c r="E13" s="3227">
        <v>1.473875561299867E-2</v>
      </c>
      <c r="F13" s="3227" t="s">
        <v>2146</v>
      </c>
      <c r="G13" s="3103">
        <f>IF(SUM(D13)=0,"NA",J13/D13)</f>
        <v>1.7500000000000005E-2</v>
      </c>
      <c r="H13" s="3103">
        <f>IF(SUM(E13)=0,"NA",K13/E13)</f>
        <v>7.731828467255214E-2</v>
      </c>
      <c r="I13" s="3103" t="str">
        <f>IF(SUM(F13)=0,"NA",(SUM(L13:M13))/F13)</f>
        <v>NA</v>
      </c>
      <c r="J13" s="3227">
        <v>2.7417976649493631E-4</v>
      </c>
      <c r="K13" s="3227">
        <v>1.139575302205007E-3</v>
      </c>
      <c r="L13" s="3227">
        <v>1.5178830414797062E-18</v>
      </c>
      <c r="M13" s="3497" t="s">
        <v>2146</v>
      </c>
    </row>
    <row r="14" spans="1:13" ht="18" customHeight="1" x14ac:dyDescent="0.2">
      <c r="B14" s="2616" t="s">
        <v>560</v>
      </c>
      <c r="C14" s="2618" t="s">
        <v>560</v>
      </c>
      <c r="D14" s="3227">
        <v>2.4487906739321397</v>
      </c>
      <c r="E14" s="3227">
        <v>2.3036427365073173</v>
      </c>
      <c r="F14" s="3227" t="s">
        <v>2146</v>
      </c>
      <c r="G14" s="3103">
        <f t="shared" ref="G14:G24" si="1">IF(SUM(D14)=0,"NA",J14/D14)</f>
        <v>1.7500000000000002E-2</v>
      </c>
      <c r="H14" s="3103">
        <f t="shared" ref="H14:H24" si="2">IF(SUM(E14)=0,"NA",K14/E14)</f>
        <v>7.731828467255214E-2</v>
      </c>
      <c r="I14" s="3103" t="str">
        <f t="shared" ref="I14:I78" si="3">IF(SUM(F14)=0,"NA",(SUM(L14:M14))/F14)</f>
        <v>NA</v>
      </c>
      <c r="J14" s="3227">
        <v>4.2853836793812453E-2</v>
      </c>
      <c r="K14" s="3227">
        <v>0.17811370488512979</v>
      </c>
      <c r="L14" s="3227">
        <v>2.4980018054066022E-16</v>
      </c>
      <c r="M14" s="3497" t="s">
        <v>2146</v>
      </c>
    </row>
    <row r="15" spans="1:13" ht="18" customHeight="1" x14ac:dyDescent="0.2">
      <c r="B15" s="2616" t="s">
        <v>562</v>
      </c>
      <c r="C15" s="2618" t="s">
        <v>562</v>
      </c>
      <c r="D15" s="3227">
        <v>3.6353685943795615E-2</v>
      </c>
      <c r="E15" s="3227">
        <v>3.4198882518291417E-2</v>
      </c>
      <c r="F15" s="3227" t="s">
        <v>2146</v>
      </c>
      <c r="G15" s="3103">
        <f t="shared" ref="G15" si="4">IF(SUM(D15)=0,"NA",J15/D15)</f>
        <v>1.7499999999999998E-2</v>
      </c>
      <c r="H15" s="3103">
        <f t="shared" ref="H15" si="5">IF(SUM(E15)=0,"NA",K15/E15)</f>
        <v>7.7318284672552154E-2</v>
      </c>
      <c r="I15" s="3103" t="str">
        <f t="shared" si="3"/>
        <v>NA</v>
      </c>
      <c r="J15" s="3227">
        <v>6.3618950401642322E-4</v>
      </c>
      <c r="K15" s="3227">
        <v>2.644198934032423E-3</v>
      </c>
      <c r="L15" s="3227">
        <v>3.4694469519536142E-18</v>
      </c>
      <c r="M15" s="3497" t="s">
        <v>2146</v>
      </c>
    </row>
    <row r="16" spans="1:13" ht="18" customHeight="1" x14ac:dyDescent="0.2">
      <c r="B16" s="2616" t="s">
        <v>563</v>
      </c>
      <c r="C16" s="2618" t="s">
        <v>563</v>
      </c>
      <c r="D16" s="3227">
        <v>44.318704538264889</v>
      </c>
      <c r="E16" s="3227">
        <v>41.691788068209945</v>
      </c>
      <c r="F16" s="3227" t="s">
        <v>2146</v>
      </c>
      <c r="G16" s="3103">
        <f t="shared" si="1"/>
        <v>1.7499999999999998E-2</v>
      </c>
      <c r="H16" s="3103">
        <f t="shared" si="2"/>
        <v>7.7318284672552154E-2</v>
      </c>
      <c r="I16" s="3103" t="str">
        <f t="shared" si="3"/>
        <v>NA</v>
      </c>
      <c r="J16" s="3227">
        <v>0.77557732941963553</v>
      </c>
      <c r="K16" s="3227">
        <v>3.2235375383655698</v>
      </c>
      <c r="L16" s="3227">
        <v>4.8849813083506888E-15</v>
      </c>
      <c r="M16" s="3497" t="s">
        <v>2146</v>
      </c>
    </row>
    <row r="17" spans="2:13" ht="18" customHeight="1" x14ac:dyDescent="0.2">
      <c r="B17" s="2616" t="s">
        <v>564</v>
      </c>
      <c r="C17" s="2618" t="s">
        <v>564</v>
      </c>
      <c r="D17" s="3227">
        <v>4.9619371795043631E-2</v>
      </c>
      <c r="E17" s="3227">
        <v>4.667826721267393E-2</v>
      </c>
      <c r="F17" s="3227" t="s">
        <v>2146</v>
      </c>
      <c r="G17" s="3103">
        <f t="shared" si="1"/>
        <v>1.7500000000000002E-2</v>
      </c>
      <c r="H17" s="3103">
        <f t="shared" si="2"/>
        <v>7.731828467255214E-2</v>
      </c>
      <c r="I17" s="3103" t="str">
        <f t="shared" si="3"/>
        <v>NA</v>
      </c>
      <c r="J17" s="3227">
        <v>8.6833900641326367E-4</v>
      </c>
      <c r="K17" s="3227">
        <v>3.60908355237098E-3</v>
      </c>
      <c r="L17" s="3227">
        <v>4.3368086899420177E-18</v>
      </c>
      <c r="M17" s="3497" t="s">
        <v>2146</v>
      </c>
    </row>
    <row r="18" spans="2:13" ht="18" customHeight="1" x14ac:dyDescent="0.2">
      <c r="B18" s="2616" t="s">
        <v>565</v>
      </c>
      <c r="C18" s="2618" t="s">
        <v>565</v>
      </c>
      <c r="D18" s="3227">
        <v>126.72588268283411</v>
      </c>
      <c r="E18" s="3227">
        <v>119.21441970416416</v>
      </c>
      <c r="F18" s="3227" t="s">
        <v>2146</v>
      </c>
      <c r="G18" s="3103">
        <f t="shared" si="1"/>
        <v>1.7500000000000002E-2</v>
      </c>
      <c r="H18" s="3103">
        <f t="shared" si="2"/>
        <v>7.7318284672552154E-2</v>
      </c>
      <c r="I18" s="3103" t="str">
        <f t="shared" si="3"/>
        <v>NA</v>
      </c>
      <c r="J18" s="3227">
        <v>2.217702946949597</v>
      </c>
      <c r="K18" s="3227">
        <v>9.2174544397596758</v>
      </c>
      <c r="L18" s="3227">
        <v>1.0658141036401503E-14</v>
      </c>
      <c r="M18" s="3497" t="s">
        <v>2146</v>
      </c>
    </row>
    <row r="19" spans="2:13" ht="18" customHeight="1" x14ac:dyDescent="0.2">
      <c r="B19" s="2616" t="s">
        <v>567</v>
      </c>
      <c r="C19" s="2618" t="s">
        <v>567</v>
      </c>
      <c r="D19" s="3227">
        <v>4.2420935864969591</v>
      </c>
      <c r="E19" s="3227">
        <v>3.99065064325249</v>
      </c>
      <c r="F19" s="3227" t="s">
        <v>2146</v>
      </c>
      <c r="G19" s="3103">
        <f t="shared" si="1"/>
        <v>1.7500000000000002E-2</v>
      </c>
      <c r="H19" s="3103">
        <f t="shared" si="2"/>
        <v>7.7318284672552168E-2</v>
      </c>
      <c r="I19" s="3103" t="str">
        <f t="shared" si="3"/>
        <v>NA</v>
      </c>
      <c r="J19" s="3227">
        <v>7.4236637763696794E-2</v>
      </c>
      <c r="K19" s="3227">
        <v>0.30855026246369943</v>
      </c>
      <c r="L19" s="3227">
        <v>3.8857805861880479E-16</v>
      </c>
      <c r="M19" s="3497" t="s">
        <v>2146</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v>1.5050484015084362</v>
      </c>
      <c r="E21" s="3227">
        <v>1.4158391957037222</v>
      </c>
      <c r="F21" s="3227" t="s">
        <v>2146</v>
      </c>
      <c r="G21" s="3103">
        <f t="shared" si="1"/>
        <v>1.7499999999999998E-2</v>
      </c>
      <c r="H21" s="3103">
        <f t="shared" si="2"/>
        <v>7.7318284672552154E-2</v>
      </c>
      <c r="I21" s="3103" t="str">
        <f t="shared" si="3"/>
        <v>NA</v>
      </c>
      <c r="J21" s="3227">
        <v>2.6338347026397632E-2</v>
      </c>
      <c r="K21" s="3227">
        <v>0.10947025798397768</v>
      </c>
      <c r="L21" s="3227">
        <v>1.6653345369377348E-16</v>
      </c>
      <c r="M21" s="3497" t="s">
        <v>2146</v>
      </c>
    </row>
    <row r="22" spans="2:13" ht="18" customHeight="1" x14ac:dyDescent="0.2">
      <c r="B22" s="2616" t="s">
        <v>574</v>
      </c>
      <c r="C22" s="2618" t="s">
        <v>574</v>
      </c>
      <c r="D22" s="3227">
        <v>1.6120653604627562E-4</v>
      </c>
      <c r="E22" s="3227">
        <v>5.3199226809697062E-2</v>
      </c>
      <c r="F22" s="3227" t="s">
        <v>2146</v>
      </c>
      <c r="G22" s="3103">
        <f t="shared" si="1"/>
        <v>1.7500000000000002E-2</v>
      </c>
      <c r="H22" s="3103">
        <f t="shared" si="2"/>
        <v>2.2040579068888344E-4</v>
      </c>
      <c r="I22" s="3103" t="str">
        <f t="shared" si="3"/>
        <v>NA</v>
      </c>
      <c r="J22" s="3227">
        <v>2.8211143808098237E-6</v>
      </c>
      <c r="K22" s="3227">
        <v>1.1725417649028528E-5</v>
      </c>
      <c r="L22" s="3227">
        <v>1.6940658945086007E-20</v>
      </c>
      <c r="M22" s="3497" t="s">
        <v>2146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f>IF(SUM(J26:J37)=0,"NO",SUM(J26:J37))</f>
        <v>0.18507768609554978</v>
      </c>
      <c r="K25" s="3103">
        <f>IF(SUM(K26:K37)=0,"NO",SUM(K26:K37))</f>
        <v>1.4020527758832504</v>
      </c>
      <c r="L25" s="3103">
        <f>IF(SUM(L26:L37)=0,"NO",SUM(L26:L37))</f>
        <v>1.6653345369377348E-16</v>
      </c>
      <c r="M25" s="3226" t="str">
        <f>IF(SUM(M26:M37)=0,"NO",SUM(M26:M37))</f>
        <v>NO</v>
      </c>
    </row>
    <row r="26" spans="2:13" ht="18" customHeight="1" x14ac:dyDescent="0.2">
      <c r="B26" s="2616" t="s">
        <v>559</v>
      </c>
      <c r="C26" s="2618" t="s">
        <v>559</v>
      </c>
      <c r="D26" s="3227">
        <v>2.6947431521691461E-3</v>
      </c>
      <c r="E26" s="3227">
        <v>9.4749657361450756E-3</v>
      </c>
      <c r="F26" s="3227" t="s">
        <v>2146</v>
      </c>
      <c r="G26" s="3103">
        <f>IF(SUM(D26)=0,"NA",J26/D26)</f>
        <v>6.0000000000000001E-3</v>
      </c>
      <c r="H26" s="3103">
        <f>IF(SUM(E26)=0,"NA",K26/E26)</f>
        <v>1.2927105098202081E-2</v>
      </c>
      <c r="I26" s="3103" t="str">
        <f t="shared" si="3"/>
        <v>NA</v>
      </c>
      <c r="J26" s="3227">
        <v>1.6168458913014877E-5</v>
      </c>
      <c r="K26" s="3227">
        <v>1.2248387787301105E-4</v>
      </c>
      <c r="L26" s="3227" t="s">
        <v>2146</v>
      </c>
      <c r="M26" s="3497" t="s">
        <v>2146</v>
      </c>
    </row>
    <row r="27" spans="2:13" ht="18" customHeight="1" x14ac:dyDescent="0.2">
      <c r="B27" s="2616" t="s">
        <v>560</v>
      </c>
      <c r="C27" s="2618" t="s">
        <v>560</v>
      </c>
      <c r="D27" s="3227">
        <v>0.42118382665714704</v>
      </c>
      <c r="E27" s="3227">
        <v>1.4809212235988432</v>
      </c>
      <c r="F27" s="3227" t="s">
        <v>2146</v>
      </c>
      <c r="G27" s="3103">
        <f t="shared" ref="G27:G37" si="6">IF(SUM(D27)=0,"NA",J27/D27)</f>
        <v>6.0000000000000001E-3</v>
      </c>
      <c r="H27" s="3103">
        <f t="shared" ref="H27:H37" si="7">IF(SUM(E27)=0,"NA",K27/E27)</f>
        <v>1.2927105098202081E-2</v>
      </c>
      <c r="I27" s="3103" t="str">
        <f t="shared" si="3"/>
        <v>NA</v>
      </c>
      <c r="J27" s="3227">
        <v>2.5271029599428824E-3</v>
      </c>
      <c r="K27" s="3227">
        <v>1.9144024299620269E-2</v>
      </c>
      <c r="L27" s="3227" t="s">
        <v>2146</v>
      </c>
      <c r="M27" s="3497" t="s">
        <v>2146</v>
      </c>
    </row>
    <row r="28" spans="2:13" ht="18" customHeight="1" x14ac:dyDescent="0.2">
      <c r="B28" s="2616" t="s">
        <v>562</v>
      </c>
      <c r="C28" s="2618" t="s">
        <v>562</v>
      </c>
      <c r="D28" s="3227">
        <v>6.2527127050485834E-3</v>
      </c>
      <c r="E28" s="3227">
        <v>2.1985115201278237E-2</v>
      </c>
      <c r="F28" s="3227" t="s">
        <v>2146</v>
      </c>
      <c r="G28" s="3103">
        <f t="shared" si="6"/>
        <v>6.000000000000001E-3</v>
      </c>
      <c r="H28" s="3103">
        <f t="shared" si="7"/>
        <v>1.2927105098202081E-2</v>
      </c>
      <c r="I28" s="3103" t="str">
        <f t="shared" si="3"/>
        <v>NA</v>
      </c>
      <c r="J28" s="3227">
        <v>3.7516276230291507E-5</v>
      </c>
      <c r="K28" s="3227">
        <v>2.8420389480300395E-4</v>
      </c>
      <c r="L28" s="3227" t="s">
        <v>2146</v>
      </c>
      <c r="M28" s="3497" t="s">
        <v>2146</v>
      </c>
    </row>
    <row r="29" spans="2:13" ht="18" customHeight="1" x14ac:dyDescent="0.2">
      <c r="B29" s="2616" t="s">
        <v>563</v>
      </c>
      <c r="C29" s="2618" t="s">
        <v>563</v>
      </c>
      <c r="D29" s="3227">
        <v>7.6226693316911698</v>
      </c>
      <c r="E29" s="3227">
        <v>26.80200919245318</v>
      </c>
      <c r="F29" s="3227" t="s">
        <v>2146</v>
      </c>
      <c r="G29" s="3103">
        <f t="shared" si="6"/>
        <v>6.0000000000000001E-3</v>
      </c>
      <c r="H29" s="3103">
        <f t="shared" si="7"/>
        <v>1.2927105098202081E-2</v>
      </c>
      <c r="I29" s="3103" t="str">
        <f t="shared" si="3"/>
        <v>NA</v>
      </c>
      <c r="J29" s="3227">
        <v>4.5736015990147018E-2</v>
      </c>
      <c r="K29" s="3227">
        <v>0.34647238967382055</v>
      </c>
      <c r="L29" s="3227">
        <v>-5.5511151231257827E-17</v>
      </c>
      <c r="M29" s="3497" t="s">
        <v>2146</v>
      </c>
    </row>
    <row r="30" spans="2:13" ht="18" customHeight="1" x14ac:dyDescent="0.2">
      <c r="B30" s="2616" t="s">
        <v>564</v>
      </c>
      <c r="C30" s="2618" t="s">
        <v>564</v>
      </c>
      <c r="D30" s="3227">
        <v>8.5343664166287695E-3</v>
      </c>
      <c r="E30" s="3227">
        <v>3.0007620322617359E-2</v>
      </c>
      <c r="F30" s="3227" t="s">
        <v>2146</v>
      </c>
      <c r="G30" s="3103">
        <f t="shared" si="6"/>
        <v>6.000000000000001E-3</v>
      </c>
      <c r="H30" s="3103">
        <f t="shared" si="7"/>
        <v>1.292710509820208E-2</v>
      </c>
      <c r="I30" s="3103" t="str">
        <f t="shared" si="3"/>
        <v>NA</v>
      </c>
      <c r="J30" s="3227">
        <v>5.1206198499772626E-5</v>
      </c>
      <c r="K30" s="3227">
        <v>3.8791166165741918E-4</v>
      </c>
      <c r="L30" s="3227" t="s">
        <v>2146</v>
      </c>
      <c r="M30" s="3497" t="s">
        <v>2146</v>
      </c>
    </row>
    <row r="31" spans="2:13" ht="18" customHeight="1" x14ac:dyDescent="0.2">
      <c r="B31" s="2616" t="s">
        <v>565</v>
      </c>
      <c r="C31" s="2618" t="s">
        <v>565</v>
      </c>
      <c r="D31" s="3227">
        <v>21.796429059064547</v>
      </c>
      <c r="E31" s="3227">
        <v>76.638257096493163</v>
      </c>
      <c r="F31" s="3227" t="s">
        <v>2146</v>
      </c>
      <c r="G31" s="3103">
        <f t="shared" si="6"/>
        <v>6.000000000000001E-3</v>
      </c>
      <c r="H31" s="3103">
        <f t="shared" si="7"/>
        <v>1.2927105098202081E-2</v>
      </c>
      <c r="I31" s="3103" t="str">
        <f t="shared" si="3"/>
        <v>NA</v>
      </c>
      <c r="J31" s="3227">
        <v>0.13077857435438731</v>
      </c>
      <c r="K31" s="3227">
        <v>0.9907108040293986</v>
      </c>
      <c r="L31" s="3227">
        <v>2.2204460492503131E-16</v>
      </c>
      <c r="M31" s="3497" t="s">
        <v>2146</v>
      </c>
    </row>
    <row r="32" spans="2:13" ht="18" customHeight="1" x14ac:dyDescent="0.2">
      <c r="B32" s="2616" t="s">
        <v>567</v>
      </c>
      <c r="C32" s="2618" t="s">
        <v>567</v>
      </c>
      <c r="D32" s="3227">
        <v>2.3548690085940429E-3</v>
      </c>
      <c r="E32" s="3227">
        <v>2.5654321913306877</v>
      </c>
      <c r="F32" s="3227" t="s">
        <v>2146</v>
      </c>
      <c r="G32" s="3103">
        <f t="shared" si="6"/>
        <v>1.8590230091658406</v>
      </c>
      <c r="H32" s="3103">
        <f t="shared" si="7"/>
        <v>1.2927105098202083E-2</v>
      </c>
      <c r="I32" s="3103" t="str">
        <f t="shared" si="3"/>
        <v>NA</v>
      </c>
      <c r="J32" s="3227">
        <v>4.3777556705478773E-3</v>
      </c>
      <c r="K32" s="3227">
        <v>3.3163611559642675E-2</v>
      </c>
      <c r="L32" s="3227" t="s">
        <v>2146</v>
      </c>
      <c r="M32" s="3497" t="s">
        <v>2146</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v>0.25886330416052211</v>
      </c>
      <c r="E34" s="3227">
        <v>0.91018727899611462</v>
      </c>
      <c r="F34" s="3227" t="s">
        <v>2146</v>
      </c>
      <c r="G34" s="3103">
        <f t="shared" si="6"/>
        <v>6.0000000000000001E-3</v>
      </c>
      <c r="H34" s="3103">
        <f t="shared" si="7"/>
        <v>1.2927105098202081E-2</v>
      </c>
      <c r="I34" s="3103" t="str">
        <f t="shared" si="3"/>
        <v>NA</v>
      </c>
      <c r="J34" s="3227">
        <v>1.5531798249631328E-3</v>
      </c>
      <c r="K34" s="3227">
        <v>1.1766086614629353E-2</v>
      </c>
      <c r="L34" s="3227" t="s">
        <v>2146</v>
      </c>
      <c r="M34" s="3497" t="s">
        <v>2146</v>
      </c>
    </row>
    <row r="35" spans="2:13" ht="18" customHeight="1" x14ac:dyDescent="0.2">
      <c r="B35" s="2616" t="s">
        <v>574</v>
      </c>
      <c r="C35" s="2618" t="s">
        <v>574</v>
      </c>
      <c r="D35" s="3227">
        <v>2.7726986408800424E-5</v>
      </c>
      <c r="E35" s="3227">
        <v>9.7490644322993387E-5</v>
      </c>
      <c r="F35" s="3227" t="s">
        <v>2146</v>
      </c>
      <c r="G35" s="3103">
        <f t="shared" si="6"/>
        <v>6.000000000000001E-3</v>
      </c>
      <c r="H35" s="3103">
        <f t="shared" si="7"/>
        <v>1.292710509820208E-2</v>
      </c>
      <c r="I35" s="3103" t="str">
        <f t="shared" si="3"/>
        <v>NA</v>
      </c>
      <c r="J35" s="3227">
        <v>1.6636191845280257E-7</v>
      </c>
      <c r="K35" s="3227">
        <v>1.2602718052547735E-6</v>
      </c>
      <c r="L35" s="3227" t="s">
        <v>2146</v>
      </c>
      <c r="M35" s="3497" t="s">
        <v>2146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NO</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NO</v>
      </c>
    </row>
    <row r="40" spans="2:13" ht="18" customHeight="1" x14ac:dyDescent="0.2">
      <c r="B40" s="2616" t="s">
        <v>560</v>
      </c>
      <c r="C40" s="2618" t="s">
        <v>560</v>
      </c>
      <c r="D40" s="3227" t="str">
        <f t="shared" ref="D40:F50" si="11">IF(D14="NO","NO","IE")</f>
        <v>IE</v>
      </c>
      <c r="E40" s="3227" t="str">
        <f t="shared" si="11"/>
        <v>IE</v>
      </c>
      <c r="F40" s="3227" t="str">
        <f t="shared" si="11"/>
        <v>NO</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NO</v>
      </c>
    </row>
    <row r="41" spans="2:13" ht="18" customHeight="1" x14ac:dyDescent="0.2">
      <c r="B41" s="2616" t="s">
        <v>562</v>
      </c>
      <c r="C41" s="2618" t="s">
        <v>562</v>
      </c>
      <c r="D41" s="3227" t="str">
        <f t="shared" si="11"/>
        <v>IE</v>
      </c>
      <c r="E41" s="3227" t="str">
        <f t="shared" si="11"/>
        <v>IE</v>
      </c>
      <c r="F41" s="3227" t="str">
        <f t="shared" si="11"/>
        <v>NO</v>
      </c>
      <c r="G41" s="3103" t="str">
        <f t="shared" si="12"/>
        <v>NA</v>
      </c>
      <c r="H41" s="3103" t="str">
        <f t="shared" si="13"/>
        <v>NA</v>
      </c>
      <c r="I41" s="3103" t="str">
        <f t="shared" si="3"/>
        <v>NA</v>
      </c>
      <c r="J41" s="3227" t="str">
        <f t="shared" ref="J41:L41" si="16">IF(J15="NO","NO","IE")</f>
        <v>IE</v>
      </c>
      <c r="K41" s="3227" t="str">
        <f t="shared" si="16"/>
        <v>IE</v>
      </c>
      <c r="L41" s="3227" t="str">
        <f t="shared" si="16"/>
        <v>IE</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NO</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NO</v>
      </c>
    </row>
    <row r="43" spans="2:13" ht="18" customHeight="1" x14ac:dyDescent="0.2">
      <c r="B43" s="2616" t="s">
        <v>564</v>
      </c>
      <c r="C43" s="2618" t="s">
        <v>564</v>
      </c>
      <c r="D43" s="3227" t="str">
        <f t="shared" si="11"/>
        <v>IE</v>
      </c>
      <c r="E43" s="3227" t="str">
        <f t="shared" si="11"/>
        <v>IE</v>
      </c>
      <c r="F43" s="3227" t="str">
        <f t="shared" si="11"/>
        <v>NO</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NO</v>
      </c>
    </row>
    <row r="44" spans="2:13" ht="18" customHeight="1" x14ac:dyDescent="0.2">
      <c r="B44" s="2616" t="s">
        <v>565</v>
      </c>
      <c r="C44" s="2618" t="s">
        <v>565</v>
      </c>
      <c r="D44" s="3227" t="str">
        <f t="shared" si="11"/>
        <v>IE</v>
      </c>
      <c r="E44" s="3227" t="str">
        <f t="shared" si="11"/>
        <v>IE</v>
      </c>
      <c r="F44" s="3227" t="str">
        <f t="shared" si="11"/>
        <v>NO</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NO</v>
      </c>
    </row>
    <row r="45" spans="2:13" ht="18" customHeight="1" x14ac:dyDescent="0.2">
      <c r="B45" s="2616" t="s">
        <v>567</v>
      </c>
      <c r="C45" s="2618" t="s">
        <v>567</v>
      </c>
      <c r="D45" s="3227" t="str">
        <f t="shared" si="11"/>
        <v>IE</v>
      </c>
      <c r="E45" s="3227" t="str">
        <f t="shared" si="11"/>
        <v>IE</v>
      </c>
      <c r="F45" s="3227" t="str">
        <f t="shared" si="11"/>
        <v>NO</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NO</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IE</v>
      </c>
      <c r="E47" s="3227" t="str">
        <f t="shared" si="11"/>
        <v>IE</v>
      </c>
      <c r="F47" s="3227" t="str">
        <f t="shared" si="11"/>
        <v>NO</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NO</v>
      </c>
    </row>
    <row r="48" spans="2:13" ht="18" customHeight="1" x14ac:dyDescent="0.2">
      <c r="B48" s="2616" t="s">
        <v>574</v>
      </c>
      <c r="C48" s="2618" t="s">
        <v>574</v>
      </c>
      <c r="D48" s="3227" t="str">
        <f t="shared" si="11"/>
        <v>IE</v>
      </c>
      <c r="E48" s="3227" t="str">
        <f t="shared" si="11"/>
        <v>IE</v>
      </c>
      <c r="F48" s="3227" t="str">
        <f t="shared" si="11"/>
        <v>NO</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NO</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f>IF(SUM(J52:J63)=0,"NO",SUM(J52:J63))</f>
        <v>0.75673719137568807</v>
      </c>
      <c r="K51" s="3103">
        <f>IF(SUM(K52:K63)=0,"NO",SUM(K52:K63))</f>
        <v>1.5218082506682604</v>
      </c>
      <c r="L51" s="3103">
        <f>IF(SUM(L52:L63)=0,"NO",SUM(L52:L63))</f>
        <v>2.0967673804899237E-15</v>
      </c>
      <c r="M51" s="3226" t="str">
        <f>IF(SUM(M52:M63)=0,"NO",SUM(M52:M63))</f>
        <v>NO</v>
      </c>
    </row>
    <row r="52" spans="2:13" ht="18" customHeight="1" x14ac:dyDescent="0.2">
      <c r="B52" s="2616" t="s">
        <v>559</v>
      </c>
      <c r="C52" s="2618" t="s">
        <v>559</v>
      </c>
      <c r="D52" s="3227">
        <v>1.2962520877336865E-3</v>
      </c>
      <c r="E52" s="3227">
        <v>1.1304030096585145E-3</v>
      </c>
      <c r="F52" s="3227" t="s">
        <v>2146</v>
      </c>
      <c r="G52" s="3103">
        <f>IF(SUM(D52)=0,"NA",J52/D52)</f>
        <v>5.0999999999999997E-2</v>
      </c>
      <c r="H52" s="3103">
        <f>IF(SUM(E52)=0,"NA",K52/E52)</f>
        <v>0.11760917280627287</v>
      </c>
      <c r="I52" s="3103" t="str">
        <f t="shared" si="3"/>
        <v>NA</v>
      </c>
      <c r="J52" s="3227">
        <v>6.610885647441801E-5</v>
      </c>
      <c r="K52" s="3227">
        <v>1.3294576290365917E-4</v>
      </c>
      <c r="L52" s="3227">
        <v>1.8973538018496328E-19</v>
      </c>
      <c r="M52" s="3497" t="s">
        <v>2146</v>
      </c>
    </row>
    <row r="53" spans="2:13" ht="18" customHeight="1" x14ac:dyDescent="0.2">
      <c r="B53" s="2616" t="s">
        <v>560</v>
      </c>
      <c r="C53" s="2618" t="s">
        <v>560</v>
      </c>
      <c r="D53" s="3227">
        <v>0.20260202319635423</v>
      </c>
      <c r="E53" s="3227">
        <v>0.17668009097248624</v>
      </c>
      <c r="F53" s="3227" t="s">
        <v>2146</v>
      </c>
      <c r="G53" s="3103">
        <f t="shared" ref="G53:G63" si="36">IF(SUM(D53)=0,"NA",J53/D53)</f>
        <v>5.1000000000000004E-2</v>
      </c>
      <c r="H53" s="3103">
        <f t="shared" ref="H53:H63" si="37">IF(SUM(E53)=0,"NA",K53/E53)</f>
        <v>0.11760917280627289</v>
      </c>
      <c r="I53" s="3103" t="str">
        <f t="shared" si="3"/>
        <v>NA</v>
      </c>
      <c r="J53" s="3227">
        <v>1.0332703183014066E-2</v>
      </c>
      <c r="K53" s="3227">
        <v>2.0779199350611149E-2</v>
      </c>
      <c r="L53" s="3227">
        <v>2.4286128663675299E-17</v>
      </c>
      <c r="M53" s="3497" t="s">
        <v>2146</v>
      </c>
    </row>
    <row r="54" spans="2:13" ht="18" customHeight="1" x14ac:dyDescent="0.2">
      <c r="B54" s="2616" t="s">
        <v>562</v>
      </c>
      <c r="C54" s="2618" t="s">
        <v>562</v>
      </c>
      <c r="D54" s="3227">
        <v>3.0077419034886281E-3</v>
      </c>
      <c r="E54" s="3227">
        <v>2.6229161226840715E-3</v>
      </c>
      <c r="F54" s="3227" t="s">
        <v>2146</v>
      </c>
      <c r="G54" s="3103">
        <f t="shared" si="36"/>
        <v>5.1000000000000011E-2</v>
      </c>
      <c r="H54" s="3103">
        <f t="shared" si="37"/>
        <v>0.11760917280627291</v>
      </c>
      <c r="I54" s="3103" t="str">
        <f t="shared" si="3"/>
        <v>NA</v>
      </c>
      <c r="J54" s="3227">
        <v>1.5339483707792006E-4</v>
      </c>
      <c r="K54" s="3227">
        <v>3.0847899552911026E-4</v>
      </c>
      <c r="L54" s="3227">
        <v>3.7947076036992655E-19</v>
      </c>
      <c r="M54" s="3497" t="s">
        <v>2146</v>
      </c>
    </row>
    <row r="55" spans="2:13" ht="18" customHeight="1" x14ac:dyDescent="0.2">
      <c r="B55" s="2616" t="s">
        <v>563</v>
      </c>
      <c r="C55" s="2618" t="s">
        <v>563</v>
      </c>
      <c r="D55" s="3227">
        <v>3.6667320324590298</v>
      </c>
      <c r="E55" s="3227">
        <v>3.1975917063707211</v>
      </c>
      <c r="F55" s="3227" t="s">
        <v>2146</v>
      </c>
      <c r="G55" s="3103">
        <f t="shared" si="36"/>
        <v>5.1000000000000004E-2</v>
      </c>
      <c r="H55" s="3103">
        <f t="shared" si="37"/>
        <v>0.11760917280627289</v>
      </c>
      <c r="I55" s="3103" t="str">
        <f t="shared" si="3"/>
        <v>NA</v>
      </c>
      <c r="J55" s="3227">
        <v>0.18700333365541053</v>
      </c>
      <c r="K55" s="3227">
        <v>0.37606611555845915</v>
      </c>
      <c r="L55" s="3227">
        <v>4.4408920985006262E-16</v>
      </c>
      <c r="M55" s="3497" t="s">
        <v>2146</v>
      </c>
    </row>
    <row r="56" spans="2:13" ht="18" customHeight="1" x14ac:dyDescent="0.2">
      <c r="B56" s="2616" t="s">
        <v>564</v>
      </c>
      <c r="C56" s="2618" t="s">
        <v>564</v>
      </c>
      <c r="D56" s="3227">
        <v>4.1052856099232839E-3</v>
      </c>
      <c r="E56" s="3227">
        <v>3.5800345109403453E-3</v>
      </c>
      <c r="F56" s="3227" t="s">
        <v>2146</v>
      </c>
      <c r="G56" s="3103">
        <f t="shared" si="36"/>
        <v>5.0999999999999997E-2</v>
      </c>
      <c r="H56" s="3103">
        <f t="shared" si="37"/>
        <v>0.11760917280627288</v>
      </c>
      <c r="I56" s="3103" t="str">
        <f t="shared" si="3"/>
        <v>NA</v>
      </c>
      <c r="J56" s="3227">
        <v>2.0936956610608746E-4</v>
      </c>
      <c r="K56" s="3227">
        <v>4.210448974496037E-4</v>
      </c>
      <c r="L56" s="3227">
        <v>6.5052130349130266E-19</v>
      </c>
      <c r="M56" s="3497" t="s">
        <v>2146</v>
      </c>
    </row>
    <row r="57" spans="2:13" ht="18" customHeight="1" x14ac:dyDescent="0.2">
      <c r="B57" s="2616" t="s">
        <v>565</v>
      </c>
      <c r="C57" s="2618" t="s">
        <v>565</v>
      </c>
      <c r="D57" s="3227">
        <v>10.48473456559624</v>
      </c>
      <c r="E57" s="3227">
        <v>9.143264354653537</v>
      </c>
      <c r="F57" s="3227" t="s">
        <v>2146</v>
      </c>
      <c r="G57" s="3103">
        <f t="shared" si="36"/>
        <v>5.1000000000000004E-2</v>
      </c>
      <c r="H57" s="3103">
        <f t="shared" si="37"/>
        <v>0.11760917280627289</v>
      </c>
      <c r="I57" s="3103" t="str">
        <f t="shared" si="3"/>
        <v>NA</v>
      </c>
      <c r="J57" s="3227">
        <v>0.53472146284540822</v>
      </c>
      <c r="K57" s="3227">
        <v>1.0753317574998831</v>
      </c>
      <c r="L57" s="3227">
        <v>1.5543122344752192E-15</v>
      </c>
      <c r="M57" s="3497" t="s">
        <v>2146</v>
      </c>
    </row>
    <row r="58" spans="2:13" ht="18" customHeight="1" x14ac:dyDescent="0.2">
      <c r="B58" s="2616" t="s">
        <v>567</v>
      </c>
      <c r="C58" s="2618" t="s">
        <v>567</v>
      </c>
      <c r="D58" s="3227">
        <v>0.35097191130366878</v>
      </c>
      <c r="E58" s="3227">
        <v>0.30606678176072344</v>
      </c>
      <c r="F58" s="3227" t="s">
        <v>2146</v>
      </c>
      <c r="G58" s="3103">
        <f t="shared" si="36"/>
        <v>5.1000000000000004E-2</v>
      </c>
      <c r="H58" s="3103">
        <f t="shared" si="37"/>
        <v>0.11760917280627291</v>
      </c>
      <c r="I58" s="3103" t="str">
        <f t="shared" si="3"/>
        <v>NA</v>
      </c>
      <c r="J58" s="3227">
        <v>1.7899567476487108E-2</v>
      </c>
      <c r="K58" s="3227">
        <v>3.5996261026356738E-2</v>
      </c>
      <c r="L58" s="3227">
        <v>5.5511151231257827E-17</v>
      </c>
      <c r="M58" s="3497" t="s">
        <v>2146</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v>0.12452099495479294</v>
      </c>
      <c r="E60" s="3227">
        <v>0.10858914619660723</v>
      </c>
      <c r="F60" s="3227" t="s">
        <v>2146</v>
      </c>
      <c r="G60" s="3103">
        <f t="shared" si="36"/>
        <v>5.1000000000000004E-2</v>
      </c>
      <c r="H60" s="3103">
        <f t="shared" si="37"/>
        <v>0.11760917280627288</v>
      </c>
      <c r="I60" s="3103" t="str">
        <f t="shared" si="3"/>
        <v>NA</v>
      </c>
      <c r="J60" s="3227">
        <v>6.3505707426944405E-3</v>
      </c>
      <c r="K60" s="3227">
        <v>1.277107965992241E-2</v>
      </c>
      <c r="L60" s="3227">
        <v>1.7347234759768071E-17</v>
      </c>
      <c r="M60" s="3497" t="s">
        <v>2146</v>
      </c>
    </row>
    <row r="61" spans="2:13" ht="18" customHeight="1" x14ac:dyDescent="0.2">
      <c r="B61" s="2616" t="s">
        <v>574</v>
      </c>
      <c r="C61" s="2618" t="s">
        <v>574</v>
      </c>
      <c r="D61" s="3227">
        <v>1.3337510103714373E-5</v>
      </c>
      <c r="E61" s="3227">
        <v>1.1631041296102488E-5</v>
      </c>
      <c r="F61" s="3227" t="s">
        <v>2146</v>
      </c>
      <c r="G61" s="3103">
        <f t="shared" si="36"/>
        <v>5.1000000000000011E-2</v>
      </c>
      <c r="H61" s="3103">
        <f t="shared" si="37"/>
        <v>0.11760917280627288</v>
      </c>
      <c r="I61" s="3103" t="str">
        <f t="shared" si="3"/>
        <v>NA</v>
      </c>
      <c r="J61" s="3227">
        <v>6.8021301528943312E-7</v>
      </c>
      <c r="K61" s="3227">
        <v>1.3679171457102135E-6</v>
      </c>
      <c r="L61" s="3227">
        <v>1.6940658945086007E-21</v>
      </c>
      <c r="M61" s="3497" t="s">
        <v>2146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f>IF(SUM(J65:J76)=0,"NO",SUM(J65:J76))</f>
        <v>1.0103341534956662</v>
      </c>
      <c r="K64" s="3103">
        <f>IF(SUM(K65:K76)=0,"NO",SUM(K65:K76))</f>
        <v>15.639050704733604</v>
      </c>
      <c r="L64" s="3103">
        <f>IF(SUM(L65:L76)=0,"NO",SUM(L65:L76))</f>
        <v>-5.6107564070078525E-15</v>
      </c>
      <c r="M64" s="3226" t="str">
        <f>IF(SUM(M65:M76)=0,"NO",SUM(M65:M76))</f>
        <v>NO</v>
      </c>
    </row>
    <row r="65" spans="2:13" ht="18" customHeight="1" x14ac:dyDescent="0.2">
      <c r="B65" s="2616" t="s">
        <v>559</v>
      </c>
      <c r="C65" s="2618" t="s">
        <v>559</v>
      </c>
      <c r="D65" s="3227">
        <v>2.5218053168960818E-2</v>
      </c>
      <c r="E65" s="3227">
        <v>2.5792149111784582E-2</v>
      </c>
      <c r="F65" s="3227" t="s">
        <v>2146</v>
      </c>
      <c r="G65" s="3103">
        <f>IF(SUM(D65)=0,"NA",J65/D65)</f>
        <v>3.5000000000000001E-3</v>
      </c>
      <c r="H65" s="3103">
        <f>IF(SUM(E65)=0,"NA",K65/E65)</f>
        <v>5.2970908676361846E-2</v>
      </c>
      <c r="I65" s="3103" t="str">
        <f t="shared" si="3"/>
        <v>NA</v>
      </c>
      <c r="J65" s="3227">
        <v>8.8263186091362865E-5</v>
      </c>
      <c r="K65" s="3227">
        <v>1.3662335751674483E-3</v>
      </c>
      <c r="L65" s="3227">
        <v>-6.5052130349130266E-19</v>
      </c>
      <c r="M65" s="3497" t="s">
        <v>2146</v>
      </c>
    </row>
    <row r="66" spans="2:13" ht="18" customHeight="1" x14ac:dyDescent="0.2">
      <c r="B66" s="2616" t="s">
        <v>560</v>
      </c>
      <c r="C66" s="2618" t="s">
        <v>560</v>
      </c>
      <c r="D66" s="3227">
        <v>3.9415393359461866</v>
      </c>
      <c r="E66" s="3227">
        <v>4.0312695671454826</v>
      </c>
      <c r="F66" s="3227" t="s">
        <v>2146</v>
      </c>
      <c r="G66" s="3103">
        <f t="shared" ref="G66:G76" si="38">IF(SUM(D66)=0,"NA",J66/D66)</f>
        <v>3.5000000000000005E-3</v>
      </c>
      <c r="H66" s="3103">
        <f t="shared" ref="H66:H76" si="39">IF(SUM(E66)=0,"NA",K66/E66)</f>
        <v>5.2970908676361839E-2</v>
      </c>
      <c r="I66" s="3103" t="str">
        <f t="shared" si="3"/>
        <v>NA</v>
      </c>
      <c r="J66" s="3227">
        <v>1.3795387675811654E-2</v>
      </c>
      <c r="K66" s="3227">
        <v>0.21354001209106008</v>
      </c>
      <c r="L66" s="3227">
        <v>-1.1102230246251565E-16</v>
      </c>
      <c r="M66" s="3497" t="s">
        <v>2146</v>
      </c>
    </row>
    <row r="67" spans="2:13" ht="18" customHeight="1" x14ac:dyDescent="0.2">
      <c r="B67" s="2616" t="s">
        <v>562</v>
      </c>
      <c r="C67" s="2618" t="s">
        <v>562</v>
      </c>
      <c r="D67" s="3227">
        <v>5.8514386174142702E-2</v>
      </c>
      <c r="E67" s="3227">
        <v>5.9846482330587703E-2</v>
      </c>
      <c r="F67" s="3227" t="s">
        <v>2146</v>
      </c>
      <c r="G67" s="3103">
        <f t="shared" si="38"/>
        <v>3.5000000000000001E-3</v>
      </c>
      <c r="H67" s="3103">
        <f t="shared" si="39"/>
        <v>5.2970908676361846E-2</v>
      </c>
      <c r="I67" s="3103" t="str">
        <f t="shared" si="3"/>
        <v>NA</v>
      </c>
      <c r="J67" s="3227">
        <v>2.0480035160949945E-4</v>
      </c>
      <c r="K67" s="3227">
        <v>3.1701225501350638E-3</v>
      </c>
      <c r="L67" s="3227">
        <v>-1.7347234759768071E-18</v>
      </c>
      <c r="M67" s="3497" t="s">
        <v>2146</v>
      </c>
    </row>
    <row r="68" spans="2:13" ht="18" customHeight="1" x14ac:dyDescent="0.2">
      <c r="B68" s="2616" t="s">
        <v>563</v>
      </c>
      <c r="C68" s="2618" t="s">
        <v>563</v>
      </c>
      <c r="D68" s="3227">
        <v>71.334769082262781</v>
      </c>
      <c r="E68" s="3227">
        <v>72.958724795180515</v>
      </c>
      <c r="F68" s="3227" t="s">
        <v>2146</v>
      </c>
      <c r="G68" s="3103">
        <f t="shared" si="38"/>
        <v>3.5000000000000001E-3</v>
      </c>
      <c r="H68" s="3103">
        <f t="shared" si="39"/>
        <v>5.2970908676361839E-2</v>
      </c>
      <c r="I68" s="3103" t="str">
        <f t="shared" si="3"/>
        <v>NA</v>
      </c>
      <c r="J68" s="3227">
        <v>0.24967169178791973</v>
      </c>
      <c r="K68" s="3227">
        <v>3.8646899482693233</v>
      </c>
      <c r="L68" s="3227">
        <v>-1.7763568394002505E-15</v>
      </c>
      <c r="M68" s="3497" t="s">
        <v>2146</v>
      </c>
    </row>
    <row r="69" spans="2:13" ht="18" customHeight="1" x14ac:dyDescent="0.2">
      <c r="B69" s="2616" t="s">
        <v>564</v>
      </c>
      <c r="C69" s="2618" t="s">
        <v>564</v>
      </c>
      <c r="D69" s="3227">
        <v>7.9866649214673943E-2</v>
      </c>
      <c r="E69" s="3227">
        <v>8.1684835534366063E-2</v>
      </c>
      <c r="F69" s="3227" t="s">
        <v>2146</v>
      </c>
      <c r="G69" s="3103">
        <f t="shared" si="38"/>
        <v>3.5000000000000001E-3</v>
      </c>
      <c r="H69" s="3103">
        <f t="shared" si="39"/>
        <v>5.2970908676361846E-2</v>
      </c>
      <c r="I69" s="3103" t="str">
        <f t="shared" si="3"/>
        <v>NA</v>
      </c>
      <c r="J69" s="3227">
        <v>2.7953327225135882E-4</v>
      </c>
      <c r="K69" s="3227">
        <v>4.3269199633345417E-3</v>
      </c>
      <c r="L69" s="3227">
        <v>-1.7347234759768071E-18</v>
      </c>
      <c r="M69" s="3497" t="s">
        <v>2146</v>
      </c>
    </row>
    <row r="70" spans="2:13" ht="18" customHeight="1" x14ac:dyDescent="0.2">
      <c r="B70" s="2616" t="s">
        <v>565</v>
      </c>
      <c r="C70" s="2618" t="s">
        <v>565</v>
      </c>
      <c r="D70" s="3227">
        <v>203.97621437965918</v>
      </c>
      <c r="E70" s="3227">
        <v>208.61978921564398</v>
      </c>
      <c r="F70" s="3227" t="s">
        <v>2146</v>
      </c>
      <c r="G70" s="3103">
        <f t="shared" si="38"/>
        <v>3.5000000000000001E-3</v>
      </c>
      <c r="H70" s="3103">
        <f t="shared" si="39"/>
        <v>5.2970908676361846E-2</v>
      </c>
      <c r="I70" s="3103" t="str">
        <f t="shared" si="3"/>
        <v>NA</v>
      </c>
      <c r="J70" s="3227">
        <v>0.71391675032880719</v>
      </c>
      <c r="K70" s="3227">
        <v>11.050779802623735</v>
      </c>
      <c r="L70" s="3227">
        <v>-3.5527136788005009E-15</v>
      </c>
      <c r="M70" s="3497" t="s">
        <v>2146</v>
      </c>
    </row>
    <row r="71" spans="2:13" ht="18" customHeight="1" x14ac:dyDescent="0.2">
      <c r="B71" s="2616" t="s">
        <v>567</v>
      </c>
      <c r="C71" s="2618" t="s">
        <v>567</v>
      </c>
      <c r="D71" s="3227">
        <v>6.8280147078043605</v>
      </c>
      <c r="E71" s="3227">
        <v>6.983456347768711</v>
      </c>
      <c r="F71" s="3227" t="s">
        <v>2146</v>
      </c>
      <c r="G71" s="3103">
        <f t="shared" si="38"/>
        <v>3.5000000000000005E-3</v>
      </c>
      <c r="H71" s="3103">
        <f t="shared" si="39"/>
        <v>5.2970908676361846E-2</v>
      </c>
      <c r="I71" s="3103" t="str">
        <f t="shared" si="3"/>
        <v>NA</v>
      </c>
      <c r="J71" s="3227">
        <v>2.3898051477315264E-2</v>
      </c>
      <c r="K71" s="3227">
        <v>0.3699200284430158</v>
      </c>
      <c r="L71" s="3227">
        <v>-1.1102230246251565E-16</v>
      </c>
      <c r="M71" s="3497" t="s">
        <v>2146</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v>2.4225049287380709</v>
      </c>
      <c r="E73" s="3227">
        <v>2.4776539222682645</v>
      </c>
      <c r="F73" s="3227" t="s">
        <v>2146</v>
      </c>
      <c r="G73" s="3103">
        <f t="shared" si="38"/>
        <v>3.5000000000000001E-3</v>
      </c>
      <c r="H73" s="3103">
        <f t="shared" si="39"/>
        <v>5.2970908676361839E-2</v>
      </c>
      <c r="I73" s="3103" t="str">
        <f t="shared" si="3"/>
        <v>NA</v>
      </c>
      <c r="J73" s="3227">
        <v>8.4787672505832485E-3</v>
      </c>
      <c r="K73" s="3227">
        <v>0.13124357964810196</v>
      </c>
      <c r="L73" s="3227">
        <v>-5.5511151231257827E-17</v>
      </c>
      <c r="M73" s="3497" t="s">
        <v>2146</v>
      </c>
    </row>
    <row r="74" spans="2:13" ht="18" customHeight="1" x14ac:dyDescent="0.2">
      <c r="B74" s="2616" t="s">
        <v>574</v>
      </c>
      <c r="C74" s="2618" t="s">
        <v>574</v>
      </c>
      <c r="D74" s="3227">
        <v>2.5947579341999339E-4</v>
      </c>
      <c r="E74" s="3227">
        <v>2.6538283149566625E-4</v>
      </c>
      <c r="F74" s="3227" t="s">
        <v>2146</v>
      </c>
      <c r="G74" s="3103">
        <f t="shared" si="38"/>
        <v>3.5000000000000001E-3</v>
      </c>
      <c r="H74" s="3103">
        <f t="shared" si="39"/>
        <v>5.2970908676361853E-2</v>
      </c>
      <c r="I74" s="3103" t="str">
        <f t="shared" si="3"/>
        <v>NA</v>
      </c>
      <c r="J74" s="3227">
        <v>9.081652769699769E-7</v>
      </c>
      <c r="K74" s="3227">
        <v>1.4057569731431264E-5</v>
      </c>
      <c r="L74" s="3227">
        <v>-1.0164395367051604E-20</v>
      </c>
      <c r="M74" s="3497" t="s">
        <v>2146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f>IF(SUM(J78:J89)=0,"NO",SUM(J78:J89))</f>
        <v>2.6174009270939496</v>
      </c>
      <c r="K77" s="3103">
        <f>IF(SUM(K78:K89)=0,"NO",SUM(K78:K89))</f>
        <v>9.0458613451286425</v>
      </c>
      <c r="L77" s="3103">
        <f>IF(SUM(L78:L89)=0,"NO",SUM(L78:L89))</f>
        <v>-2.8626325485406334E-17</v>
      </c>
      <c r="M77" s="3226" t="str">
        <f>IF(SUM(M78:M89)=0,"NO",SUM(M78:M89))</f>
        <v>NO</v>
      </c>
    </row>
    <row r="78" spans="2:13" ht="18" customHeight="1" x14ac:dyDescent="0.2">
      <c r="B78" s="2616" t="s">
        <v>559</v>
      </c>
      <c r="C78" s="2618" t="s">
        <v>559</v>
      </c>
      <c r="D78" s="3227">
        <v>3.7115833616909108E-2</v>
      </c>
      <c r="E78" s="3227">
        <v>3.8372031850466767E-2</v>
      </c>
      <c r="F78" s="3227" t="s">
        <v>2146</v>
      </c>
      <c r="G78" s="3103">
        <f>IF(SUM(D78)=0,"NA",J78/D78)</f>
        <v>6.1606367030264024E-3</v>
      </c>
      <c r="H78" s="3103">
        <f>IF(SUM(E78)=0,"NA",K78/E78)</f>
        <v>2.059442621547012E-2</v>
      </c>
      <c r="I78" s="3103" t="str">
        <f t="shared" si="3"/>
        <v>NA</v>
      </c>
      <c r="J78" s="3227">
        <v>2.2865716684375144E-4</v>
      </c>
      <c r="K78" s="3227">
        <v>7.9024997868210717E-4</v>
      </c>
      <c r="L78" s="3227" t="s">
        <v>2146</v>
      </c>
      <c r="M78" s="3497" t="s">
        <v>2146</v>
      </c>
    </row>
    <row r="79" spans="2:13" ht="18" customHeight="1" x14ac:dyDescent="0.2">
      <c r="B79" s="2616" t="s">
        <v>560</v>
      </c>
      <c r="C79" s="2618" t="s">
        <v>560</v>
      </c>
      <c r="D79" s="3227">
        <v>5.8011424278993831</v>
      </c>
      <c r="E79" s="3227">
        <v>5.9974841009912572</v>
      </c>
      <c r="F79" s="3227" t="s">
        <v>2146</v>
      </c>
      <c r="G79" s="3103">
        <f t="shared" ref="G79:G89" si="40">IF(SUM(D79)=0,"NA",J79/D79)</f>
        <v>6.1606367030264024E-3</v>
      </c>
      <c r="H79" s="3103">
        <f t="shared" ref="H79:H89" si="41">IF(SUM(E79)=0,"NA",K79/E79)</f>
        <v>2.0594426215470123E-2</v>
      </c>
      <c r="I79" s="3103" t="str">
        <f t="shared" ref="I79:I89" si="42">IF(SUM(F79)=0,"NA",(SUM(L79:M79))/F79)</f>
        <v>NA</v>
      </c>
      <c r="J79" s="3227">
        <v>3.5738730960800637E-2</v>
      </c>
      <c r="K79" s="3227">
        <v>0.12351474379631962</v>
      </c>
      <c r="L79" s="3227">
        <v>-2.7755575615628914E-17</v>
      </c>
      <c r="M79" s="3497" t="s">
        <v>2146</v>
      </c>
    </row>
    <row r="80" spans="2:13" ht="18" customHeight="1" x14ac:dyDescent="0.2">
      <c r="B80" s="2616" t="s">
        <v>562</v>
      </c>
      <c r="C80" s="2618" t="s">
        <v>562</v>
      </c>
      <c r="D80" s="3227">
        <v>8.6121248412156584E-2</v>
      </c>
      <c r="E80" s="3227">
        <v>8.9036051868917526E-2</v>
      </c>
      <c r="F80" s="3227" t="s">
        <v>2146</v>
      </c>
      <c r="G80" s="3103">
        <f t="shared" si="40"/>
        <v>6.1606367030264033E-3</v>
      </c>
      <c r="H80" s="3103">
        <f t="shared" si="41"/>
        <v>2.0594426215470127E-2</v>
      </c>
      <c r="I80" s="3103" t="str">
        <f t="shared" si="42"/>
        <v>NA</v>
      </c>
      <c r="J80" s="3227">
        <v>5.3056172387838619E-4</v>
      </c>
      <c r="K80" s="3227">
        <v>1.833646400731193E-3</v>
      </c>
      <c r="L80" s="3227" t="s">
        <v>2146</v>
      </c>
      <c r="M80" s="3497" t="s">
        <v>2146</v>
      </c>
    </row>
    <row r="81" spans="2:13" ht="18" customHeight="1" x14ac:dyDescent="0.2">
      <c r="B81" s="2616" t="s">
        <v>563</v>
      </c>
      <c r="C81" s="2618" t="s">
        <v>563</v>
      </c>
      <c r="D81" s="3227">
        <v>104.99023864446082</v>
      </c>
      <c r="E81" s="3227">
        <v>108.54366960568493</v>
      </c>
      <c r="F81" s="3227" t="s">
        <v>2146</v>
      </c>
      <c r="G81" s="3103">
        <f t="shared" si="40"/>
        <v>6.1606367030264024E-3</v>
      </c>
      <c r="H81" s="3103">
        <f t="shared" si="41"/>
        <v>2.059442621547012E-2</v>
      </c>
      <c r="I81" s="3103" t="str">
        <f t="shared" si="42"/>
        <v>NA</v>
      </c>
      <c r="J81" s="3227">
        <v>0.64680671765256625</v>
      </c>
      <c r="K81" s="3227">
        <v>2.2353945948506451</v>
      </c>
      <c r="L81" s="3227" t="s">
        <v>2146</v>
      </c>
      <c r="M81" s="3497" t="s">
        <v>2146</v>
      </c>
    </row>
    <row r="82" spans="2:13" ht="18" customHeight="1" x14ac:dyDescent="0.2">
      <c r="B82" s="2616" t="s">
        <v>564</v>
      </c>
      <c r="C82" s="2618" t="s">
        <v>564</v>
      </c>
      <c r="D82" s="3227">
        <v>0.11754742699331203</v>
      </c>
      <c r="E82" s="3227">
        <v>0.12152586033990873</v>
      </c>
      <c r="F82" s="3227" t="s">
        <v>2146</v>
      </c>
      <c r="G82" s="3103">
        <f t="shared" si="40"/>
        <v>6.1606367030264033E-3</v>
      </c>
      <c r="H82" s="3103">
        <f t="shared" si="41"/>
        <v>2.0594426215470123E-2</v>
      </c>
      <c r="I82" s="3103" t="str">
        <f t="shared" si="42"/>
        <v>NA</v>
      </c>
      <c r="J82" s="3227">
        <v>7.241669930813146E-4</v>
      </c>
      <c r="K82" s="3227">
        <v>2.5027553640417774E-3</v>
      </c>
      <c r="L82" s="3227">
        <v>-8.6736173798840355E-19</v>
      </c>
      <c r="M82" s="3497" t="s">
        <v>2146</v>
      </c>
    </row>
    <row r="83" spans="2:13" ht="18" customHeight="1" x14ac:dyDescent="0.2">
      <c r="B83" s="2616" t="s">
        <v>565</v>
      </c>
      <c r="C83" s="2618" t="s">
        <v>565</v>
      </c>
      <c r="D83" s="3227">
        <v>300.21140743888708</v>
      </c>
      <c r="E83" s="3227">
        <v>310.37216641876296</v>
      </c>
      <c r="F83" s="3227" t="s">
        <v>2146</v>
      </c>
      <c r="G83" s="3103">
        <f t="shared" si="40"/>
        <v>6.1606367030264033E-3</v>
      </c>
      <c r="H83" s="3103">
        <f t="shared" si="41"/>
        <v>2.0594426215470123E-2</v>
      </c>
      <c r="I83" s="3103" t="str">
        <f t="shared" si="42"/>
        <v>NA</v>
      </c>
      <c r="J83" s="3227">
        <v>1.8494934153352216</v>
      </c>
      <c r="K83" s="3227">
        <v>6.3919366806468281</v>
      </c>
      <c r="L83" s="3227" t="s">
        <v>2146</v>
      </c>
      <c r="M83" s="3497" t="s">
        <v>2146</v>
      </c>
    </row>
    <row r="84" spans="2:13" ht="18" customHeight="1" x14ac:dyDescent="0.2">
      <c r="B84" s="2616" t="s">
        <v>567</v>
      </c>
      <c r="C84" s="2618" t="s">
        <v>567</v>
      </c>
      <c r="D84" s="3227">
        <v>10.04944577326062</v>
      </c>
      <c r="E84" s="3227">
        <v>10.389572743299956</v>
      </c>
      <c r="F84" s="3227" t="s">
        <v>2146</v>
      </c>
      <c r="G84" s="3103">
        <f t="shared" si="40"/>
        <v>6.1606367030264042E-3</v>
      </c>
      <c r="H84" s="3103">
        <f t="shared" si="41"/>
        <v>2.0594426215470123E-2</v>
      </c>
      <c r="I84" s="3103" t="str">
        <f t="shared" si="42"/>
        <v>NA</v>
      </c>
      <c r="J84" s="3227">
        <v>6.1910984475822939E-2</v>
      </c>
      <c r="K84" s="3227">
        <v>0.21396728927215047</v>
      </c>
      <c r="L84" s="3227" t="s">
        <v>2146</v>
      </c>
      <c r="M84" s="3497" t="s">
        <v>2146</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v>3.5654334325003578</v>
      </c>
      <c r="E86" s="3227">
        <v>3.6861067609241034</v>
      </c>
      <c r="F86" s="3227" t="s">
        <v>2146</v>
      </c>
      <c r="G86" s="3103">
        <f t="shared" si="40"/>
        <v>6.1606367030264033E-3</v>
      </c>
      <c r="H86" s="3103">
        <f t="shared" si="41"/>
        <v>2.059442621547012E-2</v>
      </c>
      <c r="I86" s="3103" t="str">
        <f t="shared" si="42"/>
        <v>NA</v>
      </c>
      <c r="J86" s="3227">
        <v>2.1965340066459116E-2</v>
      </c>
      <c r="K86" s="3227">
        <v>7.5913253710196998E-2</v>
      </c>
      <c r="L86" s="3227" t="s">
        <v>2146</v>
      </c>
      <c r="M86" s="3497" t="s">
        <v>2146</v>
      </c>
    </row>
    <row r="87" spans="2:13" ht="18" customHeight="1" x14ac:dyDescent="0.2">
      <c r="B87" s="2616" t="s">
        <v>574</v>
      </c>
      <c r="C87" s="2618" t="s">
        <v>574</v>
      </c>
      <c r="D87" s="3227">
        <v>3.8189547431225483E-4</v>
      </c>
      <c r="E87" s="3227">
        <v>3.9482085880412205E-4</v>
      </c>
      <c r="F87" s="3227" t="s">
        <v>2146</v>
      </c>
      <c r="G87" s="3103">
        <f t="shared" si="40"/>
        <v>6.1606367030264033E-3</v>
      </c>
      <c r="H87" s="3103">
        <f t="shared" si="41"/>
        <v>2.059442621547012E-2</v>
      </c>
      <c r="I87" s="3103" t="str">
        <f t="shared" si="42"/>
        <v>NA</v>
      </c>
      <c r="J87" s="3227">
        <v>2.3527192757677541E-6</v>
      </c>
      <c r="K87" s="3227">
        <v>8.1311090449700384E-6</v>
      </c>
      <c r="L87" s="3227">
        <v>-3.3881317890172014E-21</v>
      </c>
      <c r="M87" s="3497" t="s">
        <v>2146</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f>IF(SUM(J91,J104)=0,"NO",SUM(J91,J104))</f>
        <v>3.7422730091212455</v>
      </c>
      <c r="K90" s="3103">
        <f t="shared" ref="K90:M90" si="43">IF(SUM(K91,K104)=0,"NO",SUM(K91,K104))</f>
        <v>7.0167618921023356E-2</v>
      </c>
      <c r="L90" s="3103">
        <f t="shared" si="43"/>
        <v>3.5274555798298513E-15</v>
      </c>
      <c r="M90" s="3226" t="str">
        <f t="shared" si="43"/>
        <v>NO</v>
      </c>
    </row>
    <row r="91" spans="2:13" ht="18" customHeight="1" x14ac:dyDescent="0.2">
      <c r="B91" s="104" t="s">
        <v>674</v>
      </c>
      <c r="C91" s="2508"/>
      <c r="D91" s="2108"/>
      <c r="E91" s="2108"/>
      <c r="F91" s="2108"/>
      <c r="G91" s="2108"/>
      <c r="H91" s="2108"/>
      <c r="I91" s="2108"/>
      <c r="J91" s="3103">
        <f>IF(SUM(J92:J103)=0,"NO",SUM(J92:J103))</f>
        <v>3.7422730091212455</v>
      </c>
      <c r="K91" s="3103">
        <f>IF(SUM(K92:K103)=0,"NO",SUM(K92:K103))</f>
        <v>7.0167618921023356E-2</v>
      </c>
      <c r="L91" s="3103">
        <f>IF(SUM(L92:L103)=0,"NO",SUM(L92:L103))</f>
        <v>3.5274555798298513E-15</v>
      </c>
      <c r="M91" s="3226" t="str">
        <f>IF(SUM(M92:M103)=0,"NO",SUM(M92:M103))</f>
        <v>NO</v>
      </c>
    </row>
    <row r="92" spans="2:13" ht="18" customHeight="1" x14ac:dyDescent="0.2">
      <c r="B92" s="2616" t="s">
        <v>559</v>
      </c>
      <c r="C92" s="2618" t="s">
        <v>559</v>
      </c>
      <c r="D92" s="3227">
        <v>5.4487738514683026E-4</v>
      </c>
      <c r="E92" s="3227">
        <v>2.1182108347583031E-4</v>
      </c>
      <c r="F92" s="3227" t="s">
        <v>2146</v>
      </c>
      <c r="G92" s="3103">
        <f>IF(SUM(D92)=0,"NA",J92/D92)</f>
        <v>0.6</v>
      </c>
      <c r="H92" s="3103">
        <f>IF(SUM(E92)=0,"NA",K92/E92)</f>
        <v>2.8938906752411574E-2</v>
      </c>
      <c r="I92" s="3103" t="str">
        <f t="shared" ref="I92:I103" si="44">IF(SUM(F92)=0,"NA",(SUM(L92:M92))/F92)</f>
        <v>NA</v>
      </c>
      <c r="J92" s="3227">
        <v>3.2692643108809817E-4</v>
      </c>
      <c r="K92" s="3227">
        <v>6.1298705829018417E-6</v>
      </c>
      <c r="L92" s="3227">
        <v>3.2526065174565133E-19</v>
      </c>
      <c r="M92" s="3497" t="s">
        <v>2146</v>
      </c>
    </row>
    <row r="93" spans="2:13" ht="18" customHeight="1" x14ac:dyDescent="0.2">
      <c r="B93" s="2616" t="s">
        <v>560</v>
      </c>
      <c r="C93" s="2618" t="s">
        <v>560</v>
      </c>
      <c r="D93" s="3227">
        <v>8.516341973087499E-2</v>
      </c>
      <c r="E93" s="3227">
        <v>3.3107279420377653E-2</v>
      </c>
      <c r="F93" s="3227" t="s">
        <v>2146</v>
      </c>
      <c r="G93" s="3103">
        <f t="shared" ref="G93:G103" si="45">IF(SUM(D93)=0,"NA",J93/D93)</f>
        <v>0.6</v>
      </c>
      <c r="H93" s="3103">
        <f t="shared" ref="H93:H103" si="46">IF(SUM(E93)=0,"NA",K93/E93)</f>
        <v>2.8938906752411574E-2</v>
      </c>
      <c r="I93" s="3103" t="str">
        <f t="shared" si="44"/>
        <v>NA</v>
      </c>
      <c r="J93" s="3227">
        <v>5.1098051838524991E-2</v>
      </c>
      <c r="K93" s="3227">
        <v>9.5808847197234365E-4</v>
      </c>
      <c r="L93" s="3227">
        <v>5.5511151231257827E-17</v>
      </c>
      <c r="M93" s="3497" t="s">
        <v>2146</v>
      </c>
    </row>
    <row r="94" spans="2:13" ht="18" customHeight="1" x14ac:dyDescent="0.2">
      <c r="B94" s="2616" t="s">
        <v>562</v>
      </c>
      <c r="C94" s="2618" t="s">
        <v>562</v>
      </c>
      <c r="D94" s="3227">
        <v>1.2642992509541351E-3</v>
      </c>
      <c r="E94" s="3227">
        <v>4.9149633380842004E-4</v>
      </c>
      <c r="F94" s="3227" t="s">
        <v>2146</v>
      </c>
      <c r="G94" s="3103">
        <f t="shared" si="45"/>
        <v>0.6</v>
      </c>
      <c r="H94" s="3103">
        <f t="shared" si="46"/>
        <v>2.8938906752411574E-2</v>
      </c>
      <c r="I94" s="3103" t="str">
        <f t="shared" si="44"/>
        <v>NA</v>
      </c>
      <c r="J94" s="3227">
        <v>7.5857955057248095E-4</v>
      </c>
      <c r="K94" s="3227">
        <v>1.422336657323402E-5</v>
      </c>
      <c r="L94" s="3227">
        <v>8.6736173798840355E-19</v>
      </c>
      <c r="M94" s="3497" t="s">
        <v>2146</v>
      </c>
    </row>
    <row r="95" spans="2:13" ht="18" customHeight="1" x14ac:dyDescent="0.2">
      <c r="B95" s="2616" t="s">
        <v>563</v>
      </c>
      <c r="C95" s="2618" t="s">
        <v>563</v>
      </c>
      <c r="D95" s="3227">
        <v>1.5413046434304905</v>
      </c>
      <c r="E95" s="3227">
        <v>0.59918218013360314</v>
      </c>
      <c r="F95" s="3227" t="s">
        <v>2146</v>
      </c>
      <c r="G95" s="3103">
        <f t="shared" si="45"/>
        <v>0.59999999999999987</v>
      </c>
      <c r="H95" s="3103">
        <f t="shared" si="46"/>
        <v>2.8938906752411571E-2</v>
      </c>
      <c r="I95" s="3103" t="str">
        <f t="shared" si="44"/>
        <v>NA</v>
      </c>
      <c r="J95" s="3227">
        <v>0.92478278605829412</v>
      </c>
      <c r="K95" s="3227">
        <v>1.7339677238593015E-2</v>
      </c>
      <c r="L95" s="3227">
        <v>1.1102230246251565E-15</v>
      </c>
      <c r="M95" s="3497" t="s">
        <v>2146</v>
      </c>
    </row>
    <row r="96" spans="2:13" ht="18" customHeight="1" x14ac:dyDescent="0.2">
      <c r="B96" s="2616" t="s">
        <v>564</v>
      </c>
      <c r="C96" s="2618" t="s">
        <v>564</v>
      </c>
      <c r="D96" s="3227">
        <v>1.7256499021936179E-3</v>
      </c>
      <c r="E96" s="3227">
        <v>6.7084639947776901E-4</v>
      </c>
      <c r="F96" s="3227" t="s">
        <v>2146</v>
      </c>
      <c r="G96" s="3103">
        <f t="shared" si="45"/>
        <v>0.59999999999999987</v>
      </c>
      <c r="H96" s="3103">
        <f t="shared" si="46"/>
        <v>2.8938906752411574E-2</v>
      </c>
      <c r="I96" s="3103" t="str">
        <f t="shared" si="44"/>
        <v>NA</v>
      </c>
      <c r="J96" s="3227">
        <v>1.0353899413161705E-3</v>
      </c>
      <c r="K96" s="3227">
        <v>1.9413561399678202E-5</v>
      </c>
      <c r="L96" s="3227">
        <v>1.3010426069826053E-18</v>
      </c>
      <c r="M96" s="3497" t="s">
        <v>2146</v>
      </c>
    </row>
    <row r="97" spans="2:13" ht="18" customHeight="1" x14ac:dyDescent="0.2">
      <c r="B97" s="2616" t="s">
        <v>565</v>
      </c>
      <c r="C97" s="2618" t="s">
        <v>565</v>
      </c>
      <c r="D97" s="3227">
        <v>4.407240542268946</v>
      </c>
      <c r="E97" s="3227">
        <v>1.7133147608070529</v>
      </c>
      <c r="F97" s="3227" t="s">
        <v>2146</v>
      </c>
      <c r="G97" s="3103">
        <f t="shared" si="45"/>
        <v>0.60000000000000009</v>
      </c>
      <c r="H97" s="3103">
        <f t="shared" si="46"/>
        <v>2.8938906752411574E-2</v>
      </c>
      <c r="I97" s="3103" t="str">
        <f t="shared" si="44"/>
        <v>NA</v>
      </c>
      <c r="J97" s="3227">
        <v>2.6443443253613679</v>
      </c>
      <c r="K97" s="3227">
        <v>4.9581456100525646E-2</v>
      </c>
      <c r="L97" s="3227">
        <v>2.2204460492503131E-15</v>
      </c>
      <c r="M97" s="3497" t="s">
        <v>2146</v>
      </c>
    </row>
    <row r="98" spans="2:13" ht="18" customHeight="1" x14ac:dyDescent="0.2">
      <c r="B98" s="2616" t="s">
        <v>567</v>
      </c>
      <c r="C98" s="2618" t="s">
        <v>567</v>
      </c>
      <c r="D98" s="3227">
        <v>0.14753045268029505</v>
      </c>
      <c r="E98" s="3227">
        <v>5.7352463479464703E-2</v>
      </c>
      <c r="F98" s="3227" t="s">
        <v>2146</v>
      </c>
      <c r="G98" s="3103">
        <f t="shared" si="45"/>
        <v>0.6</v>
      </c>
      <c r="H98" s="3103">
        <f t="shared" si="46"/>
        <v>2.8938906752411578E-2</v>
      </c>
      <c r="I98" s="3103" t="str">
        <f t="shared" si="44"/>
        <v>NA</v>
      </c>
      <c r="J98" s="3227">
        <v>8.8518271608177018E-2</v>
      </c>
      <c r="K98" s="3227">
        <v>1.6597175926533194E-3</v>
      </c>
      <c r="L98" s="3227">
        <v>1.1102230246251565E-16</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v>5.2342190819899111E-2</v>
      </c>
      <c r="E100" s="3227">
        <v>2.0348026681235781E-2</v>
      </c>
      <c r="F100" s="3227" t="s">
        <v>2146</v>
      </c>
      <c r="G100" s="3103">
        <f t="shared" si="45"/>
        <v>0.6</v>
      </c>
      <c r="H100" s="3103">
        <f t="shared" si="46"/>
        <v>2.8938906752411574E-2</v>
      </c>
      <c r="I100" s="3103" t="str">
        <f t="shared" si="44"/>
        <v>NA</v>
      </c>
      <c r="J100" s="3227">
        <v>3.1405314491939465E-2</v>
      </c>
      <c r="K100" s="3227">
        <v>5.8884964672386501E-4</v>
      </c>
      <c r="L100" s="3227">
        <v>2.7755575615628914E-17</v>
      </c>
      <c r="M100" s="3497" t="s">
        <v>2146</v>
      </c>
    </row>
    <row r="101" spans="2:13" ht="18" customHeight="1" x14ac:dyDescent="0.2">
      <c r="B101" s="2616" t="s">
        <v>574</v>
      </c>
      <c r="C101" s="2618" t="s">
        <v>574</v>
      </c>
      <c r="D101" s="3227">
        <v>5.6063999421495066E-6</v>
      </c>
      <c r="E101" s="3227">
        <v>2.1794879775106206E-6</v>
      </c>
      <c r="F101" s="3227" t="s">
        <v>2146</v>
      </c>
      <c r="G101" s="3103">
        <f t="shared" si="45"/>
        <v>0.59999999999999987</v>
      </c>
      <c r="H101" s="3103">
        <f t="shared" si="46"/>
        <v>2.8938906752411571E-2</v>
      </c>
      <c r="I101" s="3103" t="str">
        <f t="shared" si="44"/>
        <v>NA</v>
      </c>
      <c r="J101" s="3227">
        <v>3.3638399652897034E-6</v>
      </c>
      <c r="K101" s="3227">
        <v>6.3071999349181941E-8</v>
      </c>
      <c r="L101" s="3227">
        <v>3.8116482626443515E-21</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IE</v>
      </c>
      <c r="E107" s="3227" t="str">
        <f t="shared" si="47"/>
        <v>IE</v>
      </c>
      <c r="F107" s="2108"/>
      <c r="G107" s="3103" t="str">
        <f t="shared" si="48"/>
        <v>NA</v>
      </c>
      <c r="H107" s="3103" t="str">
        <f t="shared" si="49"/>
        <v>NA</v>
      </c>
      <c r="I107" s="2108"/>
      <c r="J107" s="3227" t="str">
        <f t="shared" ref="J107:K107" si="52">IF(J94="NO","NO","IE")</f>
        <v>IE</v>
      </c>
      <c r="K107" s="3227" t="str">
        <f t="shared" si="52"/>
        <v>IE</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2.1262754096377089E-2</v>
      </c>
      <c r="K117" s="3103">
        <f>IF(SUM(K118:K129)=0,"NO",SUM(K118:K129))</f>
        <v>0.15187681497412203</v>
      </c>
      <c r="L117" s="3103">
        <f>IF(SUM(L118:L129)=0,"NO",SUM(L118:L129))</f>
        <v>2.1651025046634932E-16</v>
      </c>
      <c r="M117" s="3226" t="str">
        <f>IF(SUM(M118:M129)=0,"NO",SUM(M118:M129))</f>
        <v>NO</v>
      </c>
    </row>
    <row r="118" spans="2:13" ht="18" customHeight="1" x14ac:dyDescent="0.2">
      <c r="B118" s="2616" t="s">
        <v>559</v>
      </c>
      <c r="C118" s="2618" t="s">
        <v>559</v>
      </c>
      <c r="D118" s="3227">
        <v>5.3072071399917959E-4</v>
      </c>
      <c r="E118" s="3227">
        <v>5.1559517365020304E-4</v>
      </c>
      <c r="F118" s="3227" t="s">
        <v>2146</v>
      </c>
      <c r="G118" s="3103">
        <f>IF(SUM(D118)=0,"NA",J118/D118)</f>
        <v>3.5000000000000005E-3</v>
      </c>
      <c r="H118" s="3103">
        <f>IF(SUM(E118)=0,"NA",K118/E118)</f>
        <v>2.5733401955738543E-2</v>
      </c>
      <c r="I118" s="3103" t="str">
        <f t="shared" ref="I118:I129" si="72">IF(SUM(F118)=0,"NA",(SUM(L118:M118))/F118)</f>
        <v>NA</v>
      </c>
      <c r="J118" s="3227">
        <v>1.8575224989971288E-6</v>
      </c>
      <c r="K118" s="3227">
        <v>1.3268017849979489E-5</v>
      </c>
      <c r="L118" s="3227">
        <v>1.5246593050577406E-20</v>
      </c>
      <c r="M118" s="3497" t="s">
        <v>2146</v>
      </c>
    </row>
    <row r="119" spans="2:13" ht="18" customHeight="1" x14ac:dyDescent="0.2">
      <c r="B119" s="2616" t="s">
        <v>560</v>
      </c>
      <c r="C119" s="2618" t="s">
        <v>560</v>
      </c>
      <c r="D119" s="3227">
        <v>8.2950755818214233E-2</v>
      </c>
      <c r="E119" s="3227">
        <v>8.058665927739514E-2</v>
      </c>
      <c r="F119" s="3227" t="s">
        <v>2146</v>
      </c>
      <c r="G119" s="3103">
        <f t="shared" ref="G119:G129" si="73">IF(SUM(D119)=0,"NA",J119/D119)</f>
        <v>3.5000000000000005E-3</v>
      </c>
      <c r="H119" s="3103">
        <f t="shared" ref="H119:H129" si="74">IF(SUM(E119)=0,"NA",K119/E119)</f>
        <v>2.5733401955738543E-2</v>
      </c>
      <c r="I119" s="3103" t="str">
        <f t="shared" si="72"/>
        <v>NA</v>
      </c>
      <c r="J119" s="3227">
        <v>2.9032764536374985E-4</v>
      </c>
      <c r="K119" s="3227">
        <v>2.0737688954553558E-3</v>
      </c>
      <c r="L119" s="3227">
        <v>2.6020852139652106E-18</v>
      </c>
      <c r="M119" s="3497" t="s">
        <v>2146</v>
      </c>
    </row>
    <row r="120" spans="2:13" ht="18" customHeight="1" x14ac:dyDescent="0.2">
      <c r="B120" s="2616" t="s">
        <v>562</v>
      </c>
      <c r="C120" s="2618" t="s">
        <v>562</v>
      </c>
      <c r="D120" s="3227">
        <v>1.231451000658051E-3</v>
      </c>
      <c r="E120" s="3227">
        <v>1.1963546471392967E-3</v>
      </c>
      <c r="F120" s="3227" t="s">
        <v>2146</v>
      </c>
      <c r="G120" s="3103">
        <f t="shared" si="73"/>
        <v>3.5000000000000005E-3</v>
      </c>
      <c r="H120" s="3103">
        <f t="shared" si="74"/>
        <v>2.5733401955738543E-2</v>
      </c>
      <c r="I120" s="3103" t="str">
        <f t="shared" si="72"/>
        <v>NA</v>
      </c>
      <c r="J120" s="3227">
        <v>4.3100785023031791E-6</v>
      </c>
      <c r="K120" s="3227">
        <v>3.0786275016451276E-5</v>
      </c>
      <c r="L120" s="3227">
        <v>4.0657581468206416E-20</v>
      </c>
      <c r="M120" s="3497" t="s">
        <v>2146</v>
      </c>
    </row>
    <row r="121" spans="2:13" ht="18" customHeight="1" x14ac:dyDescent="0.2">
      <c r="B121" s="2616" t="s">
        <v>563</v>
      </c>
      <c r="C121" s="2618" t="s">
        <v>563</v>
      </c>
      <c r="D121" s="3227">
        <v>1.50125940835524</v>
      </c>
      <c r="E121" s="3227">
        <v>1.4584735152171158</v>
      </c>
      <c r="F121" s="3227" t="s">
        <v>2146</v>
      </c>
      <c r="G121" s="3103">
        <f t="shared" si="73"/>
        <v>3.5000000000000001E-3</v>
      </c>
      <c r="H121" s="3103">
        <f t="shared" si="74"/>
        <v>2.5733401955738547E-2</v>
      </c>
      <c r="I121" s="3103" t="str">
        <f t="shared" si="72"/>
        <v>NA</v>
      </c>
      <c r="J121" s="3227">
        <v>5.2544079292433403E-3</v>
      </c>
      <c r="K121" s="3227">
        <v>3.7531485208880999E-2</v>
      </c>
      <c r="L121" s="3227">
        <v>5.5511151231257827E-17</v>
      </c>
      <c r="M121" s="3497" t="s">
        <v>2146</v>
      </c>
    </row>
    <row r="122" spans="2:13" ht="18" customHeight="1" x14ac:dyDescent="0.2">
      <c r="B122" s="2616" t="s">
        <v>564</v>
      </c>
      <c r="C122" s="2618" t="s">
        <v>564</v>
      </c>
      <c r="D122" s="3227">
        <v>1.6808151212919522E-3</v>
      </c>
      <c r="E122" s="3227">
        <v>1.6329118903351317E-3</v>
      </c>
      <c r="F122" s="3227" t="s">
        <v>2146</v>
      </c>
      <c r="G122" s="3103">
        <f t="shared" si="73"/>
        <v>3.5000000000000005E-3</v>
      </c>
      <c r="H122" s="3103">
        <f t="shared" si="74"/>
        <v>2.5733401955738547E-2</v>
      </c>
      <c r="I122" s="3103" t="str">
        <f t="shared" si="72"/>
        <v>NA</v>
      </c>
      <c r="J122" s="3227">
        <v>5.8828529245218332E-6</v>
      </c>
      <c r="K122" s="3227">
        <v>4.2020378032298804E-5</v>
      </c>
      <c r="L122" s="3227">
        <v>4.7433845046240819E-20</v>
      </c>
      <c r="M122" s="3497" t="s">
        <v>2146</v>
      </c>
    </row>
    <row r="123" spans="2:13" ht="18" customHeight="1" x14ac:dyDescent="0.2">
      <c r="B123" s="2616" t="s">
        <v>565</v>
      </c>
      <c r="C123" s="2618" t="s">
        <v>565</v>
      </c>
      <c r="D123" s="3227">
        <v>4.2927343125624553</v>
      </c>
      <c r="E123" s="3227">
        <v>4.1703913846544252</v>
      </c>
      <c r="F123" s="3227" t="s">
        <v>2146</v>
      </c>
      <c r="G123" s="3103">
        <f t="shared" si="73"/>
        <v>3.5000000000000001E-3</v>
      </c>
      <c r="H123" s="3103">
        <f t="shared" si="74"/>
        <v>2.5733401955738543E-2</v>
      </c>
      <c r="I123" s="3103" t="str">
        <f t="shared" si="72"/>
        <v>NA</v>
      </c>
      <c r="J123" s="3227">
        <v>1.5024570093968594E-2</v>
      </c>
      <c r="K123" s="3227">
        <v>0.10731835781406136</v>
      </c>
      <c r="L123" s="3227">
        <v>1.5265566588595902E-16</v>
      </c>
      <c r="M123" s="3497" t="s">
        <v>2146</v>
      </c>
    </row>
    <row r="124" spans="2:13" ht="18" customHeight="1" x14ac:dyDescent="0.2">
      <c r="B124" s="2616" t="s">
        <v>567</v>
      </c>
      <c r="C124" s="2618" t="s">
        <v>567</v>
      </c>
      <c r="D124" s="3227">
        <v>0.14369740664132946</v>
      </c>
      <c r="E124" s="3227">
        <v>0.13960203055205159</v>
      </c>
      <c r="F124" s="3227" t="s">
        <v>2146</v>
      </c>
      <c r="G124" s="3103">
        <f t="shared" si="73"/>
        <v>3.5000000000000001E-3</v>
      </c>
      <c r="H124" s="3103">
        <f t="shared" si="74"/>
        <v>2.5733401955738547E-2</v>
      </c>
      <c r="I124" s="3103" t="str">
        <f t="shared" si="72"/>
        <v>NA</v>
      </c>
      <c r="J124" s="3227">
        <v>5.0294092324465315E-4</v>
      </c>
      <c r="K124" s="3227">
        <v>3.5924351660332368E-3</v>
      </c>
      <c r="L124" s="3227">
        <v>4.3368086899420177E-18</v>
      </c>
      <c r="M124" s="3497" t="s">
        <v>2146</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v>5.098226801380721E-2</v>
      </c>
      <c r="E126" s="3227">
        <v>4.9529273375413713E-2</v>
      </c>
      <c r="F126" s="3227" t="s">
        <v>2146</v>
      </c>
      <c r="G126" s="3103">
        <f t="shared" si="73"/>
        <v>3.5000000000000005E-3</v>
      </c>
      <c r="H126" s="3103">
        <f t="shared" si="74"/>
        <v>2.5733401955738547E-2</v>
      </c>
      <c r="I126" s="3103" t="str">
        <f t="shared" si="72"/>
        <v>NA</v>
      </c>
      <c r="J126" s="3227">
        <v>1.7843793804832525E-4</v>
      </c>
      <c r="K126" s="3227">
        <v>1.2745567003451803E-3</v>
      </c>
      <c r="L126" s="3227">
        <v>1.3010426069826053E-18</v>
      </c>
      <c r="M126" s="3497" t="s">
        <v>2146</v>
      </c>
    </row>
    <row r="127" spans="2:13" ht="18" customHeight="1" x14ac:dyDescent="0.2">
      <c r="B127" s="2616" t="s">
        <v>574</v>
      </c>
      <c r="C127" s="2618" t="s">
        <v>574</v>
      </c>
      <c r="D127" s="3227">
        <v>5.4607378859387668E-6</v>
      </c>
      <c r="E127" s="3227">
        <v>5.3051068561895123E-6</v>
      </c>
      <c r="F127" s="3227" t="s">
        <v>2146</v>
      </c>
      <c r="G127" s="3103">
        <f t="shared" si="73"/>
        <v>3.5000000000000005E-3</v>
      </c>
      <c r="H127" s="3103">
        <f t="shared" si="74"/>
        <v>2.5733401955738547E-2</v>
      </c>
      <c r="I127" s="3103" t="str">
        <f t="shared" si="72"/>
        <v>NA</v>
      </c>
      <c r="J127" s="3227">
        <v>1.9112582600785686E-8</v>
      </c>
      <c r="K127" s="3227">
        <v>1.3651844714846916E-7</v>
      </c>
      <c r="L127" s="3227">
        <v>1.5881867761018131E-22</v>
      </c>
      <c r="M127" s="3497" t="s">
        <v>2146</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t="str">
        <f>IF(SUM(K131,K144)=0,"NO",SUM(K131,K144))</f>
        <v>NO</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t="str">
        <f>IF(SUM(K132:K143)=0,"NO",SUM(K132:K143))</f>
        <v>NO</v>
      </c>
      <c r="L131" s="3229"/>
      <c r="M131" s="3226" t="str">
        <f>IF(SUM(M132:M143)=0,"NO",SUM(M132:M143))</f>
        <v>NO</v>
      </c>
    </row>
    <row r="132" spans="2:13" ht="18" customHeight="1" x14ac:dyDescent="0.2">
      <c r="B132" s="2616" t="s">
        <v>559</v>
      </c>
      <c r="C132" s="2618" t="s">
        <v>559</v>
      </c>
      <c r="D132" s="3227" t="s">
        <v>2146</v>
      </c>
      <c r="E132" s="3227" t="s">
        <v>2146</v>
      </c>
      <c r="F132" s="3229"/>
      <c r="G132" s="3103" t="str">
        <f>IF(SUM(D132)=0,"NA",J132/D132)</f>
        <v>NA</v>
      </c>
      <c r="H132" s="3103" t="str">
        <f>IF(SUM(E132)=0,"NA",K132/E132)</f>
        <v>NA</v>
      </c>
      <c r="I132" s="4327"/>
      <c r="J132" s="3227" t="s">
        <v>2146</v>
      </c>
      <c r="K132" s="3227" t="s">
        <v>2146</v>
      </c>
      <c r="L132" s="3229"/>
      <c r="M132" s="3497" t="s">
        <v>2146</v>
      </c>
    </row>
    <row r="133" spans="2:13" ht="18" customHeight="1" x14ac:dyDescent="0.2">
      <c r="B133" s="2616" t="s">
        <v>560</v>
      </c>
      <c r="C133" s="2618" t="s">
        <v>560</v>
      </c>
      <c r="D133" s="3227" t="s">
        <v>2146</v>
      </c>
      <c r="E133" s="3227" t="s">
        <v>2146</v>
      </c>
      <c r="F133" s="3229"/>
      <c r="G133" s="3103" t="str">
        <f t="shared" ref="G133:G143" si="75">IF(SUM(D133)=0,"NA",J133/D133)</f>
        <v>NA</v>
      </c>
      <c r="H133" s="3103" t="str">
        <f t="shared" ref="H133:H143" si="76">IF(SUM(E133)=0,"NA",K133/E133)</f>
        <v>NA</v>
      </c>
      <c r="I133" s="4327"/>
      <c r="J133" s="3227" t="s">
        <v>2146</v>
      </c>
      <c r="K133" s="3227" t="s">
        <v>2146</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t="s">
        <v>2146</v>
      </c>
      <c r="F135" s="3229"/>
      <c r="G135" s="3103" t="str">
        <f t="shared" si="75"/>
        <v>NA</v>
      </c>
      <c r="H135" s="3103" t="str">
        <f t="shared" si="76"/>
        <v>NA</v>
      </c>
      <c r="I135" s="4327"/>
      <c r="J135" s="3227" t="s">
        <v>2146</v>
      </c>
      <c r="K135" s="3227" t="s">
        <v>2146</v>
      </c>
      <c r="L135" s="3229"/>
      <c r="M135" s="3497" t="s">
        <v>2146</v>
      </c>
    </row>
    <row r="136" spans="2:13" ht="18" customHeight="1" x14ac:dyDescent="0.2">
      <c r="B136" s="2616" t="s">
        <v>564</v>
      </c>
      <c r="C136" s="2618" t="s">
        <v>564</v>
      </c>
      <c r="D136" s="3227" t="s">
        <v>2146</v>
      </c>
      <c r="E136" s="3227" t="s">
        <v>2146</v>
      </c>
      <c r="F136" s="3229"/>
      <c r="G136" s="3103" t="str">
        <f t="shared" si="75"/>
        <v>NA</v>
      </c>
      <c r="H136" s="3103" t="str">
        <f t="shared" si="76"/>
        <v>NA</v>
      </c>
      <c r="I136" s="4327"/>
      <c r="J136" s="3227" t="s">
        <v>2146</v>
      </c>
      <c r="K136" s="3227" t="s">
        <v>2146</v>
      </c>
      <c r="L136" s="3229"/>
      <c r="M136" s="3497" t="s">
        <v>2146</v>
      </c>
    </row>
    <row r="137" spans="2:13" ht="18" customHeight="1" x14ac:dyDescent="0.2">
      <c r="B137" s="2616" t="s">
        <v>565</v>
      </c>
      <c r="C137" s="2618" t="s">
        <v>565</v>
      </c>
      <c r="D137" s="3227" t="s">
        <v>2146</v>
      </c>
      <c r="E137" s="3227" t="s">
        <v>2146</v>
      </c>
      <c r="F137" s="3229"/>
      <c r="G137" s="3103" t="str">
        <f t="shared" si="75"/>
        <v>NA</v>
      </c>
      <c r="H137" s="3103" t="str">
        <f t="shared" si="76"/>
        <v>NA</v>
      </c>
      <c r="I137" s="4327"/>
      <c r="J137" s="3227" t="s">
        <v>2146</v>
      </c>
      <c r="K137" s="3227" t="s">
        <v>2146</v>
      </c>
      <c r="L137" s="3229"/>
      <c r="M137" s="3497" t="s">
        <v>2146</v>
      </c>
    </row>
    <row r="138" spans="2:13" ht="18" customHeight="1" x14ac:dyDescent="0.2">
      <c r="B138" s="2616" t="s">
        <v>567</v>
      </c>
      <c r="C138" s="2618" t="s">
        <v>567</v>
      </c>
      <c r="D138" s="3227" t="s">
        <v>2146</v>
      </c>
      <c r="E138" s="3227" t="s">
        <v>2146</v>
      </c>
      <c r="F138" s="3229"/>
      <c r="G138" s="3103" t="str">
        <f t="shared" si="75"/>
        <v>NA</v>
      </c>
      <c r="H138" s="3103" t="str">
        <f t="shared" si="76"/>
        <v>NA</v>
      </c>
      <c r="I138" s="4327"/>
      <c r="J138" s="3227" t="s">
        <v>2146</v>
      </c>
      <c r="K138" s="3227" t="s">
        <v>2146</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t="s">
        <v>2146</v>
      </c>
      <c r="F140" s="3229"/>
      <c r="G140" s="3103" t="str">
        <f t="shared" si="75"/>
        <v>NA</v>
      </c>
      <c r="H140" s="3103" t="str">
        <f t="shared" si="76"/>
        <v>NA</v>
      </c>
      <c r="I140" s="4327"/>
      <c r="J140" s="3227" t="s">
        <v>2146</v>
      </c>
      <c r="K140" s="3227" t="s">
        <v>2146</v>
      </c>
      <c r="L140" s="3229"/>
      <c r="M140" s="3497" t="s">
        <v>2146</v>
      </c>
    </row>
    <row r="141" spans="2:13" ht="18" customHeight="1" x14ac:dyDescent="0.2">
      <c r="B141" s="2616" t="s">
        <v>574</v>
      </c>
      <c r="C141" s="2618" t="s">
        <v>574</v>
      </c>
      <c r="D141" s="3227" t="s">
        <v>2146</v>
      </c>
      <c r="E141" s="3227" t="s">
        <v>2146</v>
      </c>
      <c r="F141" s="3229"/>
      <c r="G141" s="3103" t="str">
        <f t="shared" si="75"/>
        <v>NA</v>
      </c>
      <c r="H141" s="3103" t="str">
        <f t="shared" si="76"/>
        <v>NA</v>
      </c>
      <c r="I141" s="4327"/>
      <c r="J141" s="3227" t="s">
        <v>2146</v>
      </c>
      <c r="K141" s="3227" t="s">
        <v>2146</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1.802445211059635</v>
      </c>
      <c r="L146" s="3103">
        <f>IF(SUM(L147:L158)=0,"NO",SUM(L147:L158))</f>
        <v>1.565534997509865E-15</v>
      </c>
      <c r="M146" s="3226" t="str">
        <f>IF(SUM(M147:M158)=0,"NO",SUM(M147:M158))</f>
        <v>NO</v>
      </c>
    </row>
    <row r="147" spans="2:13" ht="18" customHeight="1" x14ac:dyDescent="0.2">
      <c r="B147" s="2616" t="s">
        <v>559</v>
      </c>
      <c r="C147" s="2618" t="s">
        <v>559</v>
      </c>
      <c r="D147" s="3227">
        <v>6.2984926930483996E-4</v>
      </c>
      <c r="E147" s="3227">
        <v>4.7238695197862992E-4</v>
      </c>
      <c r="F147" s="3227" t="s">
        <v>2146</v>
      </c>
      <c r="G147" s="3103" t="str">
        <f>IFERROR(J147/D147,"NA")</f>
        <v>NA</v>
      </c>
      <c r="H147" s="3103">
        <f>IF(SUM(E147)=0,"NA",K147/E147)</f>
        <v>0.33333333333333337</v>
      </c>
      <c r="I147" s="3103" t="str">
        <f t="shared" ref="I147:I158" si="77">IF(SUM(F147)=0,"NA",(SUM(L147:M147))/F147)</f>
        <v>NA</v>
      </c>
      <c r="J147" s="3227" t="s">
        <v>2146</v>
      </c>
      <c r="K147" s="3227">
        <v>1.5746231732620999E-4</v>
      </c>
      <c r="L147" s="3227">
        <v>1.6263032587282567E-19</v>
      </c>
      <c r="M147" s="3497" t="s">
        <v>2146</v>
      </c>
    </row>
    <row r="148" spans="2:13" ht="18" customHeight="1" x14ac:dyDescent="0.2">
      <c r="B148" s="2616" t="s">
        <v>560</v>
      </c>
      <c r="C148" s="2618" t="s">
        <v>560</v>
      </c>
      <c r="D148" s="3227">
        <v>9.8444382444939221E-2</v>
      </c>
      <c r="E148" s="3227">
        <v>7.3833286833704395E-2</v>
      </c>
      <c r="F148" s="3227" t="s">
        <v>2146</v>
      </c>
      <c r="G148" s="3103" t="str">
        <f t="shared" ref="G148:G158" si="78">IFERROR(J148/D148,"NA")</f>
        <v>NA</v>
      </c>
      <c r="H148" s="3103">
        <f t="shared" ref="H148:H158" si="79">IF(SUM(E148)=0,"NA",K148/E148)</f>
        <v>0.33333333333333343</v>
      </c>
      <c r="I148" s="3103" t="str">
        <f t="shared" si="77"/>
        <v>NA</v>
      </c>
      <c r="J148" s="3227" t="s">
        <v>2146</v>
      </c>
      <c r="K148" s="3227">
        <v>2.4611095611234805E-2</v>
      </c>
      <c r="L148" s="3227">
        <v>1.7347234759768071E-17</v>
      </c>
      <c r="M148" s="3497" t="s">
        <v>2146</v>
      </c>
    </row>
    <row r="149" spans="2:13" ht="18" customHeight="1" x14ac:dyDescent="0.2">
      <c r="B149" s="2616" t="s">
        <v>562</v>
      </c>
      <c r="C149" s="2618" t="s">
        <v>562</v>
      </c>
      <c r="D149" s="3227">
        <v>1.4614626723433045E-3</v>
      </c>
      <c r="E149" s="3227">
        <v>1.0960970042574781E-3</v>
      </c>
      <c r="F149" s="3227" t="s">
        <v>2146</v>
      </c>
      <c r="G149" s="3103" t="str">
        <f t="shared" si="78"/>
        <v>NA</v>
      </c>
      <c r="H149" s="3103">
        <f t="shared" si="79"/>
        <v>0.33333333333333343</v>
      </c>
      <c r="I149" s="3103" t="str">
        <f t="shared" si="77"/>
        <v>NA</v>
      </c>
      <c r="J149" s="3227" t="s">
        <v>2146</v>
      </c>
      <c r="K149" s="3227">
        <v>3.6536566808582612E-4</v>
      </c>
      <c r="L149" s="3227">
        <v>3.2526065174565133E-19</v>
      </c>
      <c r="M149" s="3497" t="s">
        <v>2146</v>
      </c>
    </row>
    <row r="150" spans="2:13" ht="18" customHeight="1" x14ac:dyDescent="0.2">
      <c r="B150" s="2616" t="s">
        <v>563</v>
      </c>
      <c r="C150" s="2618" t="s">
        <v>563</v>
      </c>
      <c r="D150" s="3227">
        <v>1.7816661691313334</v>
      </c>
      <c r="E150" s="3227">
        <v>1.3362496268484998</v>
      </c>
      <c r="F150" s="3227" t="s">
        <v>2146</v>
      </c>
      <c r="G150" s="3103" t="str">
        <f t="shared" si="78"/>
        <v>NA</v>
      </c>
      <c r="H150" s="3103">
        <f t="shared" si="79"/>
        <v>0.33333333333333337</v>
      </c>
      <c r="I150" s="3103" t="str">
        <f t="shared" si="77"/>
        <v>NA</v>
      </c>
      <c r="J150" s="3227" t="s">
        <v>2146</v>
      </c>
      <c r="K150" s="3227">
        <v>0.44541654228283334</v>
      </c>
      <c r="L150" s="3227">
        <v>3.8857805861880479E-16</v>
      </c>
      <c r="M150" s="3497" t="s">
        <v>2146</v>
      </c>
    </row>
    <row r="151" spans="2:13" ht="18" customHeight="1" x14ac:dyDescent="0.2">
      <c r="B151" s="2616" t="s">
        <v>564</v>
      </c>
      <c r="C151" s="2618" t="s">
        <v>564</v>
      </c>
      <c r="D151" s="3227">
        <v>1.9947594809421715E-3</v>
      </c>
      <c r="E151" s="3227">
        <v>1.4960696107066283E-3</v>
      </c>
      <c r="F151" s="3227" t="s">
        <v>2146</v>
      </c>
      <c r="G151" s="3103" t="str">
        <f t="shared" si="78"/>
        <v>NA</v>
      </c>
      <c r="H151" s="3103">
        <f t="shared" si="79"/>
        <v>0.33333333333333343</v>
      </c>
      <c r="I151" s="3103" t="str">
        <f t="shared" si="77"/>
        <v>NA</v>
      </c>
      <c r="J151" s="3227" t="s">
        <v>2146</v>
      </c>
      <c r="K151" s="3227">
        <v>4.9868987023554288E-4</v>
      </c>
      <c r="L151" s="3227">
        <v>3.2526065174565133E-19</v>
      </c>
      <c r="M151" s="3497" t="s">
        <v>2146</v>
      </c>
    </row>
    <row r="152" spans="2:13" ht="18" customHeight="1" x14ac:dyDescent="0.2">
      <c r="B152" s="2616" t="s">
        <v>565</v>
      </c>
      <c r="C152" s="2618" t="s">
        <v>565</v>
      </c>
      <c r="D152" s="3227">
        <v>5.0945355980423566</v>
      </c>
      <c r="E152" s="3227">
        <v>3.8209016985317668</v>
      </c>
      <c r="F152" s="3227" t="s">
        <v>2146</v>
      </c>
      <c r="G152" s="3103" t="str">
        <f t="shared" si="78"/>
        <v>NA</v>
      </c>
      <c r="H152" s="3103">
        <f t="shared" si="79"/>
        <v>0.33333333333333337</v>
      </c>
      <c r="I152" s="3103" t="str">
        <f t="shared" si="77"/>
        <v>NA</v>
      </c>
      <c r="J152" s="3227" t="s">
        <v>2146</v>
      </c>
      <c r="K152" s="3227">
        <v>1.2736338995105891</v>
      </c>
      <c r="L152" s="3227">
        <v>1.1102230246251565E-15</v>
      </c>
      <c r="M152" s="3497" t="s">
        <v>2146</v>
      </c>
    </row>
    <row r="153" spans="2:13" ht="18" customHeight="1" x14ac:dyDescent="0.2">
      <c r="B153" s="2616" t="s">
        <v>567</v>
      </c>
      <c r="C153" s="2618" t="s">
        <v>567</v>
      </c>
      <c r="D153" s="3227">
        <v>0.17053735455703684</v>
      </c>
      <c r="E153" s="3227">
        <v>0.12790301591777761</v>
      </c>
      <c r="F153" s="3227" t="s">
        <v>2146</v>
      </c>
      <c r="G153" s="3103" t="str">
        <f t="shared" si="78"/>
        <v>NA</v>
      </c>
      <c r="H153" s="3103">
        <f t="shared" si="79"/>
        <v>0.33333333333333337</v>
      </c>
      <c r="I153" s="3103" t="str">
        <f t="shared" si="77"/>
        <v>NA</v>
      </c>
      <c r="J153" s="3227" t="s">
        <v>2146</v>
      </c>
      <c r="K153" s="3227">
        <v>4.2634338639259209E-2</v>
      </c>
      <c r="L153" s="3227">
        <v>3.4694469519536142E-17</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v>6.050478794021525E-2</v>
      </c>
      <c r="E155" s="3227">
        <v>4.5378590955161432E-2</v>
      </c>
      <c r="F155" s="3227" t="s">
        <v>2146</v>
      </c>
      <c r="G155" s="3103" t="str">
        <f t="shared" si="78"/>
        <v>NA</v>
      </c>
      <c r="H155" s="3103">
        <f t="shared" si="79"/>
        <v>0.33333333333333337</v>
      </c>
      <c r="I155" s="3103" t="str">
        <f t="shared" si="77"/>
        <v>NA</v>
      </c>
      <c r="J155" s="3227" t="s">
        <v>2146</v>
      </c>
      <c r="K155" s="3227">
        <v>1.5126196985053813E-2</v>
      </c>
      <c r="L155" s="3227">
        <v>1.3877787807814457E-17</v>
      </c>
      <c r="M155" s="3497" t="s">
        <v>2146</v>
      </c>
    </row>
    <row r="156" spans="2:13" ht="18" customHeight="1" x14ac:dyDescent="0.2">
      <c r="B156" s="2616" t="s">
        <v>574</v>
      </c>
      <c r="C156" s="2618" t="s">
        <v>574</v>
      </c>
      <c r="D156" s="3227">
        <v>6.4807000680382447E-6</v>
      </c>
      <c r="E156" s="3227">
        <v>4.8605250510286829E-6</v>
      </c>
      <c r="F156" s="3227" t="s">
        <v>2146</v>
      </c>
      <c r="G156" s="3103" t="str">
        <f t="shared" si="78"/>
        <v>NA</v>
      </c>
      <c r="H156" s="3103">
        <f t="shared" si="79"/>
        <v>0.33333333333333337</v>
      </c>
      <c r="I156" s="3103" t="str">
        <f t="shared" si="77"/>
        <v>NA</v>
      </c>
      <c r="J156" s="3227" t="s">
        <v>2146</v>
      </c>
      <c r="K156" s="3227">
        <v>1.6201750170095612E-6</v>
      </c>
      <c r="L156" s="3227">
        <v>1.2705494208814505E-21</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2.0276201403654643</v>
      </c>
      <c r="K162" s="3233">
        <f t="shared" ref="K162:M162" si="85">IF(SUM(K163,K165,K175)=0,"NO",SUM(K163,K165,K175))</f>
        <v>11.841456602602076</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2.0276201403654643</v>
      </c>
      <c r="K163" s="3230">
        <f t="shared" ref="K163:M163" si="86">K164</f>
        <v>11.225031576292249</v>
      </c>
      <c r="L163" s="3230" t="str">
        <f t="shared" si="86"/>
        <v>NO</v>
      </c>
      <c r="M163" s="3226" t="str">
        <f t="shared" si="86"/>
        <v>NO</v>
      </c>
    </row>
    <row r="164" spans="2:13" ht="18" customHeight="1" x14ac:dyDescent="0.2">
      <c r="B164" s="2616" t="s">
        <v>1621</v>
      </c>
      <c r="C164" s="2618" t="s">
        <v>1621</v>
      </c>
      <c r="D164" s="3235">
        <v>13.51746760243643</v>
      </c>
      <c r="E164" s="3235">
        <v>224.50063152584497</v>
      </c>
      <c r="F164" s="3235" t="s">
        <v>2146</v>
      </c>
      <c r="G164" s="3103">
        <f t="shared" ref="G164" si="87">IF(SUM(D164)=0,"NA",J164/D164)</f>
        <v>0.15</v>
      </c>
      <c r="H164" s="3103">
        <f t="shared" ref="H164" si="88">IF(SUM(E164)=0,"NA",K164/E164)</f>
        <v>0.05</v>
      </c>
      <c r="I164" s="3103" t="str">
        <f t="shared" ref="I164" si="89">IF(SUM(F164)=0,"NA",(SUM(L164:M164))/F164)</f>
        <v>NA</v>
      </c>
      <c r="J164" s="3142">
        <v>2.0276201403654643</v>
      </c>
      <c r="K164" s="3142">
        <v>11.225031576292249</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0.61642502630982676</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0.61642502630982676</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0.61642502630982676</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0.61642502630982676</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919.39740653519459</v>
      </c>
      <c r="D10" s="2500">
        <f t="shared" ref="D10:I10" si="0">IF(SUM(D11,D20,D31:D32,D42:D47)=0,"NO",SUM(D11,D20,D31:D32,D42:D47))</f>
        <v>2542.8701821792915</v>
      </c>
      <c r="E10" s="2500">
        <f t="shared" si="0"/>
        <v>38.335436661842564</v>
      </c>
      <c r="F10" s="2500">
        <f t="shared" si="0"/>
        <v>19.75023552987069</v>
      </c>
      <c r="G10" s="2500">
        <f t="shared" si="0"/>
        <v>332.18476505861963</v>
      </c>
      <c r="H10" s="2915">
        <f t="shared" si="0"/>
        <v>19.377444628419475</v>
      </c>
      <c r="I10" s="2924" t="str">
        <f t="shared" si="0"/>
        <v>NO</v>
      </c>
      <c r="J10" s="2925">
        <f>IF(SUM(C10:E10)=0,"NO",SUM(C10)+28*SUM(D10)+265*SUM(E10))</f>
        <v>82278.653222943627</v>
      </c>
    </row>
    <row r="11" spans="1:10" ht="18" customHeight="1" x14ac:dyDescent="0.2">
      <c r="B11" s="234" t="s">
        <v>694</v>
      </c>
      <c r="C11" s="2926"/>
      <c r="D11" s="2137">
        <f>SUM(D16:D19)</f>
        <v>2289.6462764881235</v>
      </c>
      <c r="E11" s="1929"/>
      <c r="F11" s="1929"/>
      <c r="G11" s="1929"/>
      <c r="H11" s="2927"/>
      <c r="I11" s="2928"/>
      <c r="J11" s="1880">
        <f>IF(SUM(C11:E11)=0,"NO",SUM(C11)+28*SUM(D11)+265*SUM(E11))</f>
        <v>64110.095741667457</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1439.5638683689074</v>
      </c>
      <c r="E16" s="628"/>
      <c r="F16" s="628"/>
      <c r="G16" s="628"/>
      <c r="H16" s="2930"/>
      <c r="I16" s="2931"/>
      <c r="J16" s="2934">
        <f>IF(SUM(C16:E16)=0,"NO",SUM(C16)+28*SUM(D16)+265*SUM(E16))</f>
        <v>40307.788314329409</v>
      </c>
    </row>
    <row r="17" spans="2:10" ht="18" customHeight="1" x14ac:dyDescent="0.2">
      <c r="B17" s="228" t="s">
        <v>699</v>
      </c>
      <c r="C17" s="2936"/>
      <c r="D17" s="2920">
        <f>Table3.A!G24</f>
        <v>837.42635496546154</v>
      </c>
      <c r="E17" s="628"/>
      <c r="F17" s="628"/>
      <c r="G17" s="628"/>
      <c r="H17" s="2930"/>
      <c r="I17" s="2931"/>
      <c r="J17" s="2934">
        <f t="shared" ref="J17:J21" si="1">IF(SUM(C17:E17)=0,"NO",SUM(C17)+28*SUM(D17)+265*SUM(E17))</f>
        <v>23447.937939032923</v>
      </c>
    </row>
    <row r="18" spans="2:10" ht="18" customHeight="1" x14ac:dyDescent="0.2">
      <c r="B18" s="228" t="s">
        <v>700</v>
      </c>
      <c r="C18" s="2936"/>
      <c r="D18" s="2920">
        <f>Table3.A!G27</f>
        <v>3.759076691099613</v>
      </c>
      <c r="E18" s="628"/>
      <c r="F18" s="628"/>
      <c r="G18" s="628"/>
      <c r="H18" s="2930"/>
      <c r="I18" s="2931"/>
      <c r="J18" s="2934">
        <f t="shared" si="1"/>
        <v>105.25414735078917</v>
      </c>
    </row>
    <row r="19" spans="2:10" ht="18" customHeight="1" thickBot="1" x14ac:dyDescent="0.25">
      <c r="B19" s="1297" t="s">
        <v>701</v>
      </c>
      <c r="C19" s="2937"/>
      <c r="D19" s="2500">
        <f>Table3.A!G30</f>
        <v>8.8969764626545746</v>
      </c>
      <c r="E19" s="1923"/>
      <c r="F19" s="1923"/>
      <c r="G19" s="1923"/>
      <c r="H19" s="2938"/>
      <c r="I19" s="2939"/>
      <c r="J19" s="2934">
        <f t="shared" si="1"/>
        <v>249.11534095432808</v>
      </c>
    </row>
    <row r="20" spans="2:10" ht="18" customHeight="1" x14ac:dyDescent="0.2">
      <c r="B20" s="1456" t="s">
        <v>702</v>
      </c>
      <c r="C20" s="2940"/>
      <c r="D20" s="2920">
        <f>IF(SUM(D26:D30)=0,"NO",SUM(D26:D30))</f>
        <v>223.31824091348565</v>
      </c>
      <c r="E20" s="2920">
        <f>IF(SUM(E26:E30)=0,"NO",SUM(E26:E30))</f>
        <v>0.9623384755779818</v>
      </c>
      <c r="F20" s="2134"/>
      <c r="G20" s="2134"/>
      <c r="H20" s="2920" t="str">
        <f>IF(SUM(H26:H30)=0,"NE",SUM(H26:H30))</f>
        <v>NE</v>
      </c>
      <c r="I20" s="2931"/>
      <c r="J20" s="2941">
        <f t="shared" si="1"/>
        <v>6507.9304416057639</v>
      </c>
    </row>
    <row r="21" spans="2:10" ht="18" customHeight="1" x14ac:dyDescent="0.2">
      <c r="B21" s="228" t="s">
        <v>2019</v>
      </c>
      <c r="C21" s="2936"/>
      <c r="D21" s="2920">
        <f>D26</f>
        <v>119.85002520275248</v>
      </c>
      <c r="E21" s="2920">
        <f>E26</f>
        <v>0.40479655425993427</v>
      </c>
      <c r="F21" s="2942"/>
      <c r="G21" s="2942"/>
      <c r="H21" s="2920" t="str">
        <f>H26</f>
        <v>NE</v>
      </c>
      <c r="I21" s="2931"/>
      <c r="J21" s="2934">
        <f t="shared" si="1"/>
        <v>3463.071792555952</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119.85002520275248</v>
      </c>
      <c r="E26" s="2920">
        <f>'Table3.B(b)'!X15</f>
        <v>0.40479655425993427</v>
      </c>
      <c r="F26" s="628"/>
      <c r="G26" s="628"/>
      <c r="H26" s="2944" t="s">
        <v>2154</v>
      </c>
      <c r="I26" s="2931"/>
      <c r="J26" s="2934">
        <f t="shared" ref="J26:J48" si="2">IF(SUM(C26:E26)=0,"NO",SUM(C26)+28*SUM(D26)+265*SUM(E26))</f>
        <v>3463.071792555952</v>
      </c>
    </row>
    <row r="27" spans="2:10" ht="18" customHeight="1" x14ac:dyDescent="0.2">
      <c r="B27" s="228" t="s">
        <v>705</v>
      </c>
      <c r="C27" s="2936"/>
      <c r="D27" s="2920">
        <f>'Table3.B(a)'!K24</f>
        <v>43.192070208163038</v>
      </c>
      <c r="E27" s="2920" t="str">
        <f>'Table3.B(b)'!X24</f>
        <v>NA</v>
      </c>
      <c r="F27" s="2942"/>
      <c r="G27" s="2942"/>
      <c r="H27" s="2944" t="s">
        <v>2154</v>
      </c>
      <c r="I27" s="2931"/>
      <c r="J27" s="2934">
        <f t="shared" si="2"/>
        <v>1209.377965828565</v>
      </c>
    </row>
    <row r="28" spans="2:10" ht="18" customHeight="1" x14ac:dyDescent="0.2">
      <c r="B28" s="228" t="s">
        <v>706</v>
      </c>
      <c r="C28" s="2936"/>
      <c r="D28" s="2920">
        <f>'Table3.B(a)'!K27</f>
        <v>57.447345119711656</v>
      </c>
      <c r="E28" s="2920">
        <f>'Table3.B(b)'!X27</f>
        <v>0.11504494390321941</v>
      </c>
      <c r="F28" s="2942"/>
      <c r="G28" s="2942"/>
      <c r="H28" s="2944" t="s">
        <v>2154</v>
      </c>
      <c r="I28" s="2931"/>
      <c r="J28" s="2934">
        <f t="shared" si="2"/>
        <v>1639.0125734862795</v>
      </c>
    </row>
    <row r="29" spans="2:10" ht="18" customHeight="1" x14ac:dyDescent="0.2">
      <c r="B29" s="228" t="s">
        <v>707</v>
      </c>
      <c r="C29" s="2936"/>
      <c r="D29" s="2920">
        <f>'Table3.B(a)'!K30</f>
        <v>2.8288003828584749</v>
      </c>
      <c r="E29" s="2920">
        <f>'Table3.B(b)'!X30</f>
        <v>0.20689292906029369</v>
      </c>
      <c r="F29" s="2942"/>
      <c r="G29" s="2942"/>
      <c r="H29" s="2944" t="s">
        <v>2154</v>
      </c>
      <c r="I29" s="2931"/>
      <c r="J29" s="2934">
        <f t="shared" si="2"/>
        <v>134.03303692101514</v>
      </c>
    </row>
    <row r="30" spans="2:10" ht="18" customHeight="1" thickBot="1" x14ac:dyDescent="0.25">
      <c r="B30" s="1297" t="s">
        <v>708</v>
      </c>
      <c r="C30" s="2945"/>
      <c r="D30" s="2946"/>
      <c r="E30" s="2947">
        <f>SUM('Table3.B(b)'!Y46:Z46)</f>
        <v>0.23560404835453447</v>
      </c>
      <c r="F30" s="2948"/>
      <c r="G30" s="2948"/>
      <c r="H30" s="2949"/>
      <c r="I30" s="2950"/>
      <c r="J30" s="2934">
        <f t="shared" si="2"/>
        <v>62.435072813951635</v>
      </c>
    </row>
    <row r="31" spans="2:10" ht="18" customHeight="1" thickBot="1" x14ac:dyDescent="0.25">
      <c r="B31" s="2639" t="s">
        <v>709</v>
      </c>
      <c r="C31" s="2951"/>
      <c r="D31" s="2952">
        <f>Table3.C!G11</f>
        <v>21.388106699256326</v>
      </c>
      <c r="E31" s="2953"/>
      <c r="F31" s="2953"/>
      <c r="G31" s="2953"/>
      <c r="H31" s="2954" t="s">
        <v>2154</v>
      </c>
      <c r="I31" s="2955"/>
      <c r="J31" s="2956">
        <f t="shared" si="2"/>
        <v>598.86698757917713</v>
      </c>
    </row>
    <row r="32" spans="2:10" ht="18" customHeight="1" x14ac:dyDescent="0.2">
      <c r="B32" s="2638" t="s">
        <v>2020</v>
      </c>
      <c r="C32" s="2957"/>
      <c r="D32" s="2958" t="s">
        <v>2154</v>
      </c>
      <c r="E32" s="2958">
        <f>IF(SUM(E33,E41)=0,"NO",SUM(E33,E41))</f>
        <v>37.031251459494982</v>
      </c>
      <c r="F32" s="2958" t="str">
        <f>IF(SUM(F33,F41)=0,"NO",SUM(F33,F41))</f>
        <v>NO</v>
      </c>
      <c r="G32" s="2958" t="str">
        <f>IF(SUM(G33,G41)=0,"NO",SUM(G33,G41))</f>
        <v>NO</v>
      </c>
      <c r="H32" s="2958" t="str">
        <f>IF(SUM(H33,H41)=0,"NO",SUM(H33,H41))</f>
        <v>NO</v>
      </c>
      <c r="I32" s="2959"/>
      <c r="J32" s="2960">
        <f t="shared" si="2"/>
        <v>9813.2816367661708</v>
      </c>
    </row>
    <row r="33" spans="2:10" ht="18" customHeight="1" x14ac:dyDescent="0.2">
      <c r="B33" s="228" t="s">
        <v>710</v>
      </c>
      <c r="C33" s="2961"/>
      <c r="D33" s="2962" t="s">
        <v>2154</v>
      </c>
      <c r="E33" s="2962">
        <f>IF(SUM(E34:E40)=0,"NO",SUM(E34:E40))</f>
        <v>27.657093219387505</v>
      </c>
      <c r="F33" s="2962" t="str">
        <f>IF(SUM(F34:F40)=0,"NO",SUM(F34:F40))</f>
        <v>NO</v>
      </c>
      <c r="G33" s="2962" t="str">
        <f>IF(SUM(G34:G40)=0,"NO",SUM(G34:G40))</f>
        <v>NO</v>
      </c>
      <c r="H33" s="2962" t="str">
        <f>IF(SUM(H34:H40)=0,"NO",SUM(H34:H40))</f>
        <v>NO</v>
      </c>
      <c r="I33" s="2931"/>
      <c r="J33" s="2963">
        <f t="shared" si="2"/>
        <v>7329.1297031376889</v>
      </c>
    </row>
    <row r="34" spans="2:10" ht="18" customHeight="1" x14ac:dyDescent="0.2">
      <c r="B34" s="232" t="s">
        <v>711</v>
      </c>
      <c r="C34" s="2961"/>
      <c r="D34" s="2905" t="s">
        <v>2154</v>
      </c>
      <c r="E34" s="2962">
        <f>Table3.D!F11</f>
        <v>4.7355411500216675</v>
      </c>
      <c r="F34" s="2964" t="s">
        <v>2147</v>
      </c>
      <c r="G34" s="2964" t="s">
        <v>2147</v>
      </c>
      <c r="H34" s="2964" t="s">
        <v>2147</v>
      </c>
      <c r="I34" s="2931"/>
      <c r="J34" s="2963">
        <f t="shared" si="2"/>
        <v>1254.9184047557419</v>
      </c>
    </row>
    <row r="35" spans="2:10" ht="18" customHeight="1" x14ac:dyDescent="0.2">
      <c r="B35" s="232" t="s">
        <v>712</v>
      </c>
      <c r="C35" s="2961"/>
      <c r="D35" s="2905" t="s">
        <v>2154</v>
      </c>
      <c r="E35" s="2962">
        <f>Table3.D!F12</f>
        <v>1.0512765894944902</v>
      </c>
      <c r="F35" s="2964" t="s">
        <v>2147</v>
      </c>
      <c r="G35" s="2964" t="s">
        <v>2147</v>
      </c>
      <c r="H35" s="2965" t="s">
        <v>2147</v>
      </c>
      <c r="I35" s="2931"/>
      <c r="J35" s="2963">
        <f t="shared" si="2"/>
        <v>278.58829621603991</v>
      </c>
    </row>
    <row r="36" spans="2:10" ht="18" customHeight="1" x14ac:dyDescent="0.2">
      <c r="B36" s="232" t="s">
        <v>713</v>
      </c>
      <c r="C36" s="2961"/>
      <c r="D36" s="2905" t="s">
        <v>2154</v>
      </c>
      <c r="E36" s="2962">
        <f>Table3.D!F16</f>
        <v>12.482236094215478</v>
      </c>
      <c r="F36" s="2964" t="s">
        <v>2147</v>
      </c>
      <c r="G36" s="2964" t="s">
        <v>2147</v>
      </c>
      <c r="H36" s="2965" t="s">
        <v>2147</v>
      </c>
      <c r="I36" s="2931"/>
      <c r="J36" s="2963">
        <f t="shared" si="2"/>
        <v>3307.792564967102</v>
      </c>
    </row>
    <row r="37" spans="2:10" ht="18" customHeight="1" x14ac:dyDescent="0.2">
      <c r="B37" s="232" t="s">
        <v>714</v>
      </c>
      <c r="C37" s="2961"/>
      <c r="D37" s="2905" t="s">
        <v>2154</v>
      </c>
      <c r="E37" s="2962">
        <f>Table3.D!F17</f>
        <v>8.6863561759878163</v>
      </c>
      <c r="F37" s="2964" t="s">
        <v>2147</v>
      </c>
      <c r="G37" s="2964" t="s">
        <v>2147</v>
      </c>
      <c r="H37" s="2965" t="s">
        <v>2147</v>
      </c>
      <c r="I37" s="2931"/>
      <c r="J37" s="2963">
        <f t="shared" si="2"/>
        <v>2301.8843866367715</v>
      </c>
    </row>
    <row r="38" spans="2:10" ht="18" customHeight="1" x14ac:dyDescent="0.2">
      <c r="B38" s="1705" t="s">
        <v>715</v>
      </c>
      <c r="C38" s="2961"/>
      <c r="D38" s="2905" t="s">
        <v>2154</v>
      </c>
      <c r="E38" s="2962">
        <f>Table3.D!F18</f>
        <v>0.61368320966805501</v>
      </c>
      <c r="F38" s="2964" t="s">
        <v>2147</v>
      </c>
      <c r="G38" s="2964" t="s">
        <v>2147</v>
      </c>
      <c r="H38" s="2965" t="s">
        <v>2147</v>
      </c>
      <c r="I38" s="2931"/>
      <c r="J38" s="2963">
        <f t="shared" si="2"/>
        <v>162.62605056203458</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9.3741582401074766</v>
      </c>
      <c r="F41" s="2969" t="s">
        <v>2147</v>
      </c>
      <c r="G41" s="2969" t="s">
        <v>2147</v>
      </c>
      <c r="H41" s="2970" t="s">
        <v>2147</v>
      </c>
      <c r="I41" s="2971"/>
      <c r="J41" s="2972">
        <f t="shared" si="2"/>
        <v>2484.1519336284814</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8.5175580784261431</v>
      </c>
      <c r="E43" s="2979">
        <f>SUM(Table3.F!J10,Table3.F!J20,Table3.F!J23,Table3.F!J26:J27)</f>
        <v>0.34184672676960448</v>
      </c>
      <c r="F43" s="2909">
        <v>19.75023552987069</v>
      </c>
      <c r="G43" s="2909">
        <v>332.18476505861963</v>
      </c>
      <c r="H43" s="2910">
        <v>19.377444628419475</v>
      </c>
      <c r="I43" s="2980" t="s">
        <v>2146</v>
      </c>
      <c r="J43" s="2981">
        <f t="shared" si="2"/>
        <v>329.08100878987722</v>
      </c>
    </row>
    <row r="44" spans="2:10" ht="18" customHeight="1" thickBot="1" x14ac:dyDescent="0.25">
      <c r="B44" s="2641" t="s">
        <v>721</v>
      </c>
      <c r="C44" s="2982">
        <f>'Table3.G-J'!E10</f>
        <v>439.54233407142647</v>
      </c>
      <c r="D44" s="2983"/>
      <c r="E44" s="2983"/>
      <c r="F44" s="2983"/>
      <c r="G44" s="2983"/>
      <c r="H44" s="2984"/>
      <c r="I44" s="2985"/>
      <c r="J44" s="2981">
        <f t="shared" si="2"/>
        <v>439.54233407142647</v>
      </c>
    </row>
    <row r="45" spans="2:10" ht="18" customHeight="1" thickBot="1" x14ac:dyDescent="0.25">
      <c r="B45" s="2641" t="s">
        <v>722</v>
      </c>
      <c r="C45" s="2982">
        <f>'Table3.G-J'!E13</f>
        <v>479.85507246376812</v>
      </c>
      <c r="D45" s="2983"/>
      <c r="E45" s="2983"/>
      <c r="F45" s="2983"/>
      <c r="G45" s="2983"/>
      <c r="H45" s="2984"/>
      <c r="I45" s="2985"/>
      <c r="J45" s="2981">
        <f t="shared" si="2"/>
        <v>479.85507246376812</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25731.221000000001</v>
      </c>
      <c r="D10" s="3241"/>
      <c r="E10" s="3241"/>
      <c r="F10" s="3131">
        <f>IF(SUM(C10)=0,"NA",G10*1000/C10)</f>
        <v>55.946193473248208</v>
      </c>
      <c r="G10" s="3242">
        <f>G15</f>
        <v>1439.5638683689074</v>
      </c>
      <c r="I10" s="275" t="s">
        <v>738</v>
      </c>
      <c r="J10" s="276" t="s">
        <v>739</v>
      </c>
      <c r="K10" s="691">
        <v>447.58733572059498</v>
      </c>
      <c r="L10" s="691">
        <v>363.10027196616397</v>
      </c>
      <c r="M10" s="3147">
        <v>537.09734513274304</v>
      </c>
      <c r="N10" s="3147">
        <v>46.2985459349268</v>
      </c>
      <c r="O10" s="2911">
        <v>55.3763550481154</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12.7677140153806</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25731.221000000001</v>
      </c>
      <c r="D15" s="3248"/>
      <c r="E15" s="3248"/>
      <c r="F15" s="3131">
        <f>IF(SUM(C15)=0,"NA",G15*1000/C15)</f>
        <v>55.946193473248208</v>
      </c>
      <c r="G15" s="3249">
        <f>G20</f>
        <v>1439.5638683689074</v>
      </c>
      <c r="I15" s="1777" t="s">
        <v>748</v>
      </c>
      <c r="J15" s="1849" t="s">
        <v>297</v>
      </c>
      <c r="K15" s="3445">
        <v>75</v>
      </c>
      <c r="L15" s="3445">
        <v>58.2382113556801</v>
      </c>
      <c r="M15" s="1560">
        <v>80.519391468367701</v>
      </c>
      <c r="N15" s="1560">
        <v>66.255703526236104</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1439.5638683689074</v>
      </c>
      <c r="I20" s="72"/>
      <c r="J20" s="288"/>
      <c r="K20" s="288"/>
      <c r="L20" s="288"/>
      <c r="M20" s="288"/>
      <c r="N20" s="288"/>
      <c r="O20" s="288"/>
    </row>
    <row r="21" spans="2:15" ht="18" customHeight="1" x14ac:dyDescent="0.2">
      <c r="B21" s="2633" t="s">
        <v>2196</v>
      </c>
      <c r="C21" s="3272">
        <v>2740.0940000000001</v>
      </c>
      <c r="D21" s="3257">
        <v>219.69078889755301</v>
      </c>
      <c r="E21" s="3257">
        <v>6.1490623493153898</v>
      </c>
      <c r="F21" s="3131">
        <f t="shared" ref="F21:F30" si="0">IF(SUM(C21)=0,"NA",G21*1000/C21)</f>
        <v>89.29295741633247</v>
      </c>
      <c r="G21" s="3239">
        <v>244.67109685874809</v>
      </c>
      <c r="I21" s="72"/>
      <c r="J21" s="288"/>
      <c r="K21" s="288"/>
      <c r="L21" s="288"/>
      <c r="M21" s="288"/>
      <c r="N21" s="288"/>
      <c r="O21" s="288"/>
    </row>
    <row r="22" spans="2:15" ht="18" customHeight="1" x14ac:dyDescent="0.2">
      <c r="B22" s="2633" t="s">
        <v>2197</v>
      </c>
      <c r="C22" s="3272">
        <v>22544.94</v>
      </c>
      <c r="D22" s="3257">
        <v>125.695621230317</v>
      </c>
      <c r="E22" s="3257">
        <v>6.21225</v>
      </c>
      <c r="F22" s="3131">
        <f t="shared" si="0"/>
        <v>51.61376450886052</v>
      </c>
      <c r="G22" s="3239">
        <v>1163.6292240263899</v>
      </c>
      <c r="I22" s="72"/>
      <c r="J22" s="288"/>
      <c r="K22" s="288"/>
      <c r="L22" s="288"/>
      <c r="M22" s="288"/>
      <c r="N22" s="288"/>
      <c r="O22" s="288"/>
    </row>
    <row r="23" spans="2:15" ht="18" customHeight="1" x14ac:dyDescent="0.2">
      <c r="B23" s="2633" t="s">
        <v>2198</v>
      </c>
      <c r="C23" s="3272">
        <v>446.18700000000001</v>
      </c>
      <c r="D23" s="3257">
        <v>206.49252170512301</v>
      </c>
      <c r="E23" s="3257">
        <v>5.1335827950392101</v>
      </c>
      <c r="F23" s="3131">
        <f t="shared" si="0"/>
        <v>70.068261701415082</v>
      </c>
      <c r="G23" s="3239">
        <v>31.263547483769294</v>
      </c>
      <c r="I23" s="72"/>
      <c r="J23" s="288"/>
      <c r="K23" s="288"/>
      <c r="L23" s="288"/>
      <c r="M23" s="288"/>
      <c r="N23" s="288"/>
      <c r="O23" s="288"/>
    </row>
    <row r="24" spans="2:15" ht="18" customHeight="1" x14ac:dyDescent="0.2">
      <c r="B24" s="287" t="s">
        <v>753</v>
      </c>
      <c r="C24" s="2635">
        <f>C25</f>
        <v>120861.692</v>
      </c>
      <c r="D24" s="3258"/>
      <c r="E24" s="3258"/>
      <c r="F24" s="3131">
        <f t="shared" si="0"/>
        <v>6.9287988700792109</v>
      </c>
      <c r="G24" s="3128">
        <f>G25</f>
        <v>837.42635496546154</v>
      </c>
      <c r="I24" s="72"/>
    </row>
    <row r="25" spans="2:15" ht="18" customHeight="1" x14ac:dyDescent="0.2">
      <c r="B25" s="282" t="s">
        <v>754</v>
      </c>
      <c r="C25" s="2635">
        <f>C26</f>
        <v>120861.692</v>
      </c>
      <c r="D25" s="3258"/>
      <c r="E25" s="3258"/>
      <c r="F25" s="3131">
        <f t="shared" si="0"/>
        <v>6.9287988700792109</v>
      </c>
      <c r="G25" s="3128">
        <f>G26</f>
        <v>837.42635496546154</v>
      </c>
    </row>
    <row r="26" spans="2:15" ht="18" customHeight="1" x14ac:dyDescent="0.2">
      <c r="B26" s="2634" t="s">
        <v>2201</v>
      </c>
      <c r="C26" s="289">
        <v>120861.692</v>
      </c>
      <c r="D26" s="3259">
        <v>17.0327337816172</v>
      </c>
      <c r="E26" s="3259">
        <v>6.1542783380234498</v>
      </c>
      <c r="F26" s="3131">
        <f t="shared" si="0"/>
        <v>6.9287988700792109</v>
      </c>
      <c r="G26" s="3240">
        <v>837.42635496546154</v>
      </c>
    </row>
    <row r="27" spans="2:15" ht="18" customHeight="1" x14ac:dyDescent="0.2">
      <c r="B27" s="287" t="s">
        <v>755</v>
      </c>
      <c r="C27" s="2635">
        <f>C28</f>
        <v>2652.8130000000001</v>
      </c>
      <c r="D27" s="3258"/>
      <c r="E27" s="3258"/>
      <c r="F27" s="3131">
        <f t="shared" si="0"/>
        <v>1.4170153309334705</v>
      </c>
      <c r="G27" s="3128">
        <f>G28</f>
        <v>3.759076691099613</v>
      </c>
    </row>
    <row r="28" spans="2:15" ht="18" customHeight="1" x14ac:dyDescent="0.2">
      <c r="B28" s="282" t="s">
        <v>756</v>
      </c>
      <c r="C28" s="2635">
        <f>C29</f>
        <v>2652.8130000000001</v>
      </c>
      <c r="D28" s="3258"/>
      <c r="E28" s="3258"/>
      <c r="F28" s="3131">
        <f t="shared" si="0"/>
        <v>1.4170153309334705</v>
      </c>
      <c r="G28" s="3128">
        <f>G29</f>
        <v>3.759076691099613</v>
      </c>
    </row>
    <row r="29" spans="2:15" ht="18" customHeight="1" x14ac:dyDescent="0.2">
      <c r="B29" s="2634" t="s">
        <v>817</v>
      </c>
      <c r="C29" s="289">
        <v>2652.8130000000001</v>
      </c>
      <c r="D29" s="3259">
        <v>30.625278502601301</v>
      </c>
      <c r="E29" s="3259">
        <v>0.7</v>
      </c>
      <c r="F29" s="3131">
        <f t="shared" si="0"/>
        <v>1.4170153309334705</v>
      </c>
      <c r="G29" s="3240">
        <v>3.759076691099613</v>
      </c>
    </row>
    <row r="30" spans="2:15" ht="18" customHeight="1" x14ac:dyDescent="0.2">
      <c r="B30" s="287" t="s">
        <v>757</v>
      </c>
      <c r="C30" s="2635">
        <f>SUM(C32:C39)</f>
        <v>47120.811000000009</v>
      </c>
      <c r="D30" s="3258"/>
      <c r="E30" s="3258"/>
      <c r="F30" s="3131">
        <f t="shared" si="0"/>
        <v>0.18881204023959972</v>
      </c>
      <c r="G30" s="3128">
        <f>SUM(G32:G39)</f>
        <v>8.8969764626545746</v>
      </c>
    </row>
    <row r="31" spans="2:15" ht="18" customHeight="1" x14ac:dyDescent="0.2">
      <c r="B31" s="1305" t="s">
        <v>345</v>
      </c>
      <c r="C31" s="3273"/>
      <c r="D31" s="3261"/>
      <c r="E31" s="3261"/>
      <c r="F31" s="3261"/>
      <c r="G31" s="3262"/>
    </row>
    <row r="32" spans="2:15" ht="18" customHeight="1" x14ac:dyDescent="0.2">
      <c r="B32" s="286" t="s">
        <v>758</v>
      </c>
      <c r="C32" s="3267">
        <v>10.88</v>
      </c>
      <c r="D32" s="3263" t="s">
        <v>2147</v>
      </c>
      <c r="E32" s="3263" t="s">
        <v>2147</v>
      </c>
      <c r="F32" s="3131">
        <f t="shared" ref="F32:F40" si="1">IF(SUM(C32)=0,"NA",G32*1000/C32)</f>
        <v>76</v>
      </c>
      <c r="G32" s="3239">
        <v>0.82687999999999995</v>
      </c>
    </row>
    <row r="33" spans="2:7" ht="18" customHeight="1" x14ac:dyDescent="0.2">
      <c r="B33" s="286" t="s">
        <v>759</v>
      </c>
      <c r="C33" s="3267">
        <v>1.0680000000000001</v>
      </c>
      <c r="D33" s="3263" t="s">
        <v>2147</v>
      </c>
      <c r="E33" s="3263" t="s">
        <v>2147</v>
      </c>
      <c r="F33" s="3131">
        <f t="shared" si="1"/>
        <v>45.983632958801493</v>
      </c>
      <c r="G33" s="3239">
        <v>4.9110519999999998E-2</v>
      </c>
    </row>
    <row r="34" spans="2:7" ht="18" customHeight="1" x14ac:dyDescent="0.2">
      <c r="B34" s="286" t="s">
        <v>760</v>
      </c>
      <c r="C34" s="3267">
        <v>144.28100000000001</v>
      </c>
      <c r="D34" s="3263" t="s">
        <v>2147</v>
      </c>
      <c r="E34" s="3263" t="s">
        <v>2147</v>
      </c>
      <c r="F34" s="3131">
        <f t="shared" si="1"/>
        <v>19.999999999999996</v>
      </c>
      <c r="G34" s="3239">
        <v>2.8856199999999994</v>
      </c>
    </row>
    <row r="35" spans="2:7" ht="18" customHeight="1" x14ac:dyDescent="0.2">
      <c r="B35" s="286" t="s">
        <v>761</v>
      </c>
      <c r="C35" s="3267">
        <v>132.81899999999999</v>
      </c>
      <c r="D35" s="3263" t="s">
        <v>2147</v>
      </c>
      <c r="E35" s="3263" t="s">
        <v>2147</v>
      </c>
      <c r="F35" s="3131">
        <f t="shared" si="1"/>
        <v>5.00000506544158</v>
      </c>
      <c r="G35" s="3239">
        <v>0.66409567278688519</v>
      </c>
    </row>
    <row r="36" spans="2:7" ht="18" customHeight="1" x14ac:dyDescent="0.2">
      <c r="B36" s="286" t="s">
        <v>762</v>
      </c>
      <c r="C36" s="3267">
        <v>237.685</v>
      </c>
      <c r="D36" s="3263" t="s">
        <v>2147</v>
      </c>
      <c r="E36" s="3263" t="s">
        <v>2147</v>
      </c>
      <c r="F36" s="3131">
        <f t="shared" si="1"/>
        <v>17.999980589610033</v>
      </c>
      <c r="G36" s="3239">
        <v>4.2783253864414608</v>
      </c>
    </row>
    <row r="37" spans="2:7" ht="18" customHeight="1" x14ac:dyDescent="0.2">
      <c r="B37" s="286" t="s">
        <v>763</v>
      </c>
      <c r="C37" s="3267">
        <v>1.599</v>
      </c>
      <c r="D37" s="3263" t="s">
        <v>2147</v>
      </c>
      <c r="E37" s="3263" t="s">
        <v>2147</v>
      </c>
      <c r="F37" s="3131">
        <f t="shared" si="1"/>
        <v>10.001097202144784</v>
      </c>
      <c r="G37" s="3239">
        <v>1.599175442622951E-2</v>
      </c>
    </row>
    <row r="38" spans="2:7" ht="18" customHeight="1" x14ac:dyDescent="0.2">
      <c r="B38" s="286" t="s">
        <v>764</v>
      </c>
      <c r="C38" s="3274">
        <v>46558.16</v>
      </c>
      <c r="D38" s="3263" t="s">
        <v>2147</v>
      </c>
      <c r="E38" s="3263" t="s">
        <v>2147</v>
      </c>
      <c r="F38" s="3131" t="s">
        <v>2147</v>
      </c>
      <c r="G38" s="3264" t="s">
        <v>2154</v>
      </c>
    </row>
    <row r="39" spans="2:7" ht="18" customHeight="1" x14ac:dyDescent="0.2">
      <c r="B39" s="286" t="s">
        <v>765</v>
      </c>
      <c r="C39" s="2635">
        <f>SUM(C40:C44)</f>
        <v>34.318999999999996</v>
      </c>
      <c r="D39" s="3258"/>
      <c r="E39" s="3258"/>
      <c r="F39" s="3131">
        <f t="shared" si="1"/>
        <v>5.1561271890206601</v>
      </c>
      <c r="G39" s="3128">
        <f>SUM(G40:G44)</f>
        <v>0.17695312900000001</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32.533999999999999</v>
      </c>
      <c r="D42" s="2967" t="s">
        <v>2147</v>
      </c>
      <c r="E42" s="2967" t="s">
        <v>2147</v>
      </c>
      <c r="F42" s="3131">
        <f t="shared" si="2"/>
        <v>5.0000683899920082</v>
      </c>
      <c r="G42" s="3201">
        <v>0.162672225</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1.7849999999999999</v>
      </c>
      <c r="D44" s="3258"/>
      <c r="E44" s="3258"/>
      <c r="F44" s="3131">
        <f>IF(SUM(C44)=0,"NA",G44*1000/C44)</f>
        <v>8.0005064425770325</v>
      </c>
      <c r="G44" s="3128">
        <f>G45</f>
        <v>1.4280904000000001E-2</v>
      </c>
    </row>
    <row r="45" spans="2:7" ht="18" customHeight="1" thickBot="1" x14ac:dyDescent="0.25">
      <c r="B45" s="2636" t="s">
        <v>2199</v>
      </c>
      <c r="C45" s="3276">
        <v>1.7849999999999999</v>
      </c>
      <c r="D45" s="3137" t="s">
        <v>2147</v>
      </c>
      <c r="E45" s="3137" t="s">
        <v>2147</v>
      </c>
      <c r="F45" s="3265">
        <f>IF(SUM(C45)=0,"NA",G45*1000/C45)</f>
        <v>8.0005064425770325</v>
      </c>
      <c r="G45" s="3203">
        <v>1.4280904000000001E-2</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25731.221000000001</v>
      </c>
      <c r="D10" s="2942"/>
      <c r="E10" s="2942"/>
      <c r="F10" s="2942"/>
      <c r="G10" s="2942"/>
      <c r="H10" s="2942"/>
      <c r="I10" s="3279"/>
      <c r="J10" s="3280">
        <f>IF(SUM(C10)=0,"NA",K10*1000/C10)</f>
        <v>4.6577667341457474</v>
      </c>
      <c r="K10" s="3281">
        <f>K15</f>
        <v>119.85002520275248</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25731.221000000001</v>
      </c>
      <c r="D15" s="3293"/>
      <c r="E15" s="3293"/>
      <c r="F15" s="3293"/>
      <c r="G15" s="3293"/>
      <c r="H15" s="3293"/>
      <c r="I15" s="3288"/>
      <c r="J15" s="3287">
        <f>IF(SUM(C15)=0,"NA",K15*1000/C15)</f>
        <v>4.6577667341457474</v>
      </c>
      <c r="K15" s="3281">
        <f>SUM(K17:K20)</f>
        <v>119.85002520275248</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25731.221000000001</v>
      </c>
      <c r="D20" s="3293"/>
      <c r="E20" s="3293"/>
      <c r="F20" s="3293"/>
      <c r="G20" s="3293"/>
      <c r="H20" s="3293"/>
      <c r="I20" s="3288"/>
      <c r="J20" s="3301">
        <f>IF(SUM(C20)=0,"NA",K20*1000/C20)</f>
        <v>4.6577667341457474</v>
      </c>
      <c r="K20" s="3281">
        <f>SUM(K21:K23)</f>
        <v>119.85002520275248</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2740.0940000000001</v>
      </c>
      <c r="D21" s="3325">
        <v>6.7710450809351803</v>
      </c>
      <c r="E21" s="3325">
        <v>93.175161144106724</v>
      </c>
      <c r="F21" s="3325">
        <v>5.3793774958089999E-2</v>
      </c>
      <c r="G21" s="3298">
        <f>Table3.A!K10</f>
        <v>447.58733572059498</v>
      </c>
      <c r="H21" s="3299">
        <v>3.15458230840408</v>
      </c>
      <c r="I21" s="3300">
        <v>0.24</v>
      </c>
      <c r="J21" s="3301">
        <f>IF(SUM(C21)=0,"NA",K21*1000/C21)</f>
        <v>8.4340477464572974</v>
      </c>
      <c r="K21" s="3277">
        <v>23.110083625781161</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22544.94</v>
      </c>
      <c r="D22" s="3325" t="s">
        <v>2146</v>
      </c>
      <c r="E22" s="3325">
        <v>89.239498006066697</v>
      </c>
      <c r="F22" s="3325">
        <v>10.7605019939333</v>
      </c>
      <c r="G22" s="3298">
        <f>Table3.A!L10</f>
        <v>363.10027196616397</v>
      </c>
      <c r="H22" s="3299" t="s">
        <v>2147</v>
      </c>
      <c r="I22" s="3300" t="s">
        <v>2147</v>
      </c>
      <c r="J22" s="3301">
        <f t="shared" ref="J22:J45" si="0">IF(SUM(C22)=0,"NA",K22*1000/C22)</f>
        <v>4.2255760834995089</v>
      </c>
      <c r="K22" s="3277">
        <v>95.265359267931416</v>
      </c>
      <c r="M22" s="1594" t="s">
        <v>800</v>
      </c>
      <c r="N22" s="4486" t="s">
        <v>2196</v>
      </c>
      <c r="O22" s="1690" t="s">
        <v>802</v>
      </c>
      <c r="P22" s="1691" t="s">
        <v>791</v>
      </c>
      <c r="Q22" s="3774">
        <v>3.4550004839180701</v>
      </c>
      <c r="R22" s="300" t="s">
        <v>2146</v>
      </c>
      <c r="S22" s="3772">
        <v>5.6929541422886603</v>
      </c>
      <c r="T22" s="3772">
        <v>0.78852992281772694</v>
      </c>
      <c r="U22" s="3772" t="s">
        <v>2146</v>
      </c>
      <c r="V22" s="3772" t="s">
        <v>2153</v>
      </c>
      <c r="W22" s="3772" t="s">
        <v>2146</v>
      </c>
      <c r="X22" s="3772">
        <v>90.063515450975601</v>
      </c>
      <c r="Y22" s="301" t="s">
        <v>2146</v>
      </c>
      <c r="Z22" s="301" t="s">
        <v>2146</v>
      </c>
      <c r="AA22" s="301" t="s">
        <v>2146</v>
      </c>
      <c r="AB22" s="1306" t="s">
        <v>2146</v>
      </c>
    </row>
    <row r="23" spans="2:28" s="84" customFormat="1" ht="18" customHeight="1" x14ac:dyDescent="0.2">
      <c r="B23" s="2642" t="s">
        <v>2198</v>
      </c>
      <c r="C23" s="3325">
        <f>Table3.A!C23</f>
        <v>446.18700000000001</v>
      </c>
      <c r="D23" s="3325" t="s">
        <v>2146</v>
      </c>
      <c r="E23" s="3325">
        <v>100</v>
      </c>
      <c r="F23" s="3325" t="s">
        <v>2146</v>
      </c>
      <c r="G23" s="3298">
        <f>Table3.A!M10</f>
        <v>537.09734513274304</v>
      </c>
      <c r="H23" s="3299">
        <v>1.7598874912706</v>
      </c>
      <c r="I23" s="3300">
        <v>0.19</v>
      </c>
      <c r="J23" s="3301">
        <f t="shared" si="0"/>
        <v>3.3048526941392309</v>
      </c>
      <c r="K23" s="3277">
        <v>1.4745823090399011</v>
      </c>
      <c r="M23" s="1664" t="s">
        <v>813</v>
      </c>
      <c r="N23" s="4487"/>
      <c r="O23" s="1692" t="s">
        <v>794</v>
      </c>
      <c r="P23" s="1693" t="s">
        <v>792</v>
      </c>
      <c r="Q23" s="3776">
        <v>4.2425630716800402</v>
      </c>
      <c r="R23" s="277" t="s">
        <v>2146</v>
      </c>
      <c r="S23" s="691">
        <v>5.1774194411621801</v>
      </c>
      <c r="T23" s="3147">
        <v>1.0472817588458805</v>
      </c>
      <c r="U23" s="3147" t="s">
        <v>2146</v>
      </c>
      <c r="V23" s="3147" t="s">
        <v>2153</v>
      </c>
      <c r="W23" s="3147" t="s">
        <v>2146</v>
      </c>
      <c r="X23" s="3147">
        <v>89.532735728311906</v>
      </c>
      <c r="Y23" s="278" t="s">
        <v>2146</v>
      </c>
      <c r="Z23" s="278" t="s">
        <v>2146</v>
      </c>
      <c r="AA23" s="278" t="s">
        <v>2146</v>
      </c>
      <c r="AB23" s="279" t="s">
        <v>2146</v>
      </c>
    </row>
    <row r="24" spans="2:28" s="84" customFormat="1" ht="18" customHeight="1" thickBot="1" x14ac:dyDescent="0.25">
      <c r="B24" s="1643" t="s">
        <v>811</v>
      </c>
      <c r="C24" s="4184">
        <f>C25</f>
        <v>120861.692</v>
      </c>
      <c r="D24" s="3303"/>
      <c r="E24" s="3303"/>
      <c r="F24" s="3303"/>
      <c r="G24" s="3303"/>
      <c r="H24" s="3303"/>
      <c r="I24" s="3304"/>
      <c r="J24" s="3301">
        <f t="shared" si="0"/>
        <v>0.35736774401737681</v>
      </c>
      <c r="K24" s="3281">
        <f>K25</f>
        <v>43.192070208163038</v>
      </c>
      <c r="M24" s="1656"/>
      <c r="N24" s="4487"/>
      <c r="O24" s="1694"/>
      <c r="P24" s="1693" t="s">
        <v>793</v>
      </c>
      <c r="Q24" s="4208">
        <v>2.3722184082787101</v>
      </c>
      <c r="R24" s="304" t="s">
        <v>2146</v>
      </c>
      <c r="S24" s="1559">
        <v>6.8860228795868004</v>
      </c>
      <c r="T24" s="1560">
        <v>1.3673203325495329</v>
      </c>
      <c r="U24" s="1560" t="s">
        <v>2146</v>
      </c>
      <c r="V24" s="1560" t="s">
        <v>2153</v>
      </c>
      <c r="W24" s="1560" t="s">
        <v>2146</v>
      </c>
      <c r="X24" s="1560">
        <v>89.374438379584902</v>
      </c>
      <c r="Y24" s="305" t="s">
        <v>2146</v>
      </c>
      <c r="Z24" s="305" t="s">
        <v>2146</v>
      </c>
      <c r="AA24" s="305" t="s">
        <v>2146</v>
      </c>
      <c r="AB24" s="442" t="s">
        <v>2146</v>
      </c>
    </row>
    <row r="25" spans="2:28" s="84" customFormat="1" ht="18" customHeight="1" x14ac:dyDescent="0.2">
      <c r="B25" s="1644" t="s">
        <v>812</v>
      </c>
      <c r="C25" s="4184">
        <f>C26</f>
        <v>120861.692</v>
      </c>
      <c r="D25" s="3250"/>
      <c r="E25" s="3250"/>
      <c r="F25" s="3250"/>
      <c r="G25" s="3250"/>
      <c r="H25" s="3250"/>
      <c r="I25" s="3260"/>
      <c r="J25" s="3301">
        <f t="shared" si="0"/>
        <v>0.35736774401737681</v>
      </c>
      <c r="K25" s="3281">
        <f>K26</f>
        <v>43.192070208163038</v>
      </c>
      <c r="M25" s="1656"/>
      <c r="N25" s="4487"/>
      <c r="O25" s="1695" t="s">
        <v>2026</v>
      </c>
      <c r="P25" s="1691" t="s">
        <v>791</v>
      </c>
      <c r="Q25" s="4209">
        <v>0.70004042407550005</v>
      </c>
      <c r="R25" s="1308" t="s">
        <v>2146</v>
      </c>
      <c r="S25" s="692">
        <v>3.7912959074930003E-2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120861.692</v>
      </c>
      <c r="D26" s="3325" t="s">
        <v>2146</v>
      </c>
      <c r="E26" s="3325">
        <v>100</v>
      </c>
      <c r="F26" s="3325" t="s">
        <v>2146</v>
      </c>
      <c r="G26" s="3305">
        <f>Table3.A!N10</f>
        <v>46.2985459349268</v>
      </c>
      <c r="H26" s="3033" t="s">
        <v>2147</v>
      </c>
      <c r="I26" s="3126" t="s">
        <v>2147</v>
      </c>
      <c r="J26" s="3301">
        <f t="shared" si="0"/>
        <v>0.35736774401737681</v>
      </c>
      <c r="K26" s="3277">
        <v>43.192070208163038</v>
      </c>
      <c r="M26" s="1656"/>
      <c r="N26" s="4487"/>
      <c r="O26" s="1696"/>
      <c r="P26" s="1693" t="s">
        <v>792</v>
      </c>
      <c r="Q26" s="3776">
        <v>0.74528417558822002</v>
      </c>
      <c r="R26" s="277" t="s">
        <v>2146</v>
      </c>
      <c r="S26" s="691">
        <v>8.8497505961960002E-2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2652.8130000000001</v>
      </c>
      <c r="D27" s="3250"/>
      <c r="E27" s="3250"/>
      <c r="F27" s="3250"/>
      <c r="G27" s="3250"/>
      <c r="H27" s="3250"/>
      <c r="I27" s="3260"/>
      <c r="J27" s="3301">
        <f t="shared" si="0"/>
        <v>21.655256182667852</v>
      </c>
      <c r="K27" s="3281">
        <f>K28</f>
        <v>57.447345119711656</v>
      </c>
      <c r="M27" s="1656"/>
      <c r="N27" s="4488"/>
      <c r="O27" s="1697"/>
      <c r="P27" s="1693" t="s">
        <v>793</v>
      </c>
      <c r="Q27" s="4208">
        <v>0.8</v>
      </c>
      <c r="R27" s="304" t="s">
        <v>2146</v>
      </c>
      <c r="S27" s="1559">
        <v>0.33881578947368002</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2652.8130000000001</v>
      </c>
      <c r="D28" s="3250"/>
      <c r="E28" s="3250"/>
      <c r="F28" s="3250"/>
      <c r="G28" s="3250"/>
      <c r="H28" s="3250"/>
      <c r="I28" s="3260"/>
      <c r="J28" s="3301">
        <f t="shared" si="0"/>
        <v>21.655256182667852</v>
      </c>
      <c r="K28" s="3281">
        <f>K29</f>
        <v>57.447345119711656</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2652.8130000000001</v>
      </c>
      <c r="D29" s="3325">
        <v>1.4367013430648901</v>
      </c>
      <c r="E29" s="3325">
        <v>98.563298656935103</v>
      </c>
      <c r="F29" s="3325" t="s">
        <v>2146</v>
      </c>
      <c r="G29" s="3305">
        <f>Table3.A!O10</f>
        <v>55.3763550481154</v>
      </c>
      <c r="H29" s="3033">
        <v>0.29829748891258001</v>
      </c>
      <c r="I29" s="3126">
        <v>0.45</v>
      </c>
      <c r="J29" s="3301">
        <f t="shared" si="0"/>
        <v>21.655256182667852</v>
      </c>
      <c r="K29" s="3277">
        <v>57.447345119711656</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47120.811000000009</v>
      </c>
      <c r="D30" s="3250"/>
      <c r="E30" s="3250"/>
      <c r="F30" s="3250"/>
      <c r="G30" s="3250"/>
      <c r="H30" s="3250"/>
      <c r="I30" s="3260"/>
      <c r="J30" s="3301">
        <f t="shared" si="0"/>
        <v>6.0032930733269312E-2</v>
      </c>
      <c r="K30" s="3281">
        <f>SUM(K32:K39)</f>
        <v>2.8288003828584749</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10.88</v>
      </c>
      <c r="D32" s="3325" t="s">
        <v>2146</v>
      </c>
      <c r="E32" s="3325" t="s">
        <v>2146</v>
      </c>
      <c r="F32" s="3325">
        <v>100</v>
      </c>
      <c r="G32" s="3307" t="s">
        <v>2147</v>
      </c>
      <c r="H32" s="3307" t="s">
        <v>2147</v>
      </c>
      <c r="I32" s="3307" t="s">
        <v>2147</v>
      </c>
      <c r="J32" s="3301">
        <f t="shared" si="0"/>
        <v>11.569996682399509</v>
      </c>
      <c r="K32" s="3277">
        <v>0.12588156390450667</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1.0680000000000001</v>
      </c>
      <c r="D33" s="3325" t="s">
        <v>2146</v>
      </c>
      <c r="E33" s="3325">
        <v>60.753826267773199</v>
      </c>
      <c r="F33" s="3325">
        <v>39.246173732226801</v>
      </c>
      <c r="G33" s="3307" t="s">
        <v>2147</v>
      </c>
      <c r="H33" s="3307" t="s">
        <v>2147</v>
      </c>
      <c r="I33" s="3307" t="s">
        <v>2147</v>
      </c>
      <c r="J33" s="3287">
        <f t="shared" si="0"/>
        <v>6.3609062007543162</v>
      </c>
      <c r="K33" s="3277">
        <v>6.79344782240561E-3</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144.28100000000001</v>
      </c>
      <c r="D34" s="3325" t="s">
        <v>2146</v>
      </c>
      <c r="E34" s="3325">
        <v>100</v>
      </c>
      <c r="F34" s="3325" t="e">
        <v>#VALUE!</v>
      </c>
      <c r="G34" s="3307" t="s">
        <v>2147</v>
      </c>
      <c r="H34" s="3307" t="s">
        <v>2147</v>
      </c>
      <c r="I34" s="3307" t="s">
        <v>2147</v>
      </c>
      <c r="J34" s="3287">
        <f t="shared" si="0"/>
        <v>0.99987625650366152</v>
      </c>
      <c r="K34" s="3277">
        <v>0.14426314616460478</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132.81899999999999</v>
      </c>
      <c r="D35" s="3325" t="s">
        <v>2146</v>
      </c>
      <c r="E35" s="3325">
        <v>99.740248269837224</v>
      </c>
      <c r="F35" s="3325">
        <v>0.25975173016276998</v>
      </c>
      <c r="G35" s="3307" t="s">
        <v>2147</v>
      </c>
      <c r="H35" s="3307" t="s">
        <v>2147</v>
      </c>
      <c r="I35" s="3307" t="s">
        <v>2147</v>
      </c>
      <c r="J35" s="3287">
        <f t="shared" si="0"/>
        <v>0.35997477547254381</v>
      </c>
      <c r="K35" s="3277">
        <v>4.7811489703487794E-2</v>
      </c>
      <c r="M35" s="1664"/>
      <c r="N35" s="4487"/>
      <c r="O35" s="1692" t="s">
        <v>794</v>
      </c>
      <c r="P35" s="1693" t="s">
        <v>792</v>
      </c>
      <c r="Q35" s="3776">
        <v>1.8</v>
      </c>
      <c r="R35" s="277" t="s">
        <v>2146</v>
      </c>
      <c r="S35" s="277" t="s">
        <v>2146</v>
      </c>
      <c r="T35" s="3147" t="s">
        <v>2153</v>
      </c>
      <c r="U35" s="3147" t="s">
        <v>2146</v>
      </c>
      <c r="V35" s="3147">
        <v>100</v>
      </c>
      <c r="W35" s="3147" t="s">
        <v>2146</v>
      </c>
      <c r="X35" s="278" t="s">
        <v>2146</v>
      </c>
      <c r="Y35" s="3147" t="s">
        <v>2146</v>
      </c>
      <c r="Z35" s="278" t="s">
        <v>2146</v>
      </c>
      <c r="AA35" s="278" t="s">
        <v>2146</v>
      </c>
      <c r="AB35" s="279" t="s">
        <v>2146</v>
      </c>
    </row>
    <row r="36" spans="2:28" s="84" customFormat="1" ht="18" customHeight="1" thickBot="1" x14ac:dyDescent="0.25">
      <c r="B36" s="1644" t="s">
        <v>822</v>
      </c>
      <c r="C36" s="3307">
        <f>Table3.A!C36</f>
        <v>237.685</v>
      </c>
      <c r="D36" s="3325" t="s">
        <v>2146</v>
      </c>
      <c r="E36" s="3325">
        <v>96.170137023255094</v>
      </c>
      <c r="F36" s="3325">
        <v>3.8298629767449102</v>
      </c>
      <c r="G36" s="3307" t="s">
        <v>2147</v>
      </c>
      <c r="H36" s="3307" t="s">
        <v>2147</v>
      </c>
      <c r="I36" s="3307" t="s">
        <v>2147</v>
      </c>
      <c r="J36" s="3287">
        <f t="shared" si="0"/>
        <v>3.3278585285607813</v>
      </c>
      <c r="K36" s="3277">
        <v>0.79098205436096924</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1.599</v>
      </c>
      <c r="D37" s="3325" t="s">
        <v>2146</v>
      </c>
      <c r="E37" s="3325">
        <v>91.933342861467693</v>
      </c>
      <c r="F37" s="3325">
        <v>8.0666571385323103</v>
      </c>
      <c r="G37" s="3307" t="s">
        <v>2147</v>
      </c>
      <c r="H37" s="3307" t="s">
        <v>2147</v>
      </c>
      <c r="I37" s="3307" t="s">
        <v>2147</v>
      </c>
      <c r="J37" s="3287">
        <f t="shared" si="0"/>
        <v>1.230458646226785</v>
      </c>
      <c r="K37" s="3277">
        <v>1.9675033753166291E-3</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46558.16</v>
      </c>
      <c r="D38" s="3325">
        <v>1.11656090151581</v>
      </c>
      <c r="E38" s="3325">
        <v>98.883439098484189</v>
      </c>
      <c r="F38" s="3325" t="s">
        <v>2146</v>
      </c>
      <c r="G38" s="3307" t="s">
        <v>2147</v>
      </c>
      <c r="H38" s="3307" t="s">
        <v>2147</v>
      </c>
      <c r="I38" s="3307" t="s">
        <v>2147</v>
      </c>
      <c r="J38" s="3287">
        <f t="shared" si="0"/>
        <v>3.6488512981831575E-2</v>
      </c>
      <c r="K38" s="3277">
        <v>1.6988380255701918</v>
      </c>
      <c r="M38" s="1656"/>
      <c r="N38" s="4487"/>
      <c r="O38" s="1696"/>
      <c r="P38" s="1693" t="s">
        <v>792</v>
      </c>
      <c r="Q38" s="3776">
        <v>0.75771599999999995</v>
      </c>
      <c r="R38" s="277" t="s">
        <v>2146</v>
      </c>
      <c r="S38" s="277" t="s">
        <v>2146</v>
      </c>
      <c r="T38" s="3147" t="s">
        <v>2153</v>
      </c>
      <c r="U38" s="3147" t="s">
        <v>2146</v>
      </c>
      <c r="V38" s="3147">
        <v>1.7697637795275591E-2</v>
      </c>
      <c r="W38" s="3147" t="s">
        <v>2146</v>
      </c>
      <c r="X38" s="278" t="s">
        <v>2146</v>
      </c>
      <c r="Y38" s="3147" t="s">
        <v>2146</v>
      </c>
      <c r="Z38" s="278" t="s">
        <v>2146</v>
      </c>
      <c r="AA38" s="278" t="s">
        <v>2146</v>
      </c>
      <c r="AB38" s="279" t="s">
        <v>2146</v>
      </c>
    </row>
    <row r="39" spans="2:28" s="84" customFormat="1" ht="18" customHeight="1" thickBot="1" x14ac:dyDescent="0.25">
      <c r="B39" s="1644" t="s">
        <v>825</v>
      </c>
      <c r="C39" s="4184">
        <f>SUM(C40:C44)</f>
        <v>34.318999999999996</v>
      </c>
      <c r="D39" s="3294"/>
      <c r="E39" s="3294"/>
      <c r="F39" s="3294"/>
      <c r="G39" s="3294"/>
      <c r="H39" s="3294"/>
      <c r="I39" s="3295"/>
      <c r="J39" s="3287">
        <f t="shared" si="0"/>
        <v>0.3573283591302947</v>
      </c>
      <c r="K39" s="3281">
        <f>SUM(K40:K44)</f>
        <v>1.2263151956992582E-2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82.7</v>
      </c>
      <c r="R40" s="300" t="s">
        <v>2146</v>
      </c>
      <c r="S40" s="300" t="s">
        <v>2146</v>
      </c>
      <c r="T40" s="3773" t="s">
        <v>2153</v>
      </c>
      <c r="U40" s="3773" t="s">
        <v>2153</v>
      </c>
      <c r="V40" s="3773">
        <v>13.624999999999998</v>
      </c>
      <c r="W40" s="3773" t="s">
        <v>2153</v>
      </c>
      <c r="X40" s="301" t="s">
        <v>2146</v>
      </c>
      <c r="Y40" s="301" t="s">
        <v>2146</v>
      </c>
      <c r="Z40" s="3773" t="s">
        <v>2146</v>
      </c>
      <c r="AA40" s="301" t="s">
        <v>2146</v>
      </c>
      <c r="AB40" s="3775">
        <v>8.9</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84.433261654703898</v>
      </c>
      <c r="R41" s="277" t="s">
        <v>2146</v>
      </c>
      <c r="S41" s="277" t="s">
        <v>2146</v>
      </c>
      <c r="T41" s="3147" t="s">
        <v>2153</v>
      </c>
      <c r="U41" s="3147" t="s">
        <v>2153</v>
      </c>
      <c r="V41" s="3147">
        <v>11.972407742272074</v>
      </c>
      <c r="W41" s="3147" t="s">
        <v>2153</v>
      </c>
      <c r="X41" s="278" t="s">
        <v>2146</v>
      </c>
      <c r="Y41" s="278" t="s">
        <v>2146</v>
      </c>
      <c r="Z41" s="3147">
        <v>0.36374542796645998</v>
      </c>
      <c r="AA41" s="278" t="s">
        <v>2146</v>
      </c>
      <c r="AB41" s="2911">
        <v>6.5452392234205696</v>
      </c>
    </row>
    <row r="42" spans="2:28" s="84" customFormat="1" ht="18" customHeight="1" thickBot="1" x14ac:dyDescent="0.25">
      <c r="B42" s="350" t="s">
        <v>828</v>
      </c>
      <c r="C42" s="3307">
        <f>Table3.A!C42</f>
        <v>32.533999999999999</v>
      </c>
      <c r="D42" s="3325" t="s">
        <v>2146</v>
      </c>
      <c r="E42" s="3325">
        <v>100</v>
      </c>
      <c r="F42" s="3325" t="s">
        <v>2146</v>
      </c>
      <c r="G42" s="3307" t="s">
        <v>2147</v>
      </c>
      <c r="H42" s="3307" t="s">
        <v>2147</v>
      </c>
      <c r="I42" s="3307" t="s">
        <v>2147</v>
      </c>
      <c r="J42" s="3287">
        <f t="shared" si="0"/>
        <v>0.35732743680339502</v>
      </c>
      <c r="K42" s="3277">
        <v>1.1625290828961653E-2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1.6330275229357802</v>
      </c>
      <c r="W43" s="3773" t="s">
        <v>2153</v>
      </c>
      <c r="X43" s="301" t="s">
        <v>2146</v>
      </c>
      <c r="Y43" s="301" t="s">
        <v>2146</v>
      </c>
      <c r="Z43" s="3773" t="s">
        <v>2146</v>
      </c>
      <c r="AA43" s="301" t="s">
        <v>2146</v>
      </c>
      <c r="AB43" s="3775">
        <v>3.6179775280900002E-2</v>
      </c>
    </row>
    <row r="44" spans="2:28" s="84" customFormat="1" ht="18" customHeight="1" x14ac:dyDescent="0.2">
      <c r="B44" s="2644" t="s">
        <v>2091</v>
      </c>
      <c r="C44" s="4184">
        <f>C45</f>
        <v>1.7849999999999999</v>
      </c>
      <c r="D44" s="3294"/>
      <c r="E44" s="3294"/>
      <c r="F44" s="3294"/>
      <c r="G44" s="3294"/>
      <c r="H44" s="3294"/>
      <c r="I44" s="3295"/>
      <c r="J44" s="3287">
        <f t="shared" si="0"/>
        <v>0.35734516976522646</v>
      </c>
      <c r="K44" s="3281">
        <f>K45</f>
        <v>6.3786112803092916E-4</v>
      </c>
      <c r="M44" s="4491"/>
      <c r="N44" s="4492"/>
      <c r="O44" s="1696"/>
      <c r="P44" s="1693" t="s">
        <v>792</v>
      </c>
      <c r="Q44" s="3776">
        <v>0.75568583393888</v>
      </c>
      <c r="R44" s="277" t="s">
        <v>2146</v>
      </c>
      <c r="S44" s="277" t="s">
        <v>2146</v>
      </c>
      <c r="T44" s="3147" t="s">
        <v>2153</v>
      </c>
      <c r="U44" s="3147" t="s">
        <v>2153</v>
      </c>
      <c r="V44" s="3147">
        <v>1.8039414426166522</v>
      </c>
      <c r="W44" s="3147" t="s">
        <v>2153</v>
      </c>
      <c r="X44" s="278" t="s">
        <v>2146</v>
      </c>
      <c r="Y44" s="278" t="s">
        <v>2146</v>
      </c>
      <c r="Z44" s="3147">
        <v>0.1</v>
      </c>
      <c r="AA44" s="278" t="s">
        <v>2146</v>
      </c>
      <c r="AB44" s="2911">
        <v>3.7484539023330002E-2</v>
      </c>
    </row>
    <row r="45" spans="2:28" s="84" customFormat="1" ht="18" customHeight="1" thickBot="1" x14ac:dyDescent="0.25">
      <c r="B45" s="2648" t="s">
        <v>2199</v>
      </c>
      <c r="C45" s="4186">
        <f>Table3.A!C45</f>
        <v>1.7849999999999999</v>
      </c>
      <c r="D45" s="3040" t="s">
        <v>2146</v>
      </c>
      <c r="E45" s="3040">
        <v>100</v>
      </c>
      <c r="F45" s="3040" t="s">
        <v>2146</v>
      </c>
      <c r="G45" s="3040" t="s">
        <v>2147</v>
      </c>
      <c r="H45" s="3040" t="s">
        <v>2147</v>
      </c>
      <c r="I45" s="3308" t="s">
        <v>2147</v>
      </c>
      <c r="J45" s="3309">
        <f t="shared" si="0"/>
        <v>0.35734516976522646</v>
      </c>
      <c r="K45" s="3278">
        <v>6.3786112803092916E-4</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53.00222547139083</v>
      </c>
      <c r="U46" s="3773" t="s">
        <v>2146</v>
      </c>
      <c r="V46" s="3773" t="s">
        <v>2146</v>
      </c>
      <c r="W46" s="3773" t="s">
        <v>2153</v>
      </c>
      <c r="X46" s="3773">
        <v>0.2</v>
      </c>
      <c r="Y46" s="3773">
        <v>16.5583850865481</v>
      </c>
      <c r="Z46" s="3773">
        <v>0.57740951903566995</v>
      </c>
      <c r="AA46" s="301" t="s">
        <v>2146</v>
      </c>
      <c r="AB46" s="3775">
        <v>99.8</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45.583409658175192</v>
      </c>
      <c r="U47" s="3147" t="s">
        <v>2146</v>
      </c>
      <c r="V47" s="3147" t="s">
        <v>2146</v>
      </c>
      <c r="W47" s="3147" t="s">
        <v>2153</v>
      </c>
      <c r="X47" s="3147">
        <v>0.2</v>
      </c>
      <c r="Y47" s="3147">
        <v>18.449961681190199</v>
      </c>
      <c r="Z47" s="3147">
        <v>0.29004632019484999</v>
      </c>
      <c r="AA47" s="278" t="s">
        <v>2146</v>
      </c>
      <c r="AB47" s="2911">
        <v>99.8</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1.9999999999999997E-2</v>
      </c>
      <c r="U50" s="3147" t="s">
        <v>2146</v>
      </c>
      <c r="V50" s="3147" t="s">
        <v>2146</v>
      </c>
      <c r="W50" s="3147" t="s">
        <v>2153</v>
      </c>
      <c r="X50" s="3147">
        <v>1.3198491949750001E-2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25731.221000000001</v>
      </c>
      <c r="D10" s="3490"/>
      <c r="E10" s="3491"/>
      <c r="F10" s="3478">
        <f>F15</f>
        <v>14359858.76369955</v>
      </c>
      <c r="G10" s="3478" t="str">
        <f t="shared" ref="G10:R10" si="0">G15</f>
        <v>NO</v>
      </c>
      <c r="H10" s="3478">
        <f t="shared" si="0"/>
        <v>16932584.628022701</v>
      </c>
      <c r="I10" s="3478">
        <f t="shared" si="0"/>
        <v>3364881.3165057111</v>
      </c>
      <c r="J10" s="3478" t="str">
        <f t="shared" si="0"/>
        <v>NO</v>
      </c>
      <c r="K10" s="3478">
        <f t="shared" si="0"/>
        <v>45454049.199990429</v>
      </c>
      <c r="L10" s="3478" t="str">
        <f t="shared" si="0"/>
        <v>NO</v>
      </c>
      <c r="M10" s="3478">
        <f t="shared" si="0"/>
        <v>1115620637.394758</v>
      </c>
      <c r="N10" s="3478" t="str">
        <f t="shared" si="0"/>
        <v>NO</v>
      </c>
      <c r="O10" s="3478" t="str">
        <f t="shared" si="0"/>
        <v>NO</v>
      </c>
      <c r="P10" s="3478" t="str">
        <f t="shared" si="0"/>
        <v>NO</v>
      </c>
      <c r="Q10" s="3478" t="str">
        <f t="shared" si="0"/>
        <v>NO</v>
      </c>
      <c r="R10" s="3478">
        <f t="shared" si="0"/>
        <v>1195732011.3029764</v>
      </c>
      <c r="S10" s="2651"/>
      <c r="T10" s="2652"/>
      <c r="U10" s="3456">
        <f>IF(SUM(X10)=0,"NA",X10*1000/C10)</f>
        <v>1.573172739295715E-2</v>
      </c>
      <c r="V10" s="3448"/>
      <c r="W10" s="3449"/>
      <c r="X10" s="3311">
        <f t="shared" ref="X10" si="1">X15</f>
        <v>0.40479655425993427</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25731.221000000001</v>
      </c>
      <c r="D15" s="3493"/>
      <c r="E15" s="3493"/>
      <c r="F15" s="2649">
        <f>F20</f>
        <v>14359858.76369955</v>
      </c>
      <c r="G15" s="2649" t="str">
        <f t="shared" ref="G15:R15" si="2">G20</f>
        <v>NO</v>
      </c>
      <c r="H15" s="2649">
        <f t="shared" si="2"/>
        <v>16932584.628022701</v>
      </c>
      <c r="I15" s="2649">
        <f t="shared" si="2"/>
        <v>3364881.3165057111</v>
      </c>
      <c r="J15" s="2649" t="str">
        <f t="shared" si="2"/>
        <v>NO</v>
      </c>
      <c r="K15" s="2649">
        <f t="shared" si="2"/>
        <v>45454049.199990429</v>
      </c>
      <c r="L15" s="2649" t="str">
        <f t="shared" si="2"/>
        <v>NO</v>
      </c>
      <c r="M15" s="2649">
        <f t="shared" si="2"/>
        <v>1115620637.394758</v>
      </c>
      <c r="N15" s="2649" t="str">
        <f t="shared" si="2"/>
        <v>NO</v>
      </c>
      <c r="O15" s="2649" t="str">
        <f t="shared" si="2"/>
        <v>NO</v>
      </c>
      <c r="P15" s="2649" t="str">
        <f t="shared" si="2"/>
        <v>NO</v>
      </c>
      <c r="Q15" s="2649" t="str">
        <f t="shared" si="2"/>
        <v>NO</v>
      </c>
      <c r="R15" s="2649">
        <f t="shared" si="2"/>
        <v>1195732011.3029764</v>
      </c>
      <c r="S15" s="2657"/>
      <c r="T15" s="2658"/>
      <c r="U15" s="3456">
        <f>IF(SUM(X15)=0,"NA",X15*1000/C15)</f>
        <v>1.573172739295715E-2</v>
      </c>
      <c r="V15" s="3454"/>
      <c r="W15" s="3455"/>
      <c r="X15" s="3314">
        <f t="shared" ref="X15" si="3">X20</f>
        <v>0.40479655425993427</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25731.221000000001</v>
      </c>
      <c r="D20" s="3492"/>
      <c r="E20" s="3492"/>
      <c r="F20" s="2649">
        <f>IF(SUM(F21:F23)=0,"NO",SUM(F21:F23))</f>
        <v>14359858.76369955</v>
      </c>
      <c r="G20" s="2649" t="str">
        <f t="shared" ref="G20:Q20" si="6">IF(SUM(G21:G23)=0,"NO",SUM(G21:G23))</f>
        <v>NO</v>
      </c>
      <c r="H20" s="2649">
        <f t="shared" si="6"/>
        <v>16932584.628022701</v>
      </c>
      <c r="I20" s="2649">
        <f t="shared" si="6"/>
        <v>3364881.3165057111</v>
      </c>
      <c r="J20" s="2649" t="str">
        <f t="shared" si="6"/>
        <v>NO</v>
      </c>
      <c r="K20" s="2649">
        <f t="shared" si="6"/>
        <v>45454049.199990429</v>
      </c>
      <c r="L20" s="2649" t="str">
        <f t="shared" si="6"/>
        <v>NO</v>
      </c>
      <c r="M20" s="2649">
        <f t="shared" si="6"/>
        <v>1115620637.394758</v>
      </c>
      <c r="N20" s="2649" t="str">
        <f t="shared" si="6"/>
        <v>NO</v>
      </c>
      <c r="O20" s="2649" t="str">
        <f t="shared" si="6"/>
        <v>NO</v>
      </c>
      <c r="P20" s="2649" t="str">
        <f t="shared" si="6"/>
        <v>NO</v>
      </c>
      <c r="Q20" s="2649" t="str">
        <f t="shared" si="6"/>
        <v>NO</v>
      </c>
      <c r="R20" s="3482">
        <f>IF(SUM(F20:Q20)=0,"NO",SUM(F20:Q20))</f>
        <v>1195732011.3029764</v>
      </c>
      <c r="S20" s="2657"/>
      <c r="T20" s="2658"/>
      <c r="U20" s="3456">
        <f t="shared" si="4"/>
        <v>1.573172739295715E-2</v>
      </c>
      <c r="V20" s="3454"/>
      <c r="W20" s="3455"/>
      <c r="X20" s="3314">
        <f t="shared" ref="X20" si="7">IF(SUM(X21:X23)=0,"NO",SUM(X21:X23))</f>
        <v>0.40479655425993427</v>
      </c>
      <c r="Y20" s="3173"/>
      <c r="Z20" s="3457"/>
    </row>
    <row r="21" spans="2:26" ht="18" customHeight="1" x14ac:dyDescent="0.2">
      <c r="B21" s="2647" t="s">
        <v>2196</v>
      </c>
      <c r="C21" s="3495">
        <f>Table3.A!C21</f>
        <v>2740.0940000000001</v>
      </c>
      <c r="D21" s="3307">
        <v>120.51897453334426</v>
      </c>
      <c r="E21" s="3494">
        <f>'Table3.B(a)'!G21</f>
        <v>447.58733572059498</v>
      </c>
      <c r="F21" s="3479">
        <v>13752216.803376701</v>
      </c>
      <c r="G21" s="3479" t="s">
        <v>2146</v>
      </c>
      <c r="H21" s="3479">
        <v>16932584.628022701</v>
      </c>
      <c r="I21" s="3479">
        <v>3364881.3165057111</v>
      </c>
      <c r="J21" s="3479" t="s">
        <v>2146</v>
      </c>
      <c r="K21" s="3479" t="s">
        <v>2153</v>
      </c>
      <c r="L21" s="3479" t="s">
        <v>2146</v>
      </c>
      <c r="M21" s="3479">
        <v>296183636.25706398</v>
      </c>
      <c r="N21" s="3479" t="s">
        <v>2146</v>
      </c>
      <c r="O21" s="3479" t="s">
        <v>2146</v>
      </c>
      <c r="P21" s="3479" t="s">
        <v>2146</v>
      </c>
      <c r="Q21" s="3479" t="s">
        <v>2146</v>
      </c>
      <c r="R21" s="3482">
        <f t="shared" ref="R21:R45" si="8">IF(SUM(F21:Q21)=0,"NO",SUM(F21:Q21))</f>
        <v>330233319.00496912</v>
      </c>
      <c r="S21" s="2657"/>
      <c r="T21" s="2658"/>
      <c r="U21" s="3456">
        <f t="shared" si="4"/>
        <v>9.6487030011073727E-3</v>
      </c>
      <c r="V21" s="3454"/>
      <c r="W21" s="3455"/>
      <c r="X21" s="3315">
        <v>2.6438353201116305E-2</v>
      </c>
      <c r="Y21" s="3173"/>
      <c r="Z21" s="3457"/>
    </row>
    <row r="22" spans="2:26" ht="18" customHeight="1" x14ac:dyDescent="0.2">
      <c r="B22" s="2647" t="s">
        <v>2197</v>
      </c>
      <c r="C22" s="3495">
        <f>Table3.A!C22</f>
        <v>22544.94</v>
      </c>
      <c r="D22" s="3307">
        <v>36.346825517575049</v>
      </c>
      <c r="E22" s="3494">
        <f>'Table3.B(a)'!G22</f>
        <v>363.10027196616397</v>
      </c>
      <c r="F22" s="3483" t="s">
        <v>2146</v>
      </c>
      <c r="G22" s="3479" t="s">
        <v>2146</v>
      </c>
      <c r="H22" s="3483" t="s">
        <v>2146</v>
      </c>
      <c r="I22" s="3483" t="s">
        <v>2146</v>
      </c>
      <c r="J22" s="3483" t="s">
        <v>2146</v>
      </c>
      <c r="K22" s="3483" t="s">
        <v>2146</v>
      </c>
      <c r="L22" s="3483" t="s">
        <v>2146</v>
      </c>
      <c r="M22" s="3483">
        <v>819437001.137694</v>
      </c>
      <c r="N22" s="3483" t="s">
        <v>2146</v>
      </c>
      <c r="O22" s="3483" t="s">
        <v>2146</v>
      </c>
      <c r="P22" s="3483" t="s">
        <v>2146</v>
      </c>
      <c r="Q22" s="3483" t="s">
        <v>2146</v>
      </c>
      <c r="R22" s="3482">
        <f t="shared" si="8"/>
        <v>819437001.137694</v>
      </c>
      <c r="S22" s="2657"/>
      <c r="T22" s="2658"/>
      <c r="U22" s="3456" t="str">
        <f>IF(SUM(X22)=0,"NA",X22*1000/C22)</f>
        <v>NA</v>
      </c>
      <c r="V22" s="3454"/>
      <c r="W22" s="3455"/>
      <c r="X22" s="3315" t="s">
        <v>2147</v>
      </c>
      <c r="Y22" s="3173"/>
      <c r="Z22" s="3457"/>
    </row>
    <row r="23" spans="2:26" ht="18" customHeight="1" x14ac:dyDescent="0.2">
      <c r="B23" s="2647" t="s">
        <v>2198</v>
      </c>
      <c r="C23" s="3495">
        <f>Table3.A!C23</f>
        <v>446.18700000000001</v>
      </c>
      <c r="D23" s="3307">
        <v>75.658609607413638</v>
      </c>
      <c r="E23" s="3494">
        <f>'Table3.B(a)'!G23</f>
        <v>537.09734513274304</v>
      </c>
      <c r="F23" s="3483">
        <v>607641.96032284899</v>
      </c>
      <c r="G23" s="3479" t="s">
        <v>2146</v>
      </c>
      <c r="H23" s="3483" t="s">
        <v>2146</v>
      </c>
      <c r="I23" s="3483" t="s">
        <v>2153</v>
      </c>
      <c r="J23" s="3483" t="s">
        <v>2153</v>
      </c>
      <c r="K23" s="3483">
        <v>45454049.199990429</v>
      </c>
      <c r="L23" s="3483" t="s">
        <v>2146</v>
      </c>
      <c r="M23" s="3483" t="s">
        <v>2146</v>
      </c>
      <c r="N23" s="3483" t="s">
        <v>2146</v>
      </c>
      <c r="O23" s="3483" t="s">
        <v>2146</v>
      </c>
      <c r="P23" s="3483" t="s">
        <v>2146</v>
      </c>
      <c r="Q23" s="3483" t="s">
        <v>2146</v>
      </c>
      <c r="R23" s="3482">
        <f t="shared" si="8"/>
        <v>46061691.160313278</v>
      </c>
      <c r="S23" s="2657"/>
      <c r="T23" s="2658"/>
      <c r="U23" s="3456">
        <f t="shared" ref="U23:U30" si="9">IF(SUM(X23)=0,"NA",X23*1000/C23)</f>
        <v>0.84798122997491621</v>
      </c>
      <c r="V23" s="3454"/>
      <c r="W23" s="3455"/>
      <c r="X23" s="3315">
        <v>0.37835820105881796</v>
      </c>
      <c r="Y23" s="3173"/>
      <c r="Z23" s="3457"/>
    </row>
    <row r="24" spans="2:26" ht="18" customHeight="1" x14ac:dyDescent="0.2">
      <c r="B24" s="351" t="s">
        <v>811</v>
      </c>
      <c r="C24" s="3314">
        <f>C25</f>
        <v>120861.692</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857172263.65013194</v>
      </c>
      <c r="N24" s="2649" t="str">
        <f t="shared" si="10"/>
        <v>NO</v>
      </c>
      <c r="O24" s="2649" t="str">
        <f t="shared" si="10"/>
        <v>NO</v>
      </c>
      <c r="P24" s="2649" t="str">
        <f t="shared" si="10"/>
        <v>NO</v>
      </c>
      <c r="Q24" s="2649" t="str">
        <f t="shared" si="10"/>
        <v>NO</v>
      </c>
      <c r="R24" s="3482">
        <f t="shared" si="8"/>
        <v>857172263.65013194</v>
      </c>
      <c r="S24" s="2657"/>
      <c r="T24" s="2658"/>
      <c r="U24" s="3456" t="str">
        <f t="shared" si="9"/>
        <v>NA</v>
      </c>
      <c r="V24" s="3454"/>
      <c r="W24" s="3455"/>
      <c r="X24" s="3314" t="str">
        <f t="shared" ref="X24:X25" si="11">X25</f>
        <v>NA</v>
      </c>
      <c r="Y24" s="3173"/>
      <c r="Z24" s="3457"/>
    </row>
    <row r="25" spans="2:26" ht="18" customHeight="1" x14ac:dyDescent="0.2">
      <c r="B25" s="350" t="s">
        <v>812</v>
      </c>
      <c r="C25" s="3314">
        <f>C26</f>
        <v>120861.692</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857172263.65013194</v>
      </c>
      <c r="N25" s="2649" t="str">
        <f t="shared" si="10"/>
        <v>NO</v>
      </c>
      <c r="O25" s="2649" t="str">
        <f t="shared" si="10"/>
        <v>NO</v>
      </c>
      <c r="P25" s="2649" t="str">
        <f t="shared" si="10"/>
        <v>NO</v>
      </c>
      <c r="Q25" s="2649" t="str">
        <f t="shared" si="10"/>
        <v>NO</v>
      </c>
      <c r="R25" s="3482">
        <f t="shared" si="8"/>
        <v>857172263.65013194</v>
      </c>
      <c r="S25" s="2657"/>
      <c r="T25" s="2658"/>
      <c r="U25" s="3456" t="str">
        <f t="shared" si="9"/>
        <v>NA</v>
      </c>
      <c r="V25" s="3454"/>
      <c r="W25" s="3455"/>
      <c r="X25" s="3314" t="str">
        <f t="shared" si="11"/>
        <v>NA</v>
      </c>
      <c r="Y25" s="3173"/>
      <c r="Z25" s="3457"/>
    </row>
    <row r="26" spans="2:26" ht="18" customHeight="1" x14ac:dyDescent="0.2">
      <c r="B26" s="2642" t="s">
        <v>2201</v>
      </c>
      <c r="C26" s="3495">
        <f>Table3.A!C26</f>
        <v>120861.692</v>
      </c>
      <c r="D26" s="3307">
        <v>7.0921749436548644</v>
      </c>
      <c r="E26" s="3494">
        <f>'Table3.B(a)'!G26</f>
        <v>46.2985459349268</v>
      </c>
      <c r="F26" s="3483" t="s">
        <v>2146</v>
      </c>
      <c r="G26" s="3479" t="s">
        <v>2146</v>
      </c>
      <c r="H26" s="3483" t="s">
        <v>2146</v>
      </c>
      <c r="I26" s="3483" t="s">
        <v>2146</v>
      </c>
      <c r="J26" s="3483" t="s">
        <v>2146</v>
      </c>
      <c r="K26" s="3483" t="s">
        <v>2146</v>
      </c>
      <c r="L26" s="3483" t="s">
        <v>2146</v>
      </c>
      <c r="M26" s="3479">
        <v>857172263.65013194</v>
      </c>
      <c r="N26" s="3483" t="s">
        <v>2146</v>
      </c>
      <c r="O26" s="3483" t="s">
        <v>2146</v>
      </c>
      <c r="P26" s="3483" t="s">
        <v>2146</v>
      </c>
      <c r="Q26" s="3483" t="s">
        <v>2146</v>
      </c>
      <c r="R26" s="3482">
        <f t="shared" si="8"/>
        <v>857172263.65013194</v>
      </c>
      <c r="S26" s="2657"/>
      <c r="T26" s="2658"/>
      <c r="U26" s="3456" t="str">
        <f t="shared" si="9"/>
        <v>NA</v>
      </c>
      <c r="V26" s="3454"/>
      <c r="W26" s="3455"/>
      <c r="X26" s="3315" t="s">
        <v>2147</v>
      </c>
      <c r="Y26" s="3173"/>
      <c r="Z26" s="3457"/>
    </row>
    <row r="27" spans="2:26" ht="18" customHeight="1" x14ac:dyDescent="0.2">
      <c r="B27" s="351" t="s">
        <v>814</v>
      </c>
      <c r="C27" s="3314">
        <f>C28</f>
        <v>2652.8130000000001</v>
      </c>
      <c r="D27" s="3492"/>
      <c r="E27" s="3492"/>
      <c r="F27" s="2649">
        <f>F28</f>
        <v>36539777.959490903</v>
      </c>
      <c r="G27" s="2649" t="str">
        <f t="shared" ref="G27:G28" si="12">G28</f>
        <v>NO</v>
      </c>
      <c r="H27" s="2649" t="str">
        <f t="shared" ref="H27:H28" si="13">H28</f>
        <v>NO</v>
      </c>
      <c r="I27" s="2649" t="str">
        <f t="shared" ref="I27:I28" si="14">I28</f>
        <v>IE</v>
      </c>
      <c r="J27" s="2649" t="str">
        <f t="shared" ref="J27:J28" si="15">J28</f>
        <v>IE</v>
      </c>
      <c r="K27" s="2649">
        <f t="shared" ref="K27:K28" si="16">K28</f>
        <v>4996946.3201040439</v>
      </c>
      <c r="L27" s="2649" t="str">
        <f t="shared" ref="L27:L28" si="17">L28</f>
        <v>IE</v>
      </c>
      <c r="M27" s="2649" t="str">
        <f t="shared" ref="M27:M28" si="18">M28</f>
        <v>NO</v>
      </c>
      <c r="N27" s="2649" t="str">
        <f t="shared" ref="N27:N28" si="19">N28</f>
        <v>NO</v>
      </c>
      <c r="O27" s="2649">
        <f t="shared" ref="O27:O28" si="20">O28</f>
        <v>155025.78920094899</v>
      </c>
      <c r="P27" s="2649" t="str">
        <f t="shared" ref="P27:P28" si="21">P28</f>
        <v>NO</v>
      </c>
      <c r="Q27" s="2649">
        <f t="shared" ref="Q27:Q28" si="22">Q28</f>
        <v>2838986.9425026602</v>
      </c>
      <c r="R27" s="3482">
        <f t="shared" si="8"/>
        <v>44530737.011298552</v>
      </c>
      <c r="S27" s="2657"/>
      <c r="T27" s="2658"/>
      <c r="U27" s="3456">
        <f t="shared" si="9"/>
        <v>4.3367151737879535E-2</v>
      </c>
      <c r="V27" s="3454"/>
      <c r="W27" s="3455"/>
      <c r="X27" s="3314">
        <f t="shared" ref="X27:X28" si="23">X28</f>
        <v>0.11504494390321941</v>
      </c>
      <c r="Y27" s="3173"/>
      <c r="Z27" s="3457"/>
    </row>
    <row r="28" spans="2:26" ht="18" customHeight="1" x14ac:dyDescent="0.2">
      <c r="B28" s="350" t="s">
        <v>815</v>
      </c>
      <c r="C28" s="3314">
        <f>C29</f>
        <v>2652.8130000000001</v>
      </c>
      <c r="D28" s="3492"/>
      <c r="E28" s="3492"/>
      <c r="F28" s="2649">
        <f>F29</f>
        <v>36539777.959490903</v>
      </c>
      <c r="G28" s="2649" t="str">
        <f t="shared" si="12"/>
        <v>NO</v>
      </c>
      <c r="H28" s="2649" t="str">
        <f t="shared" si="13"/>
        <v>NO</v>
      </c>
      <c r="I28" s="2649" t="str">
        <f t="shared" si="14"/>
        <v>IE</v>
      </c>
      <c r="J28" s="2649" t="str">
        <f t="shared" si="15"/>
        <v>IE</v>
      </c>
      <c r="K28" s="2649">
        <f t="shared" si="16"/>
        <v>4996946.3201040439</v>
      </c>
      <c r="L28" s="2649" t="str">
        <f t="shared" si="17"/>
        <v>IE</v>
      </c>
      <c r="M28" s="2649" t="str">
        <f t="shared" si="18"/>
        <v>NO</v>
      </c>
      <c r="N28" s="2649" t="str">
        <f t="shared" si="19"/>
        <v>NO</v>
      </c>
      <c r="O28" s="2649">
        <f t="shared" si="20"/>
        <v>155025.78920094899</v>
      </c>
      <c r="P28" s="2649" t="str">
        <f t="shared" si="21"/>
        <v>NO</v>
      </c>
      <c r="Q28" s="2649">
        <f t="shared" si="22"/>
        <v>2838986.9425026602</v>
      </c>
      <c r="R28" s="3482">
        <f t="shared" si="8"/>
        <v>44530737.011298552</v>
      </c>
      <c r="S28" s="2657"/>
      <c r="T28" s="2658"/>
      <c r="U28" s="3456">
        <f t="shared" si="9"/>
        <v>4.3367151737879535E-2</v>
      </c>
      <c r="V28" s="3454"/>
      <c r="W28" s="3455"/>
      <c r="X28" s="3314">
        <f t="shared" si="23"/>
        <v>0.11504494390321941</v>
      </c>
      <c r="Y28" s="3173"/>
      <c r="Z28" s="3457"/>
    </row>
    <row r="29" spans="2:26" ht="18" customHeight="1" x14ac:dyDescent="0.2">
      <c r="B29" s="2642" t="s">
        <v>817</v>
      </c>
      <c r="C29" s="3495">
        <f>Table3.A!C29</f>
        <v>2652.8130000000001</v>
      </c>
      <c r="D29" s="3307">
        <v>16.036155034003372</v>
      </c>
      <c r="E29" s="3494">
        <f>'Table3.B(a)'!G29</f>
        <v>55.3763550481154</v>
      </c>
      <c r="F29" s="3479">
        <v>36539777.959490903</v>
      </c>
      <c r="G29" s="3479" t="s">
        <v>2146</v>
      </c>
      <c r="H29" s="3479" t="s">
        <v>2146</v>
      </c>
      <c r="I29" s="3479" t="s">
        <v>2153</v>
      </c>
      <c r="J29" s="3479" t="s">
        <v>2153</v>
      </c>
      <c r="K29" s="3479">
        <v>4996946.3201040439</v>
      </c>
      <c r="L29" s="3479" t="s">
        <v>2153</v>
      </c>
      <c r="M29" s="3479" t="s">
        <v>2146</v>
      </c>
      <c r="N29" s="3479" t="s">
        <v>2146</v>
      </c>
      <c r="O29" s="3479">
        <v>155025.78920094899</v>
      </c>
      <c r="P29" s="3479" t="s">
        <v>2146</v>
      </c>
      <c r="Q29" s="3479">
        <v>2838986.9425026602</v>
      </c>
      <c r="R29" s="3482">
        <f t="shared" si="8"/>
        <v>44530737.011298552</v>
      </c>
      <c r="S29" s="2657"/>
      <c r="T29" s="2658"/>
      <c r="U29" s="3456">
        <f t="shared" si="9"/>
        <v>4.3367151737879535E-2</v>
      </c>
      <c r="V29" s="3454"/>
      <c r="W29" s="3455"/>
      <c r="X29" s="3315">
        <v>0.11504494390321941</v>
      </c>
      <c r="Y29" s="3173"/>
      <c r="Z29" s="3457"/>
    </row>
    <row r="30" spans="2:26" ht="18" customHeight="1" x14ac:dyDescent="0.2">
      <c r="B30" s="351" t="s">
        <v>861</v>
      </c>
      <c r="C30" s="3314">
        <f>IF(SUM(C32:C39)=0,"NO",SUM(C32:C39))</f>
        <v>47120.811000000009</v>
      </c>
      <c r="D30" s="3492"/>
      <c r="E30" s="3492"/>
      <c r="F30" s="2649" t="str">
        <f>IF(SUM(F32:F39)=0,"NO",SUM(F32:F39))</f>
        <v>NO</v>
      </c>
      <c r="G30" s="2649" t="str">
        <f t="shared" ref="G30:Q30" si="24">IF(SUM(G32:G39)=0,"NO",SUM(G32:G39))</f>
        <v>NO</v>
      </c>
      <c r="H30" s="2649" t="str">
        <f t="shared" si="24"/>
        <v>NO</v>
      </c>
      <c r="I30" s="2649">
        <f t="shared" si="24"/>
        <v>10945052.840375252</v>
      </c>
      <c r="J30" s="2649" t="str">
        <f t="shared" si="24"/>
        <v>NO</v>
      </c>
      <c r="K30" s="2649" t="str">
        <f t="shared" si="24"/>
        <v>NO</v>
      </c>
      <c r="L30" s="2649" t="str">
        <f t="shared" si="24"/>
        <v>NO</v>
      </c>
      <c r="M30" s="2649">
        <f t="shared" si="24"/>
        <v>13017386.671208819</v>
      </c>
      <c r="N30" s="2649">
        <f t="shared" si="24"/>
        <v>4633562.0783288004</v>
      </c>
      <c r="O30" s="2649">
        <f t="shared" si="24"/>
        <v>65525.677997197497</v>
      </c>
      <c r="P30" s="2649" t="str">
        <f t="shared" si="24"/>
        <v>NO</v>
      </c>
      <c r="Q30" s="2649">
        <f t="shared" si="24"/>
        <v>30598251.689568099</v>
      </c>
      <c r="R30" s="3482">
        <f t="shared" si="8"/>
        <v>59259778.957478166</v>
      </c>
      <c r="S30" s="2657"/>
      <c r="T30" s="2658"/>
      <c r="U30" s="3456">
        <f t="shared" si="9"/>
        <v>4.3906911759284796E-3</v>
      </c>
      <c r="V30" s="3454"/>
      <c r="W30" s="3455"/>
      <c r="X30" s="3314">
        <f t="shared" ref="X30" si="25">IF(SUM(X32:X39)=0,"NO",SUM(X32:X39))</f>
        <v>0.20689292906029369</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10.88</v>
      </c>
      <c r="D32" s="3307">
        <v>39.5</v>
      </c>
      <c r="E32" s="3494" t="str">
        <f>'Table3.B(a)'!G32</f>
        <v>NA</v>
      </c>
      <c r="F32" s="3479" t="s">
        <v>2146</v>
      </c>
      <c r="G32" s="3479" t="s">
        <v>2146</v>
      </c>
      <c r="H32" s="3479" t="s">
        <v>2146</v>
      </c>
      <c r="I32" s="3479" t="s">
        <v>2146</v>
      </c>
      <c r="J32" s="3479" t="s">
        <v>2146</v>
      </c>
      <c r="K32" s="3479" t="s">
        <v>2146</v>
      </c>
      <c r="L32" s="3479" t="s">
        <v>2146</v>
      </c>
      <c r="M32" s="3479">
        <v>429760</v>
      </c>
      <c r="N32" s="3479" t="s">
        <v>2146</v>
      </c>
      <c r="O32" s="3479" t="s">
        <v>2146</v>
      </c>
      <c r="P32" s="3479" t="s">
        <v>2146</v>
      </c>
      <c r="Q32" s="3479" t="s">
        <v>2146</v>
      </c>
      <c r="R32" s="3482">
        <f t="shared" si="8"/>
        <v>429760</v>
      </c>
      <c r="S32" s="2657"/>
      <c r="T32" s="2658"/>
      <c r="U32" s="3456" t="str">
        <f>IF(SUM(X32)=0,"NA",X32*1000/C32)</f>
        <v>NA</v>
      </c>
      <c r="V32" s="3454"/>
      <c r="W32" s="3455"/>
      <c r="X32" s="3315" t="s">
        <v>2147</v>
      </c>
      <c r="Y32" s="3173"/>
      <c r="Z32" s="3457"/>
    </row>
    <row r="33" spans="2:26" ht="18" customHeight="1" x14ac:dyDescent="0.2">
      <c r="B33" s="350" t="s">
        <v>819</v>
      </c>
      <c r="C33" s="3495">
        <f>Table3.A!C33</f>
        <v>1.0680000000000001</v>
      </c>
      <c r="D33" s="3307">
        <v>39.5</v>
      </c>
      <c r="E33" s="3494" t="str">
        <f>'Table3.B(a)'!G33</f>
        <v>NA</v>
      </c>
      <c r="F33" s="3479" t="s">
        <v>2146</v>
      </c>
      <c r="G33" s="3479" t="s">
        <v>2146</v>
      </c>
      <c r="H33" s="3479" t="s">
        <v>2146</v>
      </c>
      <c r="I33" s="3479" t="s">
        <v>2146</v>
      </c>
      <c r="J33" s="3479" t="s">
        <v>2146</v>
      </c>
      <c r="K33" s="3479" t="s">
        <v>2146</v>
      </c>
      <c r="L33" s="3479" t="s">
        <v>2146</v>
      </c>
      <c r="M33" s="3479">
        <v>42170.989999999991</v>
      </c>
      <c r="N33" s="3479" t="s">
        <v>2146</v>
      </c>
      <c r="O33" s="3479" t="s">
        <v>2146</v>
      </c>
      <c r="P33" s="3479" t="s">
        <v>2146</v>
      </c>
      <c r="Q33" s="3479" t="s">
        <v>2146</v>
      </c>
      <c r="R33" s="3482">
        <f t="shared" si="8"/>
        <v>42170.989999999991</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144.28100000000001</v>
      </c>
      <c r="D34" s="3307">
        <v>13.2</v>
      </c>
      <c r="E34" s="3494" t="str">
        <f>'Table3.B(a)'!G34</f>
        <v>NA</v>
      </c>
      <c r="F34" s="3479" t="s">
        <v>2146</v>
      </c>
      <c r="G34" s="3479" t="s">
        <v>2146</v>
      </c>
      <c r="H34" s="3479" t="s">
        <v>2146</v>
      </c>
      <c r="I34" s="3479" t="s">
        <v>2146</v>
      </c>
      <c r="J34" s="3479" t="s">
        <v>2146</v>
      </c>
      <c r="K34" s="3479" t="s">
        <v>2146</v>
      </c>
      <c r="L34" s="3479" t="s">
        <v>2146</v>
      </c>
      <c r="M34" s="3479">
        <v>1904509.2</v>
      </c>
      <c r="N34" s="3479" t="s">
        <v>2146</v>
      </c>
      <c r="O34" s="3479" t="s">
        <v>2146</v>
      </c>
      <c r="P34" s="3479" t="s">
        <v>2146</v>
      </c>
      <c r="Q34" s="3479" t="s">
        <v>2146</v>
      </c>
      <c r="R34" s="3482">
        <f t="shared" si="8"/>
        <v>1904509.2</v>
      </c>
      <c r="S34" s="2657"/>
      <c r="T34" s="2658"/>
      <c r="U34" s="3456" t="str">
        <f t="shared" si="26"/>
        <v>NA</v>
      </c>
      <c r="V34" s="3454"/>
      <c r="W34" s="3455"/>
      <c r="X34" s="3315" t="s">
        <v>2147</v>
      </c>
      <c r="Y34" s="3173"/>
      <c r="Z34" s="3457"/>
    </row>
    <row r="35" spans="2:26" ht="18" customHeight="1" x14ac:dyDescent="0.2">
      <c r="B35" s="350" t="s">
        <v>821</v>
      </c>
      <c r="C35" s="3495">
        <f>Table3.A!C35</f>
        <v>132.81899999999999</v>
      </c>
      <c r="D35" s="3307">
        <v>7</v>
      </c>
      <c r="E35" s="3494" t="str">
        <f>'Table3.B(a)'!G35</f>
        <v>NA</v>
      </c>
      <c r="F35" s="3479" t="s">
        <v>2146</v>
      </c>
      <c r="G35" s="3479" t="s">
        <v>2146</v>
      </c>
      <c r="H35" s="3479" t="s">
        <v>2146</v>
      </c>
      <c r="I35" s="3479" t="s">
        <v>2146</v>
      </c>
      <c r="J35" s="3479" t="s">
        <v>2146</v>
      </c>
      <c r="K35" s="3479" t="s">
        <v>2146</v>
      </c>
      <c r="L35" s="3479" t="s">
        <v>2146</v>
      </c>
      <c r="M35" s="3479">
        <v>929733.9419016391</v>
      </c>
      <c r="N35" s="3479" t="s">
        <v>2146</v>
      </c>
      <c r="O35" s="3479" t="s">
        <v>2146</v>
      </c>
      <c r="P35" s="3479" t="s">
        <v>2146</v>
      </c>
      <c r="Q35" s="3479" t="s">
        <v>2146</v>
      </c>
      <c r="R35" s="3482">
        <f t="shared" si="8"/>
        <v>929733.9419016391</v>
      </c>
      <c r="S35" s="2657"/>
      <c r="T35" s="2658"/>
      <c r="U35" s="3456" t="str">
        <f t="shared" si="26"/>
        <v>NA</v>
      </c>
      <c r="V35" s="3454"/>
      <c r="W35" s="3455"/>
      <c r="X35" s="3315" t="s">
        <v>2147</v>
      </c>
      <c r="Y35" s="3173"/>
      <c r="Z35" s="3457"/>
    </row>
    <row r="36" spans="2:26" ht="18" customHeight="1" x14ac:dyDescent="0.2">
      <c r="B36" s="350" t="s">
        <v>822</v>
      </c>
      <c r="C36" s="3495">
        <f>Table3.A!C36</f>
        <v>237.685</v>
      </c>
      <c r="D36" s="3307">
        <v>39.5</v>
      </c>
      <c r="E36" s="3494" t="str">
        <f>'Table3.B(a)'!G36</f>
        <v>NA</v>
      </c>
      <c r="F36" s="3479" t="s">
        <v>2146</v>
      </c>
      <c r="G36" s="3479" t="s">
        <v>2146</v>
      </c>
      <c r="H36" s="3479" t="s">
        <v>2146</v>
      </c>
      <c r="I36" s="3479" t="s">
        <v>2146</v>
      </c>
      <c r="J36" s="3479" t="s">
        <v>2146</v>
      </c>
      <c r="K36" s="3479" t="s">
        <v>2146</v>
      </c>
      <c r="L36" s="3479" t="s">
        <v>2146</v>
      </c>
      <c r="M36" s="3479">
        <v>9388547.375802096</v>
      </c>
      <c r="N36" s="3479" t="s">
        <v>2146</v>
      </c>
      <c r="O36" s="3479" t="s">
        <v>2146</v>
      </c>
      <c r="P36" s="3479" t="s">
        <v>2146</v>
      </c>
      <c r="Q36" s="3479" t="s">
        <v>2146</v>
      </c>
      <c r="R36" s="3482">
        <f t="shared" si="8"/>
        <v>9388547.375802096</v>
      </c>
      <c r="S36" s="2657"/>
      <c r="T36" s="2658"/>
      <c r="U36" s="3456" t="str">
        <f t="shared" si="26"/>
        <v>NA</v>
      </c>
      <c r="V36" s="3454"/>
      <c r="W36" s="3455"/>
      <c r="X36" s="3315" t="s">
        <v>2147</v>
      </c>
      <c r="Y36" s="3173"/>
      <c r="Z36" s="3457"/>
    </row>
    <row r="37" spans="2:26" ht="18" customHeight="1" x14ac:dyDescent="0.2">
      <c r="B37" s="350" t="s">
        <v>862</v>
      </c>
      <c r="C37" s="3495">
        <f>Table3.A!C37</f>
        <v>1.599</v>
      </c>
      <c r="D37" s="3307">
        <v>13.2</v>
      </c>
      <c r="E37" s="3494" t="str">
        <f>'Table3.B(a)'!G37</f>
        <v>NA</v>
      </c>
      <c r="F37" s="3479" t="s">
        <v>2146</v>
      </c>
      <c r="G37" s="3479" t="s">
        <v>2146</v>
      </c>
      <c r="H37" s="3479" t="s">
        <v>2146</v>
      </c>
      <c r="I37" s="3479" t="s">
        <v>2146</v>
      </c>
      <c r="J37" s="3479" t="s">
        <v>2146</v>
      </c>
      <c r="K37" s="3479" t="s">
        <v>2146</v>
      </c>
      <c r="L37" s="3479" t="s">
        <v>2146</v>
      </c>
      <c r="M37" s="3479">
        <v>21109.115842622952</v>
      </c>
      <c r="N37" s="3479" t="s">
        <v>2146</v>
      </c>
      <c r="O37" s="3479" t="s">
        <v>2146</v>
      </c>
      <c r="P37" s="3479" t="s">
        <v>2146</v>
      </c>
      <c r="Q37" s="3479" t="s">
        <v>2146</v>
      </c>
      <c r="R37" s="3482">
        <f t="shared" si="8"/>
        <v>21109.115842622952</v>
      </c>
      <c r="S37" s="2657"/>
      <c r="T37" s="2658"/>
      <c r="U37" s="3456" t="str">
        <f t="shared" si="26"/>
        <v>NA</v>
      </c>
      <c r="V37" s="3454"/>
      <c r="W37" s="3455"/>
      <c r="X37" s="3315" t="s">
        <v>2147</v>
      </c>
      <c r="Y37" s="3173"/>
      <c r="Z37" s="3457"/>
    </row>
    <row r="38" spans="2:26" ht="18" customHeight="1" x14ac:dyDescent="0.2">
      <c r="B38" s="350" t="s">
        <v>824</v>
      </c>
      <c r="C38" s="3495">
        <f>Table3.A!C38</f>
        <v>46558.16</v>
      </c>
      <c r="D38" s="3307">
        <v>0.65852575621811005</v>
      </c>
      <c r="E38" s="3494" t="str">
        <f>'Table3.B(a)'!G38</f>
        <v>NA</v>
      </c>
      <c r="F38" s="3479" t="s">
        <v>2146</v>
      </c>
      <c r="G38" s="3479" t="s">
        <v>2146</v>
      </c>
      <c r="H38" s="3479" t="s">
        <v>2146</v>
      </c>
      <c r="I38" s="3479">
        <v>10945052.840375252</v>
      </c>
      <c r="J38" s="3479" t="s">
        <v>2153</v>
      </c>
      <c r="K38" s="3479" t="s">
        <v>2153</v>
      </c>
      <c r="L38" s="3479" t="s">
        <v>2153</v>
      </c>
      <c r="M38" s="3479">
        <v>61319.141662461101</v>
      </c>
      <c r="N38" s="3479">
        <v>4633562.0783288004</v>
      </c>
      <c r="O38" s="3479">
        <v>65525.677997197497</v>
      </c>
      <c r="P38" s="3479" t="s">
        <v>2146</v>
      </c>
      <c r="Q38" s="3479">
        <v>30598251.689568099</v>
      </c>
      <c r="R38" s="3482">
        <f t="shared" si="8"/>
        <v>46303711.427931815</v>
      </c>
      <c r="S38" s="2657"/>
      <c r="T38" s="2658"/>
      <c r="U38" s="3456">
        <f t="shared" si="26"/>
        <v>4.4437522672780378E-3</v>
      </c>
      <c r="V38" s="3454"/>
      <c r="W38" s="3455"/>
      <c r="X38" s="3315">
        <v>0.20689292906029369</v>
      </c>
      <c r="Y38" s="3173"/>
      <c r="Z38" s="3457"/>
    </row>
    <row r="39" spans="2:26" ht="18" customHeight="1" x14ac:dyDescent="0.2">
      <c r="B39" s="350" t="s">
        <v>825</v>
      </c>
      <c r="C39" s="3314">
        <f>IF(SUM(C40:C44)=0,"NO",SUM(C40:C44))</f>
        <v>34.318999999999996</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240236.90599999999</v>
      </c>
      <c r="N39" s="2649" t="str">
        <f t="shared" si="27"/>
        <v>NO</v>
      </c>
      <c r="O39" s="2649" t="str">
        <f t="shared" si="27"/>
        <v>NO</v>
      </c>
      <c r="P39" s="2649" t="str">
        <f t="shared" si="27"/>
        <v>NO</v>
      </c>
      <c r="Q39" s="2649" t="str">
        <f t="shared" si="27"/>
        <v>NO</v>
      </c>
      <c r="R39" s="3482">
        <f t="shared" si="8"/>
        <v>240236.90599999999</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32.533999999999999</v>
      </c>
      <c r="D42" s="3307">
        <v>7</v>
      </c>
      <c r="E42" s="3494" t="str">
        <f>'Table3.B(a)'!G42</f>
        <v>NA</v>
      </c>
      <c r="F42" s="3479" t="s">
        <v>2146</v>
      </c>
      <c r="G42" s="3479" t="s">
        <v>2146</v>
      </c>
      <c r="H42" s="3479" t="s">
        <v>2146</v>
      </c>
      <c r="I42" s="3479" t="s">
        <v>2146</v>
      </c>
      <c r="J42" s="3479" t="s">
        <v>2146</v>
      </c>
      <c r="K42" s="3479" t="s">
        <v>2146</v>
      </c>
      <c r="L42" s="3479" t="s">
        <v>2146</v>
      </c>
      <c r="M42" s="3479">
        <v>227741.11499999999</v>
      </c>
      <c r="N42" s="3479" t="s">
        <v>2146</v>
      </c>
      <c r="O42" s="3479" t="s">
        <v>2146</v>
      </c>
      <c r="P42" s="3479" t="s">
        <v>2146</v>
      </c>
      <c r="Q42" s="3479" t="s">
        <v>2146</v>
      </c>
      <c r="R42" s="3482">
        <f t="shared" si="8"/>
        <v>227741.11499999999</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1.7849999999999999</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12495.790999999999</v>
      </c>
      <c r="N44" s="2649" t="str">
        <f t="shared" si="28"/>
        <v>NO</v>
      </c>
      <c r="O44" s="2649" t="str">
        <f t="shared" si="28"/>
        <v>NO</v>
      </c>
      <c r="P44" s="2649" t="str">
        <f t="shared" si="28"/>
        <v>NO</v>
      </c>
      <c r="Q44" s="2649" t="str">
        <f t="shared" si="28"/>
        <v>NO</v>
      </c>
      <c r="R44" s="3482">
        <f t="shared" si="8"/>
        <v>12495.790999999999</v>
      </c>
      <c r="S44" s="2657"/>
      <c r="T44" s="2658"/>
      <c r="U44" s="3456" t="str">
        <f t="shared" si="26"/>
        <v>NA</v>
      </c>
      <c r="V44" s="3454"/>
      <c r="W44" s="3455"/>
      <c r="X44" s="3314" t="str">
        <f>X45</f>
        <v>NA</v>
      </c>
      <c r="Y44" s="3173"/>
      <c r="Z44" s="3457"/>
    </row>
    <row r="45" spans="2:26" ht="18" customHeight="1" x14ac:dyDescent="0.2">
      <c r="B45" s="2646" t="s">
        <v>2199</v>
      </c>
      <c r="C45" s="3495">
        <f>Table3.A!C45</f>
        <v>1.7849999999999999</v>
      </c>
      <c r="D45" s="3307">
        <v>7</v>
      </c>
      <c r="E45" s="3494" t="str">
        <f>'Table3.B(a)'!G45</f>
        <v>NA</v>
      </c>
      <c r="F45" s="3479" t="s">
        <v>2146</v>
      </c>
      <c r="G45" s="3479" t="s">
        <v>2146</v>
      </c>
      <c r="H45" s="3479" t="s">
        <v>2146</v>
      </c>
      <c r="I45" s="3479" t="s">
        <v>2146</v>
      </c>
      <c r="J45" s="3479" t="s">
        <v>2146</v>
      </c>
      <c r="K45" s="3479" t="s">
        <v>2146</v>
      </c>
      <c r="L45" s="3479" t="s">
        <v>2146</v>
      </c>
      <c r="M45" s="3479">
        <v>12495.790999999999</v>
      </c>
      <c r="N45" s="3479" t="s">
        <v>2146</v>
      </c>
      <c r="O45" s="3479" t="s">
        <v>2146</v>
      </c>
      <c r="P45" s="3479" t="s">
        <v>2146</v>
      </c>
      <c r="Q45" s="3479" t="s">
        <v>2146</v>
      </c>
      <c r="R45" s="3482">
        <f t="shared" si="8"/>
        <v>12495.790999999999</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65868732.697745897</v>
      </c>
      <c r="T46" s="3447">
        <v>181570.35798425399</v>
      </c>
      <c r="U46" s="3466"/>
      <c r="V46" s="3467">
        <f>IF(SUM(S46)=0,"NA",Y46*1000000/S46)</f>
        <v>3.5292234342868879E-3</v>
      </c>
      <c r="W46" s="3468">
        <f>IF(SUM(T46)=0,"NA",Z46*1000000/T46)</f>
        <v>1.7285714285714317E-2</v>
      </c>
      <c r="X46" s="3316"/>
      <c r="Y46" s="3320">
        <v>0.2324654750236638</v>
      </c>
      <c r="Z46" s="3321">
        <v>3.138573330870682E-3</v>
      </c>
    </row>
    <row r="47" spans="2:26" ht="18" customHeight="1" x14ac:dyDescent="0.2">
      <c r="B47" s="358" t="s">
        <v>863</v>
      </c>
      <c r="C47" s="359"/>
      <c r="D47" s="359"/>
      <c r="E47" s="359"/>
      <c r="F47" s="3485">
        <f>IF(SUM(F30,F27,F24,F10)=0,"NO",SUM(F30,F27,F24,F10))</f>
        <v>50899636.723190457</v>
      </c>
      <c r="G47" s="3485" t="str">
        <f t="shared" ref="G47:Q47" si="29">IF(SUM(G30,G27,G24,G10)=0,"NO",SUM(G30,G27,G24,G10))</f>
        <v>NO</v>
      </c>
      <c r="H47" s="3485">
        <f t="shared" si="29"/>
        <v>16932584.628022701</v>
      </c>
      <c r="I47" s="3485">
        <f t="shared" si="29"/>
        <v>14309934.156880964</v>
      </c>
      <c r="J47" s="3485" t="str">
        <f t="shared" si="29"/>
        <v>NO</v>
      </c>
      <c r="K47" s="3485">
        <f t="shared" si="29"/>
        <v>50450995.520094469</v>
      </c>
      <c r="L47" s="3485" t="str">
        <f t="shared" si="29"/>
        <v>NO</v>
      </c>
      <c r="M47" s="3409"/>
      <c r="N47" s="3485">
        <f t="shared" si="29"/>
        <v>4633562.0783288004</v>
      </c>
      <c r="O47" s="3485">
        <f t="shared" si="29"/>
        <v>220551.46719814648</v>
      </c>
      <c r="P47" s="3409"/>
      <c r="Q47" s="3485">
        <f t="shared" si="29"/>
        <v>33437238.632070757</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3.9849937723976284E-2</v>
      </c>
      <c r="J48" s="3486" t="str">
        <f t="shared" si="30"/>
        <v>NA</v>
      </c>
      <c r="K48" s="3486" t="str">
        <f t="shared" si="30"/>
        <v>NA</v>
      </c>
      <c r="L48" s="3486" t="str">
        <f t="shared" si="30"/>
        <v>NA</v>
      </c>
      <c r="M48" s="87"/>
      <c r="N48" s="3486">
        <f t="shared" si="30"/>
        <v>1.5714285714286083E-2</v>
      </c>
      <c r="O48" s="3486" t="str">
        <f t="shared" si="30"/>
        <v>NA</v>
      </c>
      <c r="P48" s="87"/>
      <c r="Q48" s="3486">
        <f t="shared" si="30"/>
        <v>2.5023395258347699E-3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0.5702499849859074</v>
      </c>
      <c r="J49" s="3487" t="s">
        <v>2153</v>
      </c>
      <c r="K49" s="3487" t="s">
        <v>2153</v>
      </c>
      <c r="L49" s="3487" t="s">
        <v>2153</v>
      </c>
      <c r="M49" s="3474"/>
      <c r="N49" s="3488">
        <v>7.2813118373739993E-2</v>
      </c>
      <c r="O49" s="3488" t="s">
        <v>2147</v>
      </c>
      <c r="P49" s="3474"/>
      <c r="Q49" s="3488">
        <v>8.3671323863799996E-2</v>
      </c>
      <c r="R49" s="1312"/>
      <c r="S49" s="1313"/>
      <c r="T49" s="1314"/>
      <c r="U49" s="3473">
        <f>X49*1000/SUM(C10,C24,C27,C30)</f>
        <v>3.7009076919426822E-3</v>
      </c>
      <c r="V49" s="3474"/>
      <c r="W49" s="3475"/>
      <c r="X49" s="3319">
        <f>SUM(X10,X24,X27,X30)</f>
        <v>0.72673442722344739</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21.388106699256326</v>
      </c>
    </row>
    <row r="11" spans="1:9" ht="18" customHeight="1" x14ac:dyDescent="0.2">
      <c r="B11" s="439" t="s">
        <v>876</v>
      </c>
      <c r="C11" s="4147">
        <v>1.34601049082796</v>
      </c>
      <c r="D11" s="243" t="s">
        <v>2146</v>
      </c>
      <c r="E11" s="283" t="s">
        <v>2146</v>
      </c>
      <c r="F11" s="2305">
        <f>IF(SUM(C11)=0,"NA",G11/C11)</f>
        <v>15.890000000000031</v>
      </c>
      <c r="G11" s="3093">
        <v>21.388106699256326</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1.34601049082796</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27.657093219387505</v>
      </c>
      <c r="H10" s="397" t="s">
        <v>897</v>
      </c>
      <c r="I10" s="398" t="s">
        <v>898</v>
      </c>
      <c r="J10" s="399">
        <v>0.21</v>
      </c>
    </row>
    <row r="11" spans="2:10" ht="24" customHeight="1" x14ac:dyDescent="0.2">
      <c r="B11" s="2431" t="s">
        <v>1949</v>
      </c>
      <c r="C11" s="2432" t="s">
        <v>899</v>
      </c>
      <c r="D11" s="3720">
        <v>573993.18143414729</v>
      </c>
      <c r="E11" s="3714">
        <f>IF(SUM(D11)=0,"NA",F11*1000/D11/(44/28))</f>
        <v>5.2501079870809564E-3</v>
      </c>
      <c r="F11" s="3425">
        <v>4.7355411500216675</v>
      </c>
      <c r="H11" s="397" t="s">
        <v>900</v>
      </c>
      <c r="I11" s="398" t="s">
        <v>901</v>
      </c>
      <c r="J11" s="399">
        <v>0.24</v>
      </c>
    </row>
    <row r="12" spans="2:10" ht="24" customHeight="1" thickBot="1" x14ac:dyDescent="0.25">
      <c r="B12" s="2431" t="s">
        <v>1950</v>
      </c>
      <c r="C12" s="2433" t="s">
        <v>902</v>
      </c>
      <c r="D12" s="3721">
        <f>IF(SUM(D13:D15)=0,"NO",SUM(D13:D15))</f>
        <v>80200.875789069891</v>
      </c>
      <c r="E12" s="3715">
        <f t="shared" ref="E12:E23" si="0">IF(SUM(D12)=0,"NA",F12*1000/D12/(44/28))</f>
        <v>8.3414823932115838E-3</v>
      </c>
      <c r="F12" s="3426">
        <f>IF(SUM(F13:F15)=0,"NO",SUM(F13:F15))</f>
        <v>1.0512765894944902</v>
      </c>
      <c r="H12" s="407" t="s">
        <v>903</v>
      </c>
      <c r="I12" s="408" t="s">
        <v>2147</v>
      </c>
      <c r="J12" s="2668" t="s">
        <v>2147</v>
      </c>
    </row>
    <row r="13" spans="2:10" ht="24" customHeight="1" x14ac:dyDescent="0.2">
      <c r="B13" s="2431" t="s">
        <v>904</v>
      </c>
      <c r="C13" s="2432" t="s">
        <v>905</v>
      </c>
      <c r="D13" s="3722">
        <v>73693.697358155405</v>
      </c>
      <c r="E13" s="3714">
        <f t="shared" si="0"/>
        <v>8.2833350655446697E-3</v>
      </c>
      <c r="F13" s="3425">
        <v>0.95924649454298538</v>
      </c>
      <c r="H13" s="1436" t="s">
        <v>906</v>
      </c>
      <c r="I13" s="1078"/>
      <c r="J13" s="1078"/>
    </row>
    <row r="14" spans="2:10" ht="24" customHeight="1" x14ac:dyDescent="0.2">
      <c r="B14" s="2431" t="s">
        <v>907</v>
      </c>
      <c r="C14" s="2432" t="s">
        <v>908</v>
      </c>
      <c r="D14" s="3722">
        <v>6507.1784309144896</v>
      </c>
      <c r="E14" s="3714">
        <f t="shared" si="0"/>
        <v>8.9999999999999993E-3</v>
      </c>
      <c r="F14" s="3425">
        <v>9.2030094951504923E-2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1985810.2877160991</v>
      </c>
      <c r="E16" s="3714">
        <f t="shared" si="0"/>
        <v>4.0000000000000001E-3</v>
      </c>
      <c r="F16" s="3425">
        <v>12.482236094215478</v>
      </c>
    </row>
    <row r="17" spans="2:11" ht="24" customHeight="1" x14ac:dyDescent="0.2">
      <c r="B17" s="2431" t="s">
        <v>913</v>
      </c>
      <c r="C17" s="2432" t="s">
        <v>914</v>
      </c>
      <c r="D17" s="3722">
        <v>552768.12029013387</v>
      </c>
      <c r="E17" s="3714">
        <f t="shared" si="0"/>
        <v>9.9999999999999985E-3</v>
      </c>
      <c r="F17" s="3425">
        <v>8.6863561759878163</v>
      </c>
    </row>
    <row r="18" spans="2:11" ht="24" customHeight="1" x14ac:dyDescent="0.2">
      <c r="B18" s="2431" t="s">
        <v>1951</v>
      </c>
      <c r="C18" s="2432" t="s">
        <v>915</v>
      </c>
      <c r="D18" s="3722">
        <v>195262.83943983601</v>
      </c>
      <c r="E18" s="3716">
        <f t="shared" si="0"/>
        <v>1.999999999999997E-3</v>
      </c>
      <c r="F18" s="3427">
        <v>0.61368320966805501</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9.3741582401074766</v>
      </c>
    </row>
    <row r="22" spans="2:11" ht="24" customHeight="1" x14ac:dyDescent="0.2">
      <c r="B22" s="2438" t="s">
        <v>1953</v>
      </c>
      <c r="C22" s="2432" t="s">
        <v>919</v>
      </c>
      <c r="D22" s="3722">
        <v>496936.52250953298</v>
      </c>
      <c r="E22" s="3714">
        <f t="shared" si="0"/>
        <v>2.7613226771675227E-3</v>
      </c>
      <c r="F22" s="3425">
        <v>2.1563175679859667</v>
      </c>
    </row>
    <row r="23" spans="2:11" ht="24" customHeight="1" thickBot="1" x14ac:dyDescent="0.25">
      <c r="B23" s="410" t="s">
        <v>920</v>
      </c>
      <c r="C23" s="411" t="s">
        <v>921</v>
      </c>
      <c r="D23" s="3725">
        <v>418182.17037791404</v>
      </c>
      <c r="E23" s="3719">
        <f t="shared" si="0"/>
        <v>1.0983661337482938E-2</v>
      </c>
      <c r="F23" s="3430">
        <v>7.2178406721215094</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8961325</v>
      </c>
      <c r="N9" s="4179">
        <v>2913190</v>
      </c>
      <c r="O9" s="4179">
        <v>242370</v>
      </c>
      <c r="P9" s="4180">
        <v>1273300</v>
      </c>
      <c r="Q9" s="4180">
        <v>924075</v>
      </c>
      <c r="R9" s="4180">
        <v>171482.952898074</v>
      </c>
      <c r="S9" s="4180">
        <v>1015828</v>
      </c>
      <c r="T9" s="4180">
        <v>181581</v>
      </c>
      <c r="U9" s="4180">
        <v>1500072.2169999999</v>
      </c>
      <c r="V9" s="4180">
        <v>34943259</v>
      </c>
      <c r="W9" s="4180">
        <v>23318.936000000002</v>
      </c>
      <c r="X9" s="4181">
        <v>390213</v>
      </c>
    </row>
    <row r="10" spans="2:24" ht="18" customHeight="1" thickTop="1" x14ac:dyDescent="0.2">
      <c r="B10" s="437" t="s">
        <v>947</v>
      </c>
      <c r="C10" s="376"/>
      <c r="D10" s="438"/>
      <c r="E10" s="438"/>
      <c r="F10" s="4149">
        <f>IF(SUM(F11:F14)=0,"NO",SUM(F11:F14))</f>
        <v>3175.4262526075581</v>
      </c>
      <c r="G10" s="4150">
        <f>IF(SUM($F10)=0,"NA",I10/$F10*1000)</f>
        <v>1.8924490145202588</v>
      </c>
      <c r="H10" s="4151">
        <f>IF(SUM($F10)=0,"NA",J10/$F10*1000)</f>
        <v>7.7433007364276898E-2</v>
      </c>
      <c r="I10" s="3192">
        <f>IF(SUM(I11:I14)=0,"NO",SUM(I11:I14))</f>
        <v>6.0093322824289315</v>
      </c>
      <c r="J10" s="420">
        <f>IF(SUM(J11:J14)=0,"NO",SUM(J11:J14))</f>
        <v>0.24588280440287924</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1488.5809075653201</v>
      </c>
      <c r="G11" s="4153">
        <f>IF(SUM($F11)=0,"NA",I11/$F11*1000)</f>
        <v>1.8666666666666645</v>
      </c>
      <c r="H11" s="4154">
        <f>IF(SUM($F11)=0,"NA",J11/$F11*1000)</f>
        <v>7.165714285714278E-2</v>
      </c>
      <c r="I11" s="3326">
        <v>2.7786843607885943</v>
      </c>
      <c r="J11" s="3327">
        <v>0.10666745474782338</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429.50319301858599</v>
      </c>
      <c r="G12" s="4155">
        <f t="shared" ref="G12:G28" si="0">IF(SUM($F12)=0,"NA",I12/$F12*1000)</f>
        <v>1.8666666666666687</v>
      </c>
      <c r="H12" s="4154">
        <f t="shared" ref="H12:H28" si="1">IF(SUM($F12)=0,"NA",J12/$F12*1000)</f>
        <v>8.3600000000000077E-2</v>
      </c>
      <c r="I12" s="3180">
        <v>0.80173929363469465</v>
      </c>
      <c r="J12" s="3327">
        <v>3.5906466936353826E-2</v>
      </c>
      <c r="L12" s="1324" t="s">
        <v>952</v>
      </c>
      <c r="M12" s="4177">
        <v>0.26217123973520001</v>
      </c>
      <c r="N12" s="4177">
        <v>0.28148288373128</v>
      </c>
      <c r="O12" s="4177">
        <v>0.27618842697320001</v>
      </c>
      <c r="P12" s="4178">
        <v>0.21646744906391999</v>
      </c>
      <c r="Q12" s="4178">
        <v>0.28478709930480001</v>
      </c>
      <c r="R12" s="4178">
        <v>0.25399925943408003</v>
      </c>
      <c r="S12" s="4178">
        <v>0.81499999999999995</v>
      </c>
      <c r="T12" s="4178">
        <v>0.31892905076568001</v>
      </c>
      <c r="U12" s="4178">
        <v>0.25507265798830991</v>
      </c>
      <c r="V12" s="4178">
        <v>0.6064905394199207</v>
      </c>
      <c r="W12" s="4178">
        <v>0.17582453709766238</v>
      </c>
      <c r="X12" s="4152">
        <v>0.28279162916196282</v>
      </c>
    </row>
    <row r="13" spans="2:24" ht="18" customHeight="1" thickBot="1" x14ac:dyDescent="0.25">
      <c r="B13" s="439" t="s">
        <v>953</v>
      </c>
      <c r="C13" s="440" t="s">
        <v>2147</v>
      </c>
      <c r="D13" s="440" t="s">
        <v>2147</v>
      </c>
      <c r="E13" s="440" t="s">
        <v>2147</v>
      </c>
      <c r="F13" s="4152">
        <v>44.244522967510598</v>
      </c>
      <c r="G13" s="4155">
        <f t="shared" si="0"/>
        <v>1.9599999999999982</v>
      </c>
      <c r="H13" s="4154">
        <f t="shared" si="1"/>
        <v>5.9714285714285657E-2</v>
      </c>
      <c r="I13" s="3180">
        <v>8.6719265016320685E-2</v>
      </c>
      <c r="J13" s="3327">
        <v>2.6420300857742016E-3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1213.0976290561416</v>
      </c>
      <c r="G14" s="4157">
        <f t="shared" si="0"/>
        <v>1.9307509197027093</v>
      </c>
      <c r="H14" s="4158">
        <f t="shared" si="1"/>
        <v>8.2983306719717445E-2</v>
      </c>
      <c r="I14" s="3199">
        <f>IF(SUM(I15:I19)=0,"NO",SUM(I15:I19))</f>
        <v>2.3421893629893216</v>
      </c>
      <c r="J14" s="3085">
        <f>IF(SUM(J15:J19)=0,"NO",SUM(J15:J19))</f>
        <v>0.10066685263292782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158.76172966642099</v>
      </c>
      <c r="G15" s="4159">
        <f t="shared" si="0"/>
        <v>1.8666666666666711</v>
      </c>
      <c r="H15" s="4160">
        <f t="shared" si="1"/>
        <v>9.5542857142857388E-2</v>
      </c>
      <c r="I15" s="3328">
        <v>0.29635522871065323</v>
      </c>
      <c r="J15" s="3327">
        <v>1.5168549257271803E-2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157.84825566340101</v>
      </c>
      <c r="G16" s="4161">
        <f t="shared" si="0"/>
        <v>1.8666666666666714</v>
      </c>
      <c r="H16" s="4162">
        <f t="shared" si="1"/>
        <v>7.165714285714303E-2</v>
      </c>
      <c r="I16" s="3329">
        <v>0.29465007723834929</v>
      </c>
      <c r="J16" s="3327">
        <v>1.1310955005823162E-2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26.861494319975598</v>
      </c>
      <c r="G17" s="4161">
        <f t="shared" si="0"/>
        <v>1.8666666666666665</v>
      </c>
      <c r="H17" s="4162">
        <f t="shared" si="1"/>
        <v>7.165714285714285E-2</v>
      </c>
      <c r="I17" s="3329">
        <v>5.0141456063954447E-2</v>
      </c>
      <c r="J17" s="3327">
        <v>1.9248179358428226E-3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832.93345090560001</v>
      </c>
      <c r="G18" s="4161">
        <f t="shared" si="0"/>
        <v>1.96</v>
      </c>
      <c r="H18" s="4162">
        <f t="shared" si="1"/>
        <v>8.3600000000000008E-2</v>
      </c>
      <c r="I18" s="3329">
        <v>1.6325495637749761</v>
      </c>
      <c r="J18" s="3327">
        <v>6.963323649570817E-2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36.692698500743901</v>
      </c>
      <c r="G19" s="4161">
        <f t="shared" si="0"/>
        <v>1.8666666666666649</v>
      </c>
      <c r="H19" s="4162">
        <f t="shared" si="1"/>
        <v>7.1657142857142794E-2</v>
      </c>
      <c r="I19" s="3329">
        <v>6.8493037201388551E-2</v>
      </c>
      <c r="J19" s="3327">
        <v>2.6292939382818749E-3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218.90573139660199</v>
      </c>
      <c r="G20" s="4165">
        <f t="shared" si="0"/>
        <v>1.8666666666666696</v>
      </c>
      <c r="H20" s="4166">
        <f t="shared" si="1"/>
        <v>0.10748571428571445</v>
      </c>
      <c r="I20" s="3220">
        <f>I21</f>
        <v>0.40862403194032437</v>
      </c>
      <c r="J20" s="449">
        <f>J21</f>
        <v>2.3529238900400512E-2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218.90573139660199</v>
      </c>
      <c r="G21" s="4168">
        <f t="shared" si="0"/>
        <v>1.8666666666666696</v>
      </c>
      <c r="H21" s="4158">
        <f t="shared" si="1"/>
        <v>0.10748571428571445</v>
      </c>
      <c r="I21" s="3199">
        <f>I22</f>
        <v>0.40862403194032437</v>
      </c>
      <c r="J21" s="3085">
        <f>J22</f>
        <v>2.3529238900400512E-2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218.90573139660199</v>
      </c>
      <c r="G22" s="4170">
        <f t="shared" si="0"/>
        <v>1.8666666666666696</v>
      </c>
      <c r="H22" s="4171">
        <f t="shared" si="1"/>
        <v>0.10748571428571445</v>
      </c>
      <c r="I22" s="3330">
        <v>0.40862403194032437</v>
      </c>
      <c r="J22" s="3331">
        <v>2.3529238900400512E-2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1017.252288</v>
      </c>
      <c r="G26" s="4175">
        <f t="shared" si="0"/>
        <v>1.8666666666666667</v>
      </c>
      <c r="H26" s="4176">
        <f t="shared" si="1"/>
        <v>5.9714285714285706E-2</v>
      </c>
      <c r="I26" s="3332">
        <v>1.8988709375999999</v>
      </c>
      <c r="J26" s="3333">
        <v>6.074449376914285E-2</v>
      </c>
      <c r="L26" s="159"/>
    </row>
    <row r="27" spans="2:24" ht="18" customHeight="1" x14ac:dyDescent="0.2">
      <c r="B27" s="446" t="s">
        <v>963</v>
      </c>
      <c r="C27" s="447"/>
      <c r="D27" s="448"/>
      <c r="E27" s="448"/>
      <c r="F27" s="4164">
        <f>IF(SUM(F28:F29)=0,"NO",SUM(F28:F29))</f>
        <v>107.45014007125958</v>
      </c>
      <c r="G27" s="4165">
        <f t="shared" si="0"/>
        <v>1.8681299654310783</v>
      </c>
      <c r="H27" s="4166">
        <f t="shared" si="1"/>
        <v>0.10879641189326608</v>
      </c>
      <c r="I27" s="3220">
        <f>IF(SUM(I28:I29)=0,"NO",SUM(I28:I29))</f>
        <v>0.2007308264568867</v>
      </c>
      <c r="J27" s="449">
        <f>IF(SUM(J28:J29)=0,"NO",SUM(J28:J29))</f>
        <v>1.1690189697181892E-2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1.68462489859458</v>
      </c>
      <c r="G28" s="4161">
        <f t="shared" si="0"/>
        <v>1.9599999999999986</v>
      </c>
      <c r="H28" s="4162">
        <f t="shared" si="1"/>
        <v>0.19108571428571419</v>
      </c>
      <c r="I28" s="3329">
        <v>3.3018648012453741E-3</v>
      </c>
      <c r="J28" s="3327">
        <v>3.2190775205144414E-4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105.765515172665</v>
      </c>
      <c r="G29" s="4161">
        <f t="shared" ref="G29" si="2">IF(SUM($F29)=0,"NA",I29/$F29*1000)</f>
        <v>1.8666666666666667</v>
      </c>
      <c r="H29" s="4162">
        <f t="shared" ref="H29" si="3">IF(SUM($F29)=0,"NA",J29/$F29*1000)</f>
        <v>0.10748571428571428</v>
      </c>
      <c r="I29" s="3329">
        <v>0.19742896165564133</v>
      </c>
      <c r="J29" s="3327">
        <v>1.1368281945130449E-2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439.54233407142647</v>
      </c>
    </row>
    <row r="11" spans="2:5" s="83" customFormat="1" ht="18" customHeight="1" x14ac:dyDescent="0.2">
      <c r="B11" s="1854" t="s">
        <v>972</v>
      </c>
      <c r="C11" s="4187">
        <v>971791.64390451903</v>
      </c>
      <c r="D11" s="3594">
        <f>IF(SUM(C11)=0,"NA",E11*1000/(44/12)/C11)</f>
        <v>0.10799999999999994</v>
      </c>
      <c r="E11" s="3431">
        <v>384.82949098618934</v>
      </c>
    </row>
    <row r="12" spans="2:5" s="83" customFormat="1" ht="18" customHeight="1" x14ac:dyDescent="0.2">
      <c r="B12" s="1854" t="s">
        <v>973</v>
      </c>
      <c r="C12" s="4187">
        <v>120823.35609548099</v>
      </c>
      <c r="D12" s="3594">
        <f t="shared" ref="D12:D16" si="0">IF(SUM(C12)=0,"NA",E12*1000/(44/12)/C12)</f>
        <v>0.12350000000000036</v>
      </c>
      <c r="E12" s="3431">
        <v>54.712843085237139</v>
      </c>
    </row>
    <row r="13" spans="2:5" s="83" customFormat="1" ht="18" customHeight="1" x14ac:dyDescent="0.2">
      <c r="B13" s="846" t="s">
        <v>974</v>
      </c>
      <c r="C13" s="4188">
        <v>654347.82608695701</v>
      </c>
      <c r="D13" s="4189">
        <f t="shared" si="0"/>
        <v>0.19999999999999987</v>
      </c>
      <c r="E13" s="3432">
        <v>479.85507246376812</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43019.814255361678</v>
      </c>
      <c r="D10" s="2989">
        <f t="shared" ref="D10:H10" si="0">IF(SUM(D11,D14,D17,D20,D23,D26,D29:D30)=0,"NO",SUM(D11,D14,D17,D20,D23,D26,D29:D30))</f>
        <v>589.62938766251364</v>
      </c>
      <c r="E10" s="2989">
        <f t="shared" si="0"/>
        <v>13.607801100295523</v>
      </c>
      <c r="F10" s="2989">
        <f t="shared" si="0"/>
        <v>722.79352870089099</v>
      </c>
      <c r="G10" s="2989">
        <f t="shared" si="0"/>
        <v>19425.573768848761</v>
      </c>
      <c r="H10" s="2990">
        <f t="shared" si="0"/>
        <v>657.19907433649882</v>
      </c>
      <c r="I10" s="2991">
        <f>IF(SUM(C10:E10)=0,"NO",SUM(C10)+28*SUM(D10)+265*SUM(E10))</f>
        <v>63135.504401490376</v>
      </c>
    </row>
    <row r="11" spans="2:9" ht="18" customHeight="1" x14ac:dyDescent="0.2">
      <c r="B11" s="473" t="s">
        <v>981</v>
      </c>
      <c r="C11" s="2992">
        <f>IF(SUM(C12:C13)=0,"NO",SUM(C12:C13))</f>
        <v>-20875.51926770695</v>
      </c>
      <c r="D11" s="2992">
        <f t="shared" ref="D11:H11" si="1">IF(SUM(D12:D13)=0,"NO",SUM(D12:D13))</f>
        <v>222.64323922745271</v>
      </c>
      <c r="E11" s="2992">
        <f t="shared" si="1"/>
        <v>4.531344016077635</v>
      </c>
      <c r="F11" s="2992">
        <f t="shared" si="1"/>
        <v>220.64661926123219</v>
      </c>
      <c r="G11" s="2992">
        <f t="shared" si="1"/>
        <v>6099.1398103653446</v>
      </c>
      <c r="H11" s="2993">
        <f t="shared" si="1"/>
        <v>254.54758024513916</v>
      </c>
      <c r="I11" s="2994">
        <f t="shared" ref="I11:I32" si="2">IF(SUM(C11:E11)=0,"NO",SUM(C11)+28*SUM(D11)+265*SUM(E11))</f>
        <v>-13440.702405077702</v>
      </c>
    </row>
    <row r="12" spans="2:9" ht="18" customHeight="1" x14ac:dyDescent="0.2">
      <c r="B12" s="474" t="s">
        <v>982</v>
      </c>
      <c r="C12" s="2995">
        <f>IF(SUM(Table4.A!U11,'Table4(IV)'!J12)=0,"NO",SUM(Table4.A!U11,'Table4(IV)'!J12))</f>
        <v>-8735.4031847583319</v>
      </c>
      <c r="D12" s="2995">
        <f>'Table4(IV)'!K12</f>
        <v>222.02937516560485</v>
      </c>
      <c r="E12" s="2995">
        <f>IF(SUM('Table4(III)'!I12,'Table4(IV)'!L12)=0,"NO",SUM('Table4(III)'!I12,'Table4(IV)'!L12))</f>
        <v>4.0018492786091198</v>
      </c>
      <c r="F12" s="2905">
        <v>220.18416133411014</v>
      </c>
      <c r="G12" s="2905">
        <v>6083.3568247645817</v>
      </c>
      <c r="H12" s="2906">
        <v>253.08198817560296</v>
      </c>
      <c r="I12" s="2996">
        <f t="shared" si="2"/>
        <v>-1458.0906212899799</v>
      </c>
    </row>
    <row r="13" spans="2:9" ht="18" customHeight="1" thickBot="1" x14ac:dyDescent="0.25">
      <c r="B13" s="475" t="s">
        <v>983</v>
      </c>
      <c r="C13" s="2997">
        <f>IF(SUM(Table4.A!U16,'Table4(IV)'!J19)=0,"NO",SUM(Table4.A!U16,'Table4(IV)'!J19))</f>
        <v>-12140.11608294862</v>
      </c>
      <c r="D13" s="2997">
        <f>'Table4(IV)'!K19</f>
        <v>0.61386406184785058</v>
      </c>
      <c r="E13" s="2997">
        <f>IF(SUM('Table4(III)'!I13,'Table4(IV)'!L19)=0,"NO",SUM('Table4(III)'!I13,'Table4(IV)'!L19))</f>
        <v>0.52949473746851505</v>
      </c>
      <c r="F13" s="2908">
        <v>0.46245792712205547</v>
      </c>
      <c r="G13" s="2908">
        <v>15.782985600762817</v>
      </c>
      <c r="H13" s="2907">
        <v>1.4655920695362028</v>
      </c>
      <c r="I13" s="2998">
        <f t="shared" si="2"/>
        <v>-11982.611783787725</v>
      </c>
    </row>
    <row r="14" spans="2:9" ht="18" customHeight="1" x14ac:dyDescent="0.2">
      <c r="B14" s="473" t="s">
        <v>984</v>
      </c>
      <c r="C14" s="2992">
        <f>IF(SUM(C15:C16)=0,"NO",SUM(C15:C16))</f>
        <v>12887.613706553717</v>
      </c>
      <c r="D14" s="2992">
        <f t="shared" ref="D14" si="3">IF(SUM(D15:D16)=0,"NO",SUM(D15:D16))</f>
        <v>6.0704136000000002</v>
      </c>
      <c r="E14" s="2992">
        <f t="shared" ref="E14" si="4">IF(SUM(E15:E16)=0,"NO",SUM(E15:E16))</f>
        <v>0.25520864831611695</v>
      </c>
      <c r="F14" s="2992">
        <f t="shared" ref="F14" si="5">IF(SUM(F15:F16)=0,"NO",SUM(F15:F16))</f>
        <v>4.5708769071428579</v>
      </c>
      <c r="G14" s="2992">
        <f t="shared" ref="G14" si="6">IF(SUM(G15:G16)=0,"NO",SUM(G15:G16))</f>
        <v>179.02099366666667</v>
      </c>
      <c r="H14" s="2993">
        <f t="shared" ref="H14" si="7">IF(SUM(H15:H16)=0,"NO",SUM(H15:H16))</f>
        <v>21.639900333333333</v>
      </c>
      <c r="I14" s="2999">
        <f t="shared" si="2"/>
        <v>13125.215579157488</v>
      </c>
    </row>
    <row r="15" spans="2:9" ht="18" customHeight="1" x14ac:dyDescent="0.2">
      <c r="B15" s="474" t="s">
        <v>985</v>
      </c>
      <c r="C15" s="2995">
        <f>IF(SUM(Table4.B!S11,'Table4(IV)'!J26)=0,"NO",SUM(Table4.B!S11,'Table4(IV)'!J26))</f>
        <v>7072.4168664120052</v>
      </c>
      <c r="D15" s="2995" t="str">
        <f>'Table4(IV)'!K26</f>
        <v>IE</v>
      </c>
      <c r="E15" s="2995" t="str">
        <f>'Table4(IV)'!L26</f>
        <v>IE</v>
      </c>
      <c r="F15" s="2905" t="s">
        <v>2153</v>
      </c>
      <c r="G15" s="2905" t="s">
        <v>2153</v>
      </c>
      <c r="H15" s="2906" t="s">
        <v>2153</v>
      </c>
      <c r="I15" s="2996">
        <f t="shared" si="2"/>
        <v>7072.4168664120052</v>
      </c>
    </row>
    <row r="16" spans="2:9" ht="18" customHeight="1" thickBot="1" x14ac:dyDescent="0.25">
      <c r="B16" s="475" t="s">
        <v>986</v>
      </c>
      <c r="C16" s="2997">
        <f>IF(SUM(Table4.B!S13,'Table4(IV)'!J31)=0,"IE",SUM(Table4.B!S13,'Table4(IV)'!J31))</f>
        <v>5815.1968401417116</v>
      </c>
      <c r="D16" s="2997">
        <f>'Table4(IV)'!K31</f>
        <v>6.0704136000000002</v>
      </c>
      <c r="E16" s="2997">
        <f>IF(SUM('Table4(III)'!I21,'Table4(IV)'!L31)=0,"IE",SUM('Table4(III)'!I21,'Table4(IV)'!L31))</f>
        <v>0.25520864831611695</v>
      </c>
      <c r="F16" s="2908">
        <v>4.5708769071428579</v>
      </c>
      <c r="G16" s="2908">
        <v>179.02099366666667</v>
      </c>
      <c r="H16" s="2907">
        <v>21.639900333333333</v>
      </c>
      <c r="I16" s="2998">
        <f t="shared" si="2"/>
        <v>6052.7987127454826</v>
      </c>
    </row>
    <row r="17" spans="2:9" ht="18" customHeight="1" x14ac:dyDescent="0.2">
      <c r="B17" s="473" t="s">
        <v>987</v>
      </c>
      <c r="C17" s="2992">
        <f>IF(SUM(C18:C19)=0,"NO",SUM(C18:C19))</f>
        <v>52838.478964578324</v>
      </c>
      <c r="D17" s="2992">
        <f t="shared" ref="D17" si="8">IF(SUM(D18:D19)=0,"NO",SUM(D18:D19))</f>
        <v>282.14195655377739</v>
      </c>
      <c r="E17" s="2992">
        <f t="shared" ref="E17" si="9">IF(SUM(E18:E19)=0,"NO",SUM(E18:E19))</f>
        <v>8.5114766360509773</v>
      </c>
      <c r="F17" s="2992">
        <f t="shared" ref="F17" si="10">IF(SUM(F18:F19)=0,"NO",SUM(F18:F19))</f>
        <v>481.41721287741592</v>
      </c>
      <c r="G17" s="2992">
        <f t="shared" ref="G17" si="11">IF(SUM(G18:G19)=0,"NO",SUM(G18:G19))</f>
        <v>12717.002870640434</v>
      </c>
      <c r="H17" s="2993">
        <f t="shared" ref="H17" si="12">IF(SUM(H18:H19)=0,"NO",SUM(H18:H19))</f>
        <v>367.42061088599371</v>
      </c>
      <c r="I17" s="2999">
        <f t="shared" si="2"/>
        <v>62993.995056637599</v>
      </c>
    </row>
    <row r="18" spans="2:9" ht="18" customHeight="1" x14ac:dyDescent="0.2">
      <c r="B18" s="474" t="s">
        <v>988</v>
      </c>
      <c r="C18" s="2995">
        <f>IF(SUM(Table4.C!S11,'Table4(IV)'!J37)=0,"IE",SUM(Table4.C!S11,'Table4(IV)'!J37))</f>
        <v>-13341.20085649308</v>
      </c>
      <c r="D18" s="2995">
        <f>'Table4(IV)'!K37</f>
        <v>193.87522197881748</v>
      </c>
      <c r="E18" s="2995">
        <f>IF(SUM('Table4(III)'!I29,'Table4(IV)'!L37)=0,"NO",SUM('Table4(III)'!I29,'Table4(IV)'!L37))</f>
        <v>6.4526270546863476</v>
      </c>
      <c r="F18" s="2905">
        <v>414.33332727449738</v>
      </c>
      <c r="G18" s="2905">
        <v>10107.243783982514</v>
      </c>
      <c r="H18" s="2906">
        <v>55.30025408410323</v>
      </c>
      <c r="I18" s="2996">
        <f t="shared" si="2"/>
        <v>-6202.7484715943092</v>
      </c>
    </row>
    <row r="19" spans="2:9" ht="18" customHeight="1" thickBot="1" x14ac:dyDescent="0.25">
      <c r="B19" s="475" t="s">
        <v>989</v>
      </c>
      <c r="C19" s="2997">
        <f>IF(SUM(Table4.C!S15,'Table4(IV)'!J42)=0,"IE",SUM(Table4.C!S15,'Table4(IV)'!J42))</f>
        <v>66179.679821071404</v>
      </c>
      <c r="D19" s="2997">
        <f>'Table4(IV)'!K42</f>
        <v>88.266734574959898</v>
      </c>
      <c r="E19" s="2997">
        <f>IF(SUM('Table4(III)'!I30,'Table4(IV)'!L42)=0,"NO",SUM('Table4(III)'!I30,'Table4(IV)'!L42))</f>
        <v>2.0588495813646297</v>
      </c>
      <c r="F19" s="2908">
        <v>67.083885602918542</v>
      </c>
      <c r="G19" s="2908">
        <v>2609.7590866579185</v>
      </c>
      <c r="H19" s="2907">
        <v>312.12035680189047</v>
      </c>
      <c r="I19" s="2998">
        <f t="shared" si="2"/>
        <v>69196.743528231906</v>
      </c>
    </row>
    <row r="20" spans="2:9" ht="18" customHeight="1" x14ac:dyDescent="0.2">
      <c r="B20" s="473" t="s">
        <v>2027</v>
      </c>
      <c r="C20" s="2992">
        <f>IF(SUM(C21:C22)=0,"NO",SUM(C21:C22))</f>
        <v>420.85388622961864</v>
      </c>
      <c r="D20" s="2992">
        <f t="shared" ref="D20" si="13">IF(SUM(D21:D22)=0,"NO",SUM(D21:D22))</f>
        <v>75.018783881283582</v>
      </c>
      <c r="E20" s="2992">
        <f t="shared" ref="E20" si="14">IF(SUM(E21:E22)=0,"NO",SUM(E21:E22))</f>
        <v>0.18433889691286789</v>
      </c>
      <c r="F20" s="2992">
        <f t="shared" ref="F20" si="15">IF(SUM(F21:F22)=0,"NO",SUM(F21:F22))</f>
        <v>13.331398276528654</v>
      </c>
      <c r="G20" s="2992">
        <f t="shared" ref="G20" si="16">IF(SUM(G21:G22)=0,"NO",SUM(G21:G22))</f>
        <v>319.67252784297966</v>
      </c>
      <c r="H20" s="2993">
        <f t="shared" ref="H20" si="17">IF(SUM(H21:H22)=0,"NO",SUM(H21:H22))</f>
        <v>0.20512320536591189</v>
      </c>
      <c r="I20" s="2999">
        <f t="shared" si="2"/>
        <v>2570.2296425874692</v>
      </c>
    </row>
    <row r="21" spans="2:9" ht="18" customHeight="1" x14ac:dyDescent="0.2">
      <c r="B21" s="474" t="s">
        <v>990</v>
      </c>
      <c r="C21" s="2995">
        <f>IF(SUM(Table4.D!S11,'Table4(IV)'!J49)=0,"IE",SUM(Table4.D!S11,'Table4(IV)'!J49))</f>
        <v>194.94321956295195</v>
      </c>
      <c r="D21" s="2995">
        <f>IF(SUM('Table4(IV)'!K49,'Table4(II)'!J270)=0,"NO",SUM('Table4(IV)'!K49,'Table4(II)'!J270))</f>
        <v>62.388468515380801</v>
      </c>
      <c r="E21" s="2995">
        <f>IF(SUM('Table4(II)'!I270,'Table4(III)'!I38,'Table4(IV)'!L49)=0,"NO",SUM('Table4(II)'!I270,'Table4(III)'!I38,'Table4(IV)'!L49))</f>
        <v>0.18433889691286789</v>
      </c>
      <c r="F21" s="2905">
        <v>13.331398276528654</v>
      </c>
      <c r="G21" s="2905">
        <v>319.67252784297966</v>
      </c>
      <c r="H21" s="2906">
        <v>0.20512320536591189</v>
      </c>
      <c r="I21" s="2996">
        <f t="shared" si="2"/>
        <v>1990.6701456755245</v>
      </c>
    </row>
    <row r="22" spans="2:9" ht="18" customHeight="1" thickBot="1" x14ac:dyDescent="0.25">
      <c r="B22" s="475" t="s">
        <v>991</v>
      </c>
      <c r="C22" s="2997">
        <f>IF(SUM(Table4.D!S23,'Table4(II)'!H320,'Table4(IV)'!J54)=0,"NO",SUM(Table4.D!S23,'Table4(II)'!H320,'Table4(IV)'!J54))</f>
        <v>225.91066666666666</v>
      </c>
      <c r="D22" s="2997">
        <f>IF(SUM('Table4(IV)'!K54,'Table4(II)'!J320)=0,"NO",SUM('Table4(IV)'!K54,'Table4(II)'!J320))</f>
        <v>12.630315365902776</v>
      </c>
      <c r="E22" s="2997" t="str">
        <f>IF(SUM('Table4(II)'!I320,'Table4(III)'!I39,'Table4(IV)'!L54)=0,"NO",SUM('Table4(II)'!I320,'Table4(III)'!I39,'Table4(IV)'!L54))</f>
        <v>NO</v>
      </c>
      <c r="F22" s="2908" t="s">
        <v>2153</v>
      </c>
      <c r="G22" s="2908" t="s">
        <v>2153</v>
      </c>
      <c r="H22" s="2907" t="s">
        <v>2153</v>
      </c>
      <c r="I22" s="2998">
        <f t="shared" si="2"/>
        <v>579.55949691194439</v>
      </c>
    </row>
    <row r="23" spans="2:9" ht="18" customHeight="1" x14ac:dyDescent="0.2">
      <c r="B23" s="473" t="s">
        <v>992</v>
      </c>
      <c r="C23" s="2992">
        <f>IF(SUM(C24:C25)=0,"NO",SUM(C24:C25))</f>
        <v>5259.0434028994623</v>
      </c>
      <c r="D23" s="2992">
        <f t="shared" ref="D23" si="18">IF(SUM(D24:D25)=0,"NO",SUM(D24:D25))</f>
        <v>3.7549944000000002</v>
      </c>
      <c r="E23" s="2992">
        <f t="shared" ref="E23" si="19">IF(SUM(E24:E25)=0,"NO",SUM(E24:E25))</f>
        <v>9.1346810080783714E-2</v>
      </c>
      <c r="F23" s="2992">
        <f>IF(SUM(F24:F25)=0,"NO",SUM(F24:F25))</f>
        <v>2.8274213785714286</v>
      </c>
      <c r="G23" s="2992">
        <f t="shared" ref="G23" si="20">IF(SUM(G24:G25)=0,"NO",SUM(G24:G25))</f>
        <v>110.73756633333332</v>
      </c>
      <c r="H23" s="2993">
        <f t="shared" ref="H23" si="21">IF(SUM(H24:H25)=0,"NO",SUM(H24:H25))</f>
        <v>13.385859666666668</v>
      </c>
      <c r="I23" s="2999">
        <f t="shared" si="2"/>
        <v>5388.3901507708697</v>
      </c>
    </row>
    <row r="24" spans="2:9" ht="18" customHeight="1" x14ac:dyDescent="0.2">
      <c r="B24" s="474" t="s">
        <v>993</v>
      </c>
      <c r="C24" s="2995">
        <f>IF(SUM(Table4.E!S11,'Table4(IV)'!J60)=0,"IE",SUM(Table4.E!S11,'Table4(IV)'!J60))</f>
        <v>-4.4607209154054575</v>
      </c>
      <c r="D24" s="2995" t="str">
        <f>'Table4(IV)'!K60</f>
        <v>IE</v>
      </c>
      <c r="E24" s="2995">
        <f>IF(SUM('Table4(III)'!I47,'Table4(IV)'!L60)=0,"IE",SUM('Table4(III)'!I47,'Table4(IV)'!L60))</f>
        <v>6.3722889579171293E-4</v>
      </c>
      <c r="F24" s="2905" t="s">
        <v>2154</v>
      </c>
      <c r="G24" s="2905" t="s">
        <v>2154</v>
      </c>
      <c r="H24" s="2906" t="s">
        <v>2154</v>
      </c>
      <c r="I24" s="2996">
        <f t="shared" si="2"/>
        <v>-4.2918552580206537</v>
      </c>
    </row>
    <row r="25" spans="2:9" ht="18" customHeight="1" thickBot="1" x14ac:dyDescent="0.25">
      <c r="B25" s="475" t="s">
        <v>994</v>
      </c>
      <c r="C25" s="2997">
        <f>IF(SUM(Table4.E!S13,'Table4(IV)'!J65)=0,"IE",SUM(Table4.E!S13,'Table4(IV)'!J65))</f>
        <v>5263.5041238148679</v>
      </c>
      <c r="D25" s="2997">
        <f>'Table4(IV)'!K65</f>
        <v>3.7549944000000002</v>
      </c>
      <c r="E25" s="2997">
        <f>IF(SUM('Table4(III)'!I48,'Table4(IV)'!L65)=0,"NO",SUM('Table4(III)'!I48,'Table4(IV)'!L65))</f>
        <v>9.0709581184992005E-2</v>
      </c>
      <c r="F25" s="2908">
        <v>2.8274213785714286</v>
      </c>
      <c r="G25" s="2908">
        <v>110.73756633333332</v>
      </c>
      <c r="H25" s="2907">
        <v>13.385859666666668</v>
      </c>
      <c r="I25" s="2998">
        <f t="shared" si="2"/>
        <v>5392.6820060288901</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-7510.6564371924978</v>
      </c>
      <c r="D29" s="3004"/>
      <c r="E29" s="3004"/>
      <c r="F29" s="3004"/>
      <c r="G29" s="3004"/>
      <c r="H29" s="3005"/>
      <c r="I29" s="3006">
        <f t="shared" si="2"/>
        <v>-7510.6564371924978</v>
      </c>
    </row>
    <row r="30" spans="2:9" ht="18" customHeight="1" x14ac:dyDescent="0.2">
      <c r="B30" s="1168" t="s">
        <v>2063</v>
      </c>
      <c r="C30" s="3007" t="str">
        <f>IF(SUM(C31:C32)=0,"NO",SUM(C31:C32))</f>
        <v>NO</v>
      </c>
      <c r="D30" s="3007" t="str">
        <f t="shared" ref="D30" si="27">IF(SUM(D31:D32)=0,"NO",SUM(D31:D32))</f>
        <v>NO</v>
      </c>
      <c r="E30" s="3007">
        <f t="shared" ref="E30" si="28">IF(SUM(E31:E32)=0,"NO",SUM(E31:E32))</f>
        <v>3.4086092857142862E-2</v>
      </c>
      <c r="F30" s="3007" t="str">
        <f t="shared" ref="F30" si="29">IF(SUM(F31:F32)=0,"NO",SUM(F31:F32))</f>
        <v>NO</v>
      </c>
      <c r="G30" s="3007" t="str">
        <f t="shared" ref="G30" si="30">IF(SUM(G31:G32)=0,"NO",SUM(G31:G32))</f>
        <v>NO</v>
      </c>
      <c r="H30" s="3008" t="str">
        <f t="shared" ref="H30" si="31">IF(SUM(H31:H32)=0,"NO",SUM(H31:H32))</f>
        <v>NO</v>
      </c>
      <c r="I30" s="3009">
        <f t="shared" si="2"/>
        <v>9.0328146071428588</v>
      </c>
    </row>
    <row r="31" spans="2:9" ht="18" customHeight="1" x14ac:dyDescent="0.2">
      <c r="B31" s="2677" t="s">
        <v>2218</v>
      </c>
      <c r="C31" s="3010" t="s">
        <v>2146</v>
      </c>
      <c r="D31" s="3010" t="s">
        <v>2146</v>
      </c>
      <c r="E31" s="3010">
        <v>3.4086092857142862E-2</v>
      </c>
      <c r="F31" s="3010" t="s">
        <v>2146</v>
      </c>
      <c r="G31" s="3010" t="s">
        <v>2146</v>
      </c>
      <c r="H31" s="3011" t="s">
        <v>2146</v>
      </c>
      <c r="I31" s="3012">
        <f t="shared" si="2"/>
        <v>9.0328146071428588</v>
      </c>
    </row>
    <row r="32" spans="2:9" ht="18" customHeight="1" thickBot="1" x14ac:dyDescent="0.25">
      <c r="B32" s="2676" t="s">
        <v>2219</v>
      </c>
      <c r="C32" s="3013" t="s">
        <v>2146</v>
      </c>
      <c r="D32" s="3013" t="s">
        <v>2146</v>
      </c>
      <c r="E32" s="3013" t="s">
        <v>2146</v>
      </c>
      <c r="F32" s="3014" t="s">
        <v>2146</v>
      </c>
      <c r="G32" s="3014" t="s">
        <v>2146</v>
      </c>
      <c r="H32" s="3014" t="s">
        <v>2146</v>
      </c>
      <c r="I32" s="2998" t="str">
        <f t="shared" si="2"/>
        <v>NO</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283311.20248621254</v>
      </c>
      <c r="D10" s="3765">
        <f t="shared" ref="D10:I10" si="0">IF(SUM(D11,D37,D47)=0,"NO",SUM(D11,D37,D47))</f>
        <v>1306.6486982418119</v>
      </c>
      <c r="E10" s="3765">
        <f t="shared" si="0"/>
        <v>8.0847487878292572</v>
      </c>
      <c r="F10" s="3765">
        <f t="shared" si="0"/>
        <v>1652.924535217124</v>
      </c>
      <c r="G10" s="3765">
        <f t="shared" si="0"/>
        <v>5766.1930144113612</v>
      </c>
      <c r="H10" s="3765">
        <f t="shared" si="0"/>
        <v>828.22109013997363</v>
      </c>
      <c r="I10" s="3766">
        <f t="shared" si="0"/>
        <v>576.57997841780548</v>
      </c>
      <c r="J10" s="3028">
        <f t="shared" ref="J10:J40" si="1">IF(SUM(C10:E10)=0,"NO",SUM(C10,IFERROR(28*D10,0),IFERROR(265*E10,0)))</f>
        <v>322039.82446575799</v>
      </c>
    </row>
    <row r="11" spans="2:10" s="83" customFormat="1" ht="18" customHeight="1" thickBot="1" x14ac:dyDescent="0.25">
      <c r="B11" s="18" t="s">
        <v>75</v>
      </c>
      <c r="C11" s="3029">
        <f>IF(SUM(C12,C16,C24,C30,C34)=0,"NO",SUM(C12,C16,C24,C30,C34))</f>
        <v>276250.48898081749</v>
      </c>
      <c r="D11" s="3029">
        <f t="shared" ref="D11:I11" si="2">IF(SUM(D12,D16,D24,D30,D34)=0,"NO",SUM(D12,D16,D24,D30,D34))</f>
        <v>133.83324662665999</v>
      </c>
      <c r="E11" s="3029">
        <f t="shared" si="2"/>
        <v>7.9688482584606941</v>
      </c>
      <c r="F11" s="3029">
        <f t="shared" si="2"/>
        <v>1649.3843202785431</v>
      </c>
      <c r="G11" s="3029">
        <f t="shared" si="2"/>
        <v>5745.6591677675915</v>
      </c>
      <c r="H11" s="3029">
        <f t="shared" si="2"/>
        <v>646.47806386988179</v>
      </c>
      <c r="I11" s="3030">
        <f t="shared" si="2"/>
        <v>576.57997841780548</v>
      </c>
      <c r="J11" s="3031">
        <f t="shared" si="1"/>
        <v>282109.56467485608</v>
      </c>
    </row>
    <row r="12" spans="2:10" s="83" customFormat="1" ht="18" customHeight="1" x14ac:dyDescent="0.2">
      <c r="B12" s="26" t="s">
        <v>76</v>
      </c>
      <c r="C12" s="3029">
        <f>IF(SUM(C13:C15)=0,"NO",SUM(C13:C15))</f>
        <v>157480.76333664168</v>
      </c>
      <c r="D12" s="3029">
        <f t="shared" ref="D12:I12" si="3">IF(SUM(D13:D15)=0,"NO",SUM(D13:D15))</f>
        <v>6.537606403952398</v>
      </c>
      <c r="E12" s="3029">
        <f t="shared" si="3"/>
        <v>1.7976662692551446</v>
      </c>
      <c r="F12" s="3029">
        <f t="shared" si="3"/>
        <v>515.26506912567743</v>
      </c>
      <c r="G12" s="3029">
        <f t="shared" si="3"/>
        <v>80.333786283613918</v>
      </c>
      <c r="H12" s="3029">
        <f>IF(SUM(H13:H15)=0,"NO",SUM(H13:H15))</f>
        <v>12.040618818143038</v>
      </c>
      <c r="I12" s="3030">
        <f t="shared" si="3"/>
        <v>441.12720574631055</v>
      </c>
      <c r="J12" s="3031">
        <f t="shared" si="1"/>
        <v>158140.19787730495</v>
      </c>
    </row>
    <row r="13" spans="2:10" s="83" customFormat="1" ht="18" customHeight="1" x14ac:dyDescent="0.2">
      <c r="B13" s="20" t="s">
        <v>77</v>
      </c>
      <c r="C13" s="3032">
        <f>'Table1.A(a)s1'!H24</f>
        <v>142196.82489363418</v>
      </c>
      <c r="D13" s="3032">
        <f>'Table1.A(a)s1'!I24</f>
        <v>1.487418342953168</v>
      </c>
      <c r="E13" s="3032">
        <f>'Table1.A(a)s1'!J24</f>
        <v>1.5670059347011913</v>
      </c>
      <c r="F13" s="3033">
        <v>402.35576291355954</v>
      </c>
      <c r="G13" s="3033">
        <v>53.529856312267697</v>
      </c>
      <c r="H13" s="3033">
        <v>4.0224516530835475</v>
      </c>
      <c r="I13" s="3034">
        <v>426.54550798568783</v>
      </c>
      <c r="J13" s="3035">
        <f t="shared" si="1"/>
        <v>142653.72917993271</v>
      </c>
    </row>
    <row r="14" spans="2:10" s="83" customFormat="1" ht="18" customHeight="1" x14ac:dyDescent="0.2">
      <c r="B14" s="20" t="s">
        <v>78</v>
      </c>
      <c r="C14" s="3032">
        <f>'Table1.A(a)s1'!H53</f>
        <v>6333.4044751847923</v>
      </c>
      <c r="D14" s="3032">
        <f>'Table1.A(a)s1'!I53</f>
        <v>6.9618120103896022E-2</v>
      </c>
      <c r="E14" s="3032">
        <f>'Table1.A(a)s1'!J53</f>
        <v>5.21714015445887E-2</v>
      </c>
      <c r="F14" s="3033">
        <v>34.981056418874431</v>
      </c>
      <c r="G14" s="3033">
        <v>4.931172743376619</v>
      </c>
      <c r="H14" s="3033">
        <v>8.0703231300432818E-2</v>
      </c>
      <c r="I14" s="3034">
        <v>5.1442092982456087</v>
      </c>
      <c r="J14" s="3035">
        <f t="shared" si="1"/>
        <v>6349.1792039570173</v>
      </c>
    </row>
    <row r="15" spans="2:10" s="83" customFormat="1" ht="18" customHeight="1" thickBot="1" x14ac:dyDescent="0.25">
      <c r="B15" s="21" t="s">
        <v>79</v>
      </c>
      <c r="C15" s="3036">
        <f>'Table1.A(a)s1'!H60</f>
        <v>8950.5339678226919</v>
      </c>
      <c r="D15" s="3036">
        <f>'Table1.A(a)s1'!I60</f>
        <v>4.9805699408953341</v>
      </c>
      <c r="E15" s="3036">
        <f>'Table1.A(a)s1'!J60</f>
        <v>0.17848893300936464</v>
      </c>
      <c r="F15" s="3037">
        <v>77.928249793243509</v>
      </c>
      <c r="G15" s="3037">
        <v>21.872757227969597</v>
      </c>
      <c r="H15" s="3037">
        <v>7.9374639337590587</v>
      </c>
      <c r="I15" s="3038">
        <v>9.4374884623771056</v>
      </c>
      <c r="J15" s="3039">
        <f t="shared" si="1"/>
        <v>9137.2894934152428</v>
      </c>
    </row>
    <row r="16" spans="2:10" s="83" customFormat="1" ht="18" customHeight="1" x14ac:dyDescent="0.2">
      <c r="B16" s="25" t="s">
        <v>80</v>
      </c>
      <c r="C16" s="3029">
        <f>IF(SUM(C17:C23)=0,"NO",SUM(C17:C23))</f>
        <v>37242.617392116299</v>
      </c>
      <c r="D16" s="3029">
        <f t="shared" ref="D16:I16" si="4">IF(SUM(D17:D23)=0,"NO",SUM(D17:D23))</f>
        <v>2.2323579497327772</v>
      </c>
      <c r="E16" s="3029">
        <f t="shared" si="4"/>
        <v>1.2216233268319048</v>
      </c>
      <c r="F16" s="3029">
        <f t="shared" si="4"/>
        <v>492.02213159771236</v>
      </c>
      <c r="G16" s="3029">
        <f t="shared" si="4"/>
        <v>167.68388390736553</v>
      </c>
      <c r="H16" s="3029">
        <f t="shared" si="4"/>
        <v>73.259804850947958</v>
      </c>
      <c r="I16" s="3030">
        <f t="shared" si="4"/>
        <v>96.50716325915495</v>
      </c>
      <c r="J16" s="3031">
        <f t="shared" si="1"/>
        <v>37628.85359631927</v>
      </c>
    </row>
    <row r="17" spans="2:10" s="83" customFormat="1" ht="18" customHeight="1" x14ac:dyDescent="0.2">
      <c r="B17" s="20" t="s">
        <v>81</v>
      </c>
      <c r="C17" s="3032">
        <f>'Table1.A(a)s2'!H17</f>
        <v>2909.2218591743908</v>
      </c>
      <c r="D17" s="3032">
        <f>'Table1.A(a)s2'!I17</f>
        <v>0.10659636394511149</v>
      </c>
      <c r="E17" s="3032">
        <f>'Table1.A(a)s2'!J17</f>
        <v>3.6481106301266025E-2</v>
      </c>
      <c r="F17" s="3033">
        <v>32.605135123576403</v>
      </c>
      <c r="G17" s="3033">
        <v>8.5486596323441955</v>
      </c>
      <c r="H17" s="3033">
        <v>3.7421992173361107</v>
      </c>
      <c r="I17" s="3034">
        <v>12.437852684210528</v>
      </c>
      <c r="J17" s="3035">
        <f t="shared" si="1"/>
        <v>2921.8740505346891</v>
      </c>
    </row>
    <row r="18" spans="2:10" s="83" customFormat="1" ht="18" customHeight="1" x14ac:dyDescent="0.2">
      <c r="B18" s="20" t="s">
        <v>82</v>
      </c>
      <c r="C18" s="3032">
        <f>'Table1.A(a)s2'!H24</f>
        <v>12432.580682776943</v>
      </c>
      <c r="D18" s="3032">
        <f>'Table1.A(a)s2'!I24</f>
        <v>0.2262209757462284</v>
      </c>
      <c r="E18" s="3032">
        <f>'Table1.A(a)s2'!J24</f>
        <v>0.13506962228602629</v>
      </c>
      <c r="F18" s="3033">
        <v>75.861933182586171</v>
      </c>
      <c r="G18" s="3033">
        <v>12.120666590544973</v>
      </c>
      <c r="H18" s="3033">
        <v>0.99811195126986219</v>
      </c>
      <c r="I18" s="3034">
        <v>50.944590270770917</v>
      </c>
      <c r="J18" s="3035">
        <f t="shared" si="1"/>
        <v>12474.708320003634</v>
      </c>
    </row>
    <row r="19" spans="2:10" s="83" customFormat="1" ht="18" customHeight="1" x14ac:dyDescent="0.2">
      <c r="B19" s="20" t="s">
        <v>83</v>
      </c>
      <c r="C19" s="3032">
        <f>'Table1.A(a)s2'!H31</f>
        <v>5578.8596201984037</v>
      </c>
      <c r="D19" s="3032">
        <f>'Table1.A(a)s2'!I31</f>
        <v>0.40150245370125781</v>
      </c>
      <c r="E19" s="3032">
        <f>'Table1.A(a)s2'!J31</f>
        <v>8.9275725305946699E-2</v>
      </c>
      <c r="F19" s="3033">
        <v>46.527065562339288</v>
      </c>
      <c r="G19" s="3033">
        <v>31.569974833942531</v>
      </c>
      <c r="H19" s="3033">
        <v>24.902764342349727</v>
      </c>
      <c r="I19" s="3034">
        <v>4.3926787056718251</v>
      </c>
      <c r="J19" s="3035">
        <f t="shared" si="1"/>
        <v>5613.7597561081147</v>
      </c>
    </row>
    <row r="20" spans="2:10" s="83" customFormat="1" ht="18" customHeight="1" x14ac:dyDescent="0.2">
      <c r="B20" s="20" t="s">
        <v>84</v>
      </c>
      <c r="C20" s="3032">
        <f>'Table1.A(a)s2'!H38</f>
        <v>1328.1812200004454</v>
      </c>
      <c r="D20" s="3032">
        <f>'Table1.A(a)s2'!I38</f>
        <v>0.19981280952380956</v>
      </c>
      <c r="E20" s="3032">
        <f>'Table1.A(a)s2'!J38</f>
        <v>0.13368713809523808</v>
      </c>
      <c r="F20" s="3033">
        <v>5.654715333333332</v>
      </c>
      <c r="G20" s="3033">
        <v>4.6722397619047618</v>
      </c>
      <c r="H20" s="3033">
        <v>0.16137274761904757</v>
      </c>
      <c r="I20" s="3034">
        <v>1.2302895546558705</v>
      </c>
      <c r="J20" s="3035">
        <f t="shared" si="1"/>
        <v>1369.2030702623501</v>
      </c>
    </row>
    <row r="21" spans="2:10" s="83" customFormat="1" ht="18" customHeight="1" x14ac:dyDescent="0.2">
      <c r="B21" s="20" t="s">
        <v>85</v>
      </c>
      <c r="C21" s="3032">
        <f>'Table1.A(a)s2'!H45</f>
        <v>3214.9080156657701</v>
      </c>
      <c r="D21" s="3032">
        <f>'Table1.A(a)s2'!I45</f>
        <v>0.80937387102553204</v>
      </c>
      <c r="E21" s="3032">
        <f>'Table1.A(a)s2'!J45</f>
        <v>0.53333493740556193</v>
      </c>
      <c r="F21" s="3033">
        <v>21.537454659443746</v>
      </c>
      <c r="G21" s="3033">
        <v>20.385393062604088</v>
      </c>
      <c r="H21" s="3033">
        <v>0.98821341620311642</v>
      </c>
      <c r="I21" s="3034">
        <v>7.4629129123120874</v>
      </c>
      <c r="J21" s="3035">
        <f t="shared" si="1"/>
        <v>3378.9042424669587</v>
      </c>
    </row>
    <row r="22" spans="2:10" s="83" customFormat="1" ht="18" customHeight="1" x14ac:dyDescent="0.2">
      <c r="B22" s="20" t="s">
        <v>86</v>
      </c>
      <c r="C22" s="3032">
        <f>'Table1.A(a)s2'!H52</f>
        <v>5196.6071658220899</v>
      </c>
      <c r="D22" s="3032">
        <f>'Table1.A(a)s2'!I52</f>
        <v>0.15026174629525188</v>
      </c>
      <c r="E22" s="3032">
        <f>'Table1.A(a)s2'!J52</f>
        <v>3.758863987929692E-2</v>
      </c>
      <c r="F22" s="3033">
        <v>71.077129340192798</v>
      </c>
      <c r="G22" s="3033">
        <v>12.174370220815891</v>
      </c>
      <c r="H22" s="3033">
        <v>5.1458821687369349</v>
      </c>
      <c r="I22" s="3034">
        <v>9.8457061133603272</v>
      </c>
      <c r="J22" s="3035">
        <f t="shared" si="1"/>
        <v>5210.7754842863706</v>
      </c>
    </row>
    <row r="23" spans="2:10" s="83" customFormat="1" ht="18" customHeight="1" thickBot="1" x14ac:dyDescent="0.25">
      <c r="B23" s="3060" t="s">
        <v>2115</v>
      </c>
      <c r="C23" s="3032">
        <f>'Table1.A(a)s2'!H59</f>
        <v>6582.2588284782569</v>
      </c>
      <c r="D23" s="3032">
        <f>'Table1.A(a)s2'!I59</f>
        <v>0.3385897294955863</v>
      </c>
      <c r="E23" s="3032">
        <f>'Table1.A(a)s2'!J59</f>
        <v>0.25618615755856888</v>
      </c>
      <c r="F23" s="3033">
        <v>238.75869839624059</v>
      </c>
      <c r="G23" s="3033">
        <v>78.212579805209089</v>
      </c>
      <c r="H23" s="3033">
        <v>37.321261007433158</v>
      </c>
      <c r="I23" s="3034">
        <v>10.193133018173398</v>
      </c>
      <c r="J23" s="3035">
        <f t="shared" si="1"/>
        <v>6659.6286726571543</v>
      </c>
    </row>
    <row r="24" spans="2:10" s="83" customFormat="1" ht="18" customHeight="1" x14ac:dyDescent="0.2">
      <c r="B24" s="25" t="s">
        <v>87</v>
      </c>
      <c r="C24" s="3029">
        <f>IF(SUM(C25:C29)=0,"NO",SUM(C25:C29))</f>
        <v>66233.065766620843</v>
      </c>
      <c r="D24" s="3029">
        <f t="shared" ref="D24:I24" si="5">IF(SUM(D25:D29)=0,"NO",SUM(D25:D29))</f>
        <v>29.66892980636533</v>
      </c>
      <c r="E24" s="3029">
        <f t="shared" si="5"/>
        <v>4.3475660104684701</v>
      </c>
      <c r="F24" s="3029">
        <f t="shared" si="5"/>
        <v>411.56417918837553</v>
      </c>
      <c r="G24" s="3029">
        <f t="shared" si="5"/>
        <v>4382.9482761333502</v>
      </c>
      <c r="H24" s="3029">
        <f t="shared" si="5"/>
        <v>398.89178688717482</v>
      </c>
      <c r="I24" s="3030">
        <f t="shared" si="5"/>
        <v>31.913869123791272</v>
      </c>
      <c r="J24" s="3031">
        <f t="shared" si="1"/>
        <v>68215.900793973211</v>
      </c>
    </row>
    <row r="25" spans="2:10" s="83" customFormat="1" ht="18" customHeight="1" x14ac:dyDescent="0.2">
      <c r="B25" s="20" t="s">
        <v>88</v>
      </c>
      <c r="C25" s="1878">
        <f>'Table1.A(a)s3'!H16</f>
        <v>4614.0325889839123</v>
      </c>
      <c r="D25" s="1878">
        <f>'Table1.A(a)s3'!I16</f>
        <v>3.188537317210343E-2</v>
      </c>
      <c r="E25" s="1878">
        <f>'Table1.A(a)s3'!J16</f>
        <v>4.4034667538465702E-2</v>
      </c>
      <c r="F25" s="3033">
        <v>15.732369740365066</v>
      </c>
      <c r="G25" s="3033">
        <v>10.552279377751061</v>
      </c>
      <c r="H25" s="3033">
        <v>1.0338640807145754</v>
      </c>
      <c r="I25" s="3034">
        <v>0.54463190469615219</v>
      </c>
      <c r="J25" s="3035">
        <f t="shared" si="1"/>
        <v>4626.5945663304246</v>
      </c>
    </row>
    <row r="26" spans="2:10" s="83" customFormat="1" ht="18" customHeight="1" x14ac:dyDescent="0.2">
      <c r="B26" s="20" t="s">
        <v>89</v>
      </c>
      <c r="C26" s="1878">
        <f>'Table1.A(a)s3'!H20</f>
        <v>57222.023007823867</v>
      </c>
      <c r="D26" s="1878">
        <f>'Table1.A(a)s3'!I20</f>
        <v>25.563123680491486</v>
      </c>
      <c r="E26" s="1878">
        <f>'Table1.A(a)s3'!J20</f>
        <v>3.5865054987260137</v>
      </c>
      <c r="F26" s="3033">
        <v>323.62524551868376</v>
      </c>
      <c r="G26" s="3033">
        <v>4156.4363883719225</v>
      </c>
      <c r="H26" s="3033">
        <v>360.73748773689152</v>
      </c>
      <c r="I26" s="3034">
        <v>10.277626455134731</v>
      </c>
      <c r="J26" s="3035">
        <f t="shared" si="1"/>
        <v>58888.214428040017</v>
      </c>
    </row>
    <row r="27" spans="2:10" s="83" customFormat="1" ht="18" customHeight="1" x14ac:dyDescent="0.2">
      <c r="B27" s="20" t="s">
        <v>90</v>
      </c>
      <c r="C27" s="1878">
        <f>'Table1.A(a)s3'!H81</f>
        <v>1557.2504302007119</v>
      </c>
      <c r="D27" s="1878">
        <f>'Table1.A(a)s3'!I81</f>
        <v>8.8760000000000006E-2</v>
      </c>
      <c r="E27" s="1878">
        <f>'Table1.A(a)s3'!J81</f>
        <v>0.66569999999999996</v>
      </c>
      <c r="F27" s="3033">
        <v>33.950700000000005</v>
      </c>
      <c r="G27" s="3033">
        <v>4.48238</v>
      </c>
      <c r="H27" s="3033">
        <v>1.5754899999999998</v>
      </c>
      <c r="I27" s="3034">
        <v>1.265495298245614</v>
      </c>
      <c r="J27" s="3035">
        <f t="shared" si="1"/>
        <v>1736.1462102007119</v>
      </c>
    </row>
    <row r="28" spans="2:10" s="83" customFormat="1" ht="18" customHeight="1" x14ac:dyDescent="0.2">
      <c r="B28" s="20" t="s">
        <v>91</v>
      </c>
      <c r="C28" s="1878">
        <f>'Table1.A(a)s3'!H88</f>
        <v>2397.5261215834789</v>
      </c>
      <c r="D28" s="1878">
        <f>'Table1.A(a)s3'!I88</f>
        <v>3.8941659902408321</v>
      </c>
      <c r="E28" s="1878">
        <f>'Table1.A(a)s3'!J88</f>
        <v>5.0426621318530526E-2</v>
      </c>
      <c r="F28" s="3033">
        <v>36.569507070677609</v>
      </c>
      <c r="G28" s="3033">
        <v>206.94562739257304</v>
      </c>
      <c r="H28" s="3033">
        <v>34.882261214111722</v>
      </c>
      <c r="I28" s="3034">
        <v>19.82120938741091</v>
      </c>
      <c r="J28" s="3035">
        <f t="shared" si="1"/>
        <v>2519.9258239596329</v>
      </c>
    </row>
    <row r="29" spans="2:10" s="83" customFormat="1" ht="18" customHeight="1" thickBot="1" x14ac:dyDescent="0.25">
      <c r="B29" s="22" t="s">
        <v>92</v>
      </c>
      <c r="C29" s="1881">
        <f>'Table1.A(a)s3'!H99</f>
        <v>442.2336180288741</v>
      </c>
      <c r="D29" s="1881">
        <f>'Table1.A(a)s3'!I99</f>
        <v>9.0994762460908998E-2</v>
      </c>
      <c r="E29" s="1881">
        <f>'Table1.A(a)s3'!J99</f>
        <v>8.9922288546007449E-4</v>
      </c>
      <c r="F29" s="3040">
        <v>1.6863568586490847</v>
      </c>
      <c r="G29" s="3040">
        <v>4.5316009911026018</v>
      </c>
      <c r="H29" s="3040">
        <v>0.66268385545700415</v>
      </c>
      <c r="I29" s="3041">
        <v>4.9060783038630479E-3</v>
      </c>
      <c r="J29" s="3042">
        <f t="shared" si="1"/>
        <v>445.01976544242649</v>
      </c>
    </row>
    <row r="30" spans="2:10" ht="18" customHeight="1" x14ac:dyDescent="0.2">
      <c r="B30" s="26" t="s">
        <v>93</v>
      </c>
      <c r="C30" s="3029">
        <f>IF(SUM(C31:C33)=0,"NO",SUM(C31:C33))</f>
        <v>14604.090964802335</v>
      </c>
      <c r="D30" s="3029">
        <f t="shared" ref="D30" si="6">IF(SUM(D31:D33)=0,"NO",SUM(D31:D33))</f>
        <v>95.358090135267915</v>
      </c>
      <c r="E30" s="3029">
        <f t="shared" ref="E30" si="7">IF(SUM(E31:E33)=0,"NO",SUM(E31:E33))</f>
        <v>0.58303768417451862</v>
      </c>
      <c r="F30" s="3029">
        <f t="shared" ref="F30" si="8">IF(SUM(F31:F33)=0,"NO",SUM(F31:F33))</f>
        <v>223.41227401516471</v>
      </c>
      <c r="G30" s="3029">
        <f t="shared" ref="G30" si="9">IF(SUM(G31:G33)=0,"NO",SUM(G31:G33))</f>
        <v>1108.8283097201702</v>
      </c>
      <c r="H30" s="3029">
        <f t="shared" ref="H30" si="10">IF(SUM(H31:H33)=0,"NO",SUM(H31:H33))</f>
        <v>161.68519135883366</v>
      </c>
      <c r="I30" s="3030">
        <f t="shared" ref="I30" si="11">IF(SUM(I31:I33)=0,"NO",SUM(I31:I33))</f>
        <v>6.7450949728672569</v>
      </c>
      <c r="J30" s="3043">
        <f t="shared" si="1"/>
        <v>17428.622474896085</v>
      </c>
    </row>
    <row r="31" spans="2:10" ht="18" customHeight="1" x14ac:dyDescent="0.2">
      <c r="B31" s="20" t="s">
        <v>94</v>
      </c>
      <c r="C31" s="3032">
        <f>'Table1.A(a)s4'!H17</f>
        <v>3959.0363067544686</v>
      </c>
      <c r="D31" s="3032">
        <f>'Table1.A(a)s4'!I17</f>
        <v>6.428735292207792E-2</v>
      </c>
      <c r="E31" s="3032">
        <f>'Table1.A(a)s4'!J17</f>
        <v>7.7814443398268388E-2</v>
      </c>
      <c r="F31" s="3033">
        <v>7.5879353459956702</v>
      </c>
      <c r="G31" s="3033">
        <v>2.1715995287878784</v>
      </c>
      <c r="H31" s="3033">
        <v>0.55731373886363644</v>
      </c>
      <c r="I31" s="3034">
        <v>2.8199237449392713</v>
      </c>
      <c r="J31" s="3035">
        <f t="shared" si="1"/>
        <v>3981.4571801368279</v>
      </c>
    </row>
    <row r="32" spans="2:10" ht="18" customHeight="1" x14ac:dyDescent="0.2">
      <c r="B32" s="20" t="s">
        <v>95</v>
      </c>
      <c r="C32" s="3032">
        <f>'Table1.A(a)s4'!H38</f>
        <v>6800.9446580478661</v>
      </c>
      <c r="D32" s="3032">
        <f>'Table1.A(a)s4'!I38</f>
        <v>95.086650401393456</v>
      </c>
      <c r="E32" s="3032">
        <f>'Table1.A(a)s4'!J38</f>
        <v>0.30096609791910733</v>
      </c>
      <c r="F32" s="3033">
        <v>9.5509100977405037</v>
      </c>
      <c r="G32" s="3033">
        <v>1042.1729006675728</v>
      </c>
      <c r="H32" s="3033">
        <v>132.51254428663671</v>
      </c>
      <c r="I32" s="3034">
        <v>0.83207835073500347</v>
      </c>
      <c r="J32" s="3035">
        <f t="shared" si="1"/>
        <v>9543.126885235446</v>
      </c>
    </row>
    <row r="33" spans="2:10" ht="18" customHeight="1" thickBot="1" x14ac:dyDescent="0.25">
      <c r="B33" s="20" t="s">
        <v>96</v>
      </c>
      <c r="C33" s="3032">
        <f>'Table1.A(a)s4'!H59</f>
        <v>3844.1100000000006</v>
      </c>
      <c r="D33" s="3032">
        <f>'Table1.A(a)s4'!I59</f>
        <v>0.20715238095238092</v>
      </c>
      <c r="E33" s="3032">
        <f>'Table1.A(a)s4'!J59</f>
        <v>0.20425714285714286</v>
      </c>
      <c r="F33" s="3033">
        <v>206.27342857142855</v>
      </c>
      <c r="G33" s="3033">
        <v>64.483809523809526</v>
      </c>
      <c r="H33" s="3033">
        <v>28.615333333333332</v>
      </c>
      <c r="I33" s="3034">
        <v>3.0930928771929826</v>
      </c>
      <c r="J33" s="3035">
        <f t="shared" si="1"/>
        <v>3904.0384095238101</v>
      </c>
    </row>
    <row r="34" spans="2:10" ht="18" customHeight="1" x14ac:dyDescent="0.2">
      <c r="B34" s="25" t="s">
        <v>2116</v>
      </c>
      <c r="C34" s="3029">
        <f>IF(SUM(C35:C36)=0,"NO",SUM(C35:C36))</f>
        <v>689.95152063630871</v>
      </c>
      <c r="D34" s="3029">
        <f t="shared" ref="D34:E34" si="12">IF(SUM(D35:D36)=0,"NO",SUM(D35:D36))</f>
        <v>3.6262331341550436E-2</v>
      </c>
      <c r="E34" s="3029">
        <f t="shared" si="12"/>
        <v>1.8954967730655532E-2</v>
      </c>
      <c r="F34" s="3029">
        <f t="shared" ref="F34:I34" si="13">IF(SUM(F35:F36)=0,"NO",SUM(F35:F36))</f>
        <v>7.1206663516129032</v>
      </c>
      <c r="G34" s="3029">
        <f t="shared" si="13"/>
        <v>5.8649117230914944</v>
      </c>
      <c r="H34" s="3029">
        <f t="shared" si="13"/>
        <v>0.60066195478236784</v>
      </c>
      <c r="I34" s="3030">
        <f t="shared" si="13"/>
        <v>0.28664531568146356</v>
      </c>
      <c r="J34" s="3031">
        <f t="shared" si="1"/>
        <v>695.98993236249578</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689.95152063630871</v>
      </c>
      <c r="D36" s="3044">
        <f>'Table1.A(a)s4'!I108</f>
        <v>3.6262331341550436E-2</v>
      </c>
      <c r="E36" s="3044">
        <f>'Table1.A(a)s4'!J108</f>
        <v>1.8954967730655532E-2</v>
      </c>
      <c r="F36" s="3040">
        <v>7.1206663516129032</v>
      </c>
      <c r="G36" s="3040">
        <v>5.8649117230914944</v>
      </c>
      <c r="H36" s="3040">
        <v>0.60066195478236784</v>
      </c>
      <c r="I36" s="3041">
        <v>0.28664531568146356</v>
      </c>
      <c r="J36" s="3042">
        <f t="shared" si="1"/>
        <v>695.98993236249578</v>
      </c>
    </row>
    <row r="37" spans="2:10" ht="18" customHeight="1" thickBot="1" x14ac:dyDescent="0.25">
      <c r="B37" s="18" t="s">
        <v>99</v>
      </c>
      <c r="C37" s="3029">
        <f>IF(SUM(C38,C42)=0,"NO",SUM(C38,C42))</f>
        <v>7060.7135053950406</v>
      </c>
      <c r="D37" s="3029">
        <f t="shared" ref="D37:I37" si="14">IF(SUM(D38,D42)=0,"NO",SUM(D38,D42))</f>
        <v>1172.8154516151519</v>
      </c>
      <c r="E37" s="3029">
        <f t="shared" si="14"/>
        <v>0.11590052936856374</v>
      </c>
      <c r="F37" s="3029">
        <f t="shared" si="14"/>
        <v>3.5402149385809434</v>
      </c>
      <c r="G37" s="3029">
        <f t="shared" si="14"/>
        <v>20.533846643769468</v>
      </c>
      <c r="H37" s="3029">
        <f t="shared" si="14"/>
        <v>181.74302627009183</v>
      </c>
      <c r="I37" s="3030" t="str">
        <f t="shared" si="14"/>
        <v>NO</v>
      </c>
      <c r="J37" s="3031">
        <f t="shared" si="1"/>
        <v>39930.259790901968</v>
      </c>
    </row>
    <row r="38" spans="2:10" ht="18" customHeight="1" x14ac:dyDescent="0.2">
      <c r="B38" s="26" t="s">
        <v>100</v>
      </c>
      <c r="C38" s="3029">
        <f>IF(SUM(C39:C41)=0,"NO",SUM(C39:C41))</f>
        <v>1111.5267994507171</v>
      </c>
      <c r="D38" s="3029">
        <f t="shared" ref="D38" si="15">IF(SUM(D39:D41)=0,"NO",SUM(D39:D41))</f>
        <v>857.13278009731766</v>
      </c>
      <c r="E38" s="3029">
        <f t="shared" ref="E38" si="16">IF(SUM(E39:E41)=0,"NO",SUM(E39:E41))</f>
        <v>4.869435864353228E-6</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25111.245932576116</v>
      </c>
    </row>
    <row r="39" spans="2:10" ht="18" customHeight="1" x14ac:dyDescent="0.2">
      <c r="B39" s="20" t="s">
        <v>101</v>
      </c>
      <c r="C39" s="3032">
        <f>'Table1.B.1'!G10</f>
        <v>1111.5267994507171</v>
      </c>
      <c r="D39" s="3032">
        <f>SUM('Table1.B.1'!F10,'Table1.B.1'!H10)</f>
        <v>857.13278009731766</v>
      </c>
      <c r="E39" s="3033">
        <v>4.869435864353228E-6</v>
      </c>
      <c r="F39" s="3033" t="s">
        <v>2146</v>
      </c>
      <c r="G39" s="3033" t="s">
        <v>2146</v>
      </c>
      <c r="H39" s="3033" t="s">
        <v>2146</v>
      </c>
      <c r="I39" s="2931"/>
      <c r="J39" s="3035">
        <f t="shared" si="1"/>
        <v>25111.245932576116</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5949.1867059443239</v>
      </c>
      <c r="D42" s="3029">
        <f t="shared" ref="D42:I42" si="21">IF(SUM(D43:D46)=0,"NO",SUM(D43:D46))</f>
        <v>315.68267151783425</v>
      </c>
      <c r="E42" s="3029">
        <f t="shared" si="21"/>
        <v>0.11589565993269939</v>
      </c>
      <c r="F42" s="3029">
        <f t="shared" si="21"/>
        <v>3.5402149385809434</v>
      </c>
      <c r="G42" s="3029">
        <f t="shared" si="21"/>
        <v>20.533846643769468</v>
      </c>
      <c r="H42" s="3029">
        <f t="shared" si="21"/>
        <v>181.74302627009183</v>
      </c>
      <c r="I42" s="3030" t="str">
        <f t="shared" si="21"/>
        <v>NO</v>
      </c>
      <c r="J42" s="3031">
        <f t="shared" ref="J42:J59" si="22">IF(SUM(C42:E42)=0,"NO",SUM(C42,IFERROR(28*D42,0),IFERROR(265*E42,0)))</f>
        <v>14819.01385832585</v>
      </c>
    </row>
    <row r="43" spans="2:10" ht="18" customHeight="1" x14ac:dyDescent="0.2">
      <c r="B43" s="20" t="s">
        <v>103</v>
      </c>
      <c r="C43" s="3032">
        <f>'Table1.B.2'!I10</f>
        <v>442.50946651258664</v>
      </c>
      <c r="D43" s="3032">
        <f>'Table1.B.2'!J10</f>
        <v>3.4023007967209873</v>
      </c>
      <c r="E43" s="3032">
        <f>'Table1.B.2'!K10</f>
        <v>1.3335781873356814E-2</v>
      </c>
      <c r="F43" s="3033">
        <v>0.24580186666666665</v>
      </c>
      <c r="G43" s="3033">
        <v>1.4256508266666665</v>
      </c>
      <c r="H43" s="3033">
        <v>93.375864933333332</v>
      </c>
      <c r="I43" s="3034" t="s">
        <v>2146</v>
      </c>
      <c r="J43" s="3035">
        <f t="shared" si="22"/>
        <v>541.30787101721387</v>
      </c>
    </row>
    <row r="44" spans="2:10" ht="18" customHeight="1" x14ac:dyDescent="0.2">
      <c r="B44" s="20" t="s">
        <v>104</v>
      </c>
      <c r="C44" s="3032">
        <f>SUM('Table1.B.2'!I21,'Table1.B.2'!L21)</f>
        <v>43.813302134275133</v>
      </c>
      <c r="D44" s="3032">
        <f>'Table1.B.2'!J21</f>
        <v>161.32068455832527</v>
      </c>
      <c r="E44" s="3032">
        <f>'Table1.B.2'!K21</f>
        <v>9.5137428917274147E-4</v>
      </c>
      <c r="F44" s="3033">
        <v>1.7618042392087804E-2</v>
      </c>
      <c r="G44" s="3033">
        <v>0.10218464587410926</v>
      </c>
      <c r="H44" s="3033">
        <v>55.598711041536589</v>
      </c>
      <c r="I44" s="3034" t="s">
        <v>2146</v>
      </c>
      <c r="J44" s="3035">
        <f t="shared" si="22"/>
        <v>4561.0445839540143</v>
      </c>
    </row>
    <row r="45" spans="2:10" ht="18" customHeight="1" x14ac:dyDescent="0.2">
      <c r="B45" s="20" t="s">
        <v>105</v>
      </c>
      <c r="C45" s="3032">
        <f>'Table1.B.2'!I35</f>
        <v>5462.8639372974621</v>
      </c>
      <c r="D45" s="3032">
        <f>'Table1.B.2'!J35</f>
        <v>150.95968616278799</v>
      </c>
      <c r="E45" s="3032">
        <f>'Table1.B.2'!K35</f>
        <v>0.10160850377016983</v>
      </c>
      <c r="F45" s="3033">
        <v>3.276795029522189</v>
      </c>
      <c r="G45" s="3033">
        <v>19.006011171228693</v>
      </c>
      <c r="H45" s="3033">
        <v>32.768450295221889</v>
      </c>
      <c r="I45" s="3034" t="s">
        <v>2146</v>
      </c>
      <c r="J45" s="3035">
        <f t="shared" si="22"/>
        <v>9716.6614033546211</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8613.7479999999996</v>
      </c>
      <c r="D52" s="3032">
        <f t="shared" ref="D52:I52" si="23">IF(SUM(D53:D54)=0,"NO",SUM(D53:D54))</f>
        <v>0.26991230666666666</v>
      </c>
      <c r="E52" s="3032">
        <f t="shared" si="23"/>
        <v>0.10483241108070175</v>
      </c>
      <c r="F52" s="3032">
        <f t="shared" si="23"/>
        <v>101.37186230385964</v>
      </c>
      <c r="G52" s="3032">
        <f t="shared" si="23"/>
        <v>11.750106553684212</v>
      </c>
      <c r="H52" s="3032">
        <f t="shared" si="23"/>
        <v>6.7446519784561403</v>
      </c>
      <c r="I52" s="3055">
        <f t="shared" si="23"/>
        <v>40.162157379217277</v>
      </c>
      <c r="J52" s="3035">
        <f t="shared" si="22"/>
        <v>8649.0861335230529</v>
      </c>
    </row>
    <row r="53" spans="2:10" ht="18" customHeight="1" x14ac:dyDescent="0.2">
      <c r="B53" s="164" t="s">
        <v>111</v>
      </c>
      <c r="C53" s="3032">
        <f>Table1.D!G10</f>
        <v>5908.3440000000001</v>
      </c>
      <c r="D53" s="3032">
        <f>Table1.D!H10</f>
        <v>1.0282306666666668E-2</v>
      </c>
      <c r="E53" s="3032">
        <f>Table1.D!I10</f>
        <v>3.0652411080701755E-2</v>
      </c>
      <c r="F53" s="3033">
        <v>29.963862303859646</v>
      </c>
      <c r="G53" s="3033">
        <v>9.3327465536842116</v>
      </c>
      <c r="H53" s="3033">
        <v>4.5201819784561401</v>
      </c>
      <c r="I53" s="3034">
        <v>0.69609800000000011</v>
      </c>
      <c r="J53" s="3035">
        <f t="shared" si="22"/>
        <v>5916.7547935230523</v>
      </c>
    </row>
    <row r="54" spans="2:10" ht="18" customHeight="1" x14ac:dyDescent="0.2">
      <c r="B54" s="164" t="s">
        <v>112</v>
      </c>
      <c r="C54" s="3032">
        <f>Table1.D!G14</f>
        <v>2705.404</v>
      </c>
      <c r="D54" s="3032">
        <f>Table1.D!H14</f>
        <v>0.25962999999999997</v>
      </c>
      <c r="E54" s="3032">
        <f>Table1.D!I14</f>
        <v>7.4179999999999996E-2</v>
      </c>
      <c r="F54" s="3033">
        <v>71.408000000000001</v>
      </c>
      <c r="G54" s="3033">
        <v>2.41736</v>
      </c>
      <c r="H54" s="3033">
        <v>2.2244699999999997</v>
      </c>
      <c r="I54" s="3034">
        <v>39.466059379217278</v>
      </c>
      <c r="J54" s="3035">
        <f t="shared" si="22"/>
        <v>2732.3313400000002</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17109.553750000003</v>
      </c>
      <c r="D56" s="3056"/>
      <c r="E56" s="3056"/>
      <c r="F56" s="3056"/>
      <c r="G56" s="3056"/>
      <c r="H56" s="3056"/>
      <c r="I56" s="2971"/>
      <c r="J56" s="3039">
        <f t="shared" si="22"/>
        <v>17109.553750000003</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133672.95860422999</v>
      </c>
      <c r="D10" s="3549" t="s">
        <v>2146</v>
      </c>
      <c r="E10" s="3549">
        <v>29.686844757999999</v>
      </c>
      <c r="F10" s="3549">
        <v>435.92515038300002</v>
      </c>
      <c r="G10" s="3549" t="s">
        <v>2146</v>
      </c>
      <c r="H10" s="3549">
        <v>0.79746420699999998</v>
      </c>
      <c r="I10" s="3549" t="s">
        <v>2146</v>
      </c>
      <c r="J10" s="3549">
        <v>20.977858519000002</v>
      </c>
      <c r="K10" s="3549" t="s">
        <v>2146</v>
      </c>
      <c r="L10" s="3549" t="s">
        <v>2146</v>
      </c>
      <c r="M10" s="3550">
        <f>IF(SUM(C10:L10)=0,"NO",SUM(C10:L10))</f>
        <v>134160.34592209698</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13.289471823</v>
      </c>
      <c r="D12" s="3549" t="s">
        <v>2146</v>
      </c>
      <c r="E12" s="3549">
        <v>39709.370350356003</v>
      </c>
      <c r="F12" s="3549" t="s">
        <v>2153</v>
      </c>
      <c r="G12" s="3549" t="s">
        <v>2146</v>
      </c>
      <c r="H12" s="3549" t="s">
        <v>2153</v>
      </c>
      <c r="I12" s="3549" t="s">
        <v>2146</v>
      </c>
      <c r="J12" s="3549" t="s">
        <v>2153</v>
      </c>
      <c r="K12" s="3549" t="s">
        <v>2146</v>
      </c>
      <c r="L12" s="3549" t="s">
        <v>2146</v>
      </c>
      <c r="M12" s="3550">
        <f t="shared" si="0"/>
        <v>39722.659822179005</v>
      </c>
    </row>
    <row r="13" spans="2:13" ht="18" customHeight="1" x14ac:dyDescent="0.2">
      <c r="B13" s="2277" t="s">
        <v>1961</v>
      </c>
      <c r="C13" s="3549">
        <v>410.14506744699997</v>
      </c>
      <c r="D13" s="3549" t="s">
        <v>2146</v>
      </c>
      <c r="E13" s="3549" t="s">
        <v>2153</v>
      </c>
      <c r="F13" s="3549">
        <v>519270.74044993299</v>
      </c>
      <c r="G13" s="3549" t="s">
        <v>2146</v>
      </c>
      <c r="H13" s="3549" t="s">
        <v>2153</v>
      </c>
      <c r="I13" s="3549" t="s">
        <v>2146</v>
      </c>
      <c r="J13" s="3549" t="s">
        <v>2153</v>
      </c>
      <c r="K13" s="3549" t="s">
        <v>2146</v>
      </c>
      <c r="L13" s="3549" t="s">
        <v>2146</v>
      </c>
      <c r="M13" s="3550">
        <f t="shared" si="0"/>
        <v>519680.88551737997</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5.2413863630000002</v>
      </c>
      <c r="D15" s="3549" t="s">
        <v>2146</v>
      </c>
      <c r="E15" s="3549">
        <v>0.63304705100000003</v>
      </c>
      <c r="F15" s="3549">
        <v>2.443871627</v>
      </c>
      <c r="G15" s="3549" t="s">
        <v>2146</v>
      </c>
      <c r="H15" s="3549">
        <v>13358.388391937</v>
      </c>
      <c r="I15" s="3549" t="s">
        <v>2146</v>
      </c>
      <c r="J15" s="3549" t="s">
        <v>2146</v>
      </c>
      <c r="K15" s="3549" t="s">
        <v>2146</v>
      </c>
      <c r="L15" s="3549" t="s">
        <v>2146</v>
      </c>
      <c r="M15" s="3550">
        <f t="shared" si="0"/>
        <v>13366.706696978001</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6.5951433780000004</v>
      </c>
      <c r="D17" s="3549" t="s">
        <v>2146</v>
      </c>
      <c r="E17" s="3549" t="s">
        <v>2146</v>
      </c>
      <c r="F17" s="3549" t="s">
        <v>2146</v>
      </c>
      <c r="G17" s="3549" t="s">
        <v>2146</v>
      </c>
      <c r="H17" s="3549" t="s">
        <v>2146</v>
      </c>
      <c r="I17" s="3549" t="s">
        <v>2146</v>
      </c>
      <c r="J17" s="3549">
        <v>1199.178052167</v>
      </c>
      <c r="K17" s="3549" t="s">
        <v>2146</v>
      </c>
      <c r="L17" s="3549" t="s">
        <v>2146</v>
      </c>
      <c r="M17" s="3550">
        <f t="shared" si="0"/>
        <v>1205.7731955450001</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134108.229673241</v>
      </c>
      <c r="D20" s="3551" t="str">
        <f t="shared" ref="D20:L20" si="1">IF(SUM(D10:D19)=0,"NO",SUM(D10:D19))</f>
        <v>NO</v>
      </c>
      <c r="E20" s="3551">
        <f t="shared" si="1"/>
        <v>39739.690242165001</v>
      </c>
      <c r="F20" s="3551">
        <f t="shared" si="1"/>
        <v>519709.10947194294</v>
      </c>
      <c r="G20" s="3551" t="str">
        <f t="shared" si="1"/>
        <v>NO</v>
      </c>
      <c r="H20" s="3551">
        <f t="shared" si="1"/>
        <v>13359.185856144</v>
      </c>
      <c r="I20" s="3551" t="str">
        <f t="shared" si="1"/>
        <v>NO</v>
      </c>
      <c r="J20" s="3551">
        <f t="shared" si="1"/>
        <v>1220.155910686</v>
      </c>
      <c r="K20" s="3551">
        <f t="shared" si="1"/>
        <v>60692.328845821001</v>
      </c>
      <c r="L20" s="3551" t="str">
        <f t="shared" si="1"/>
        <v>NO</v>
      </c>
      <c r="M20" s="3550">
        <f t="shared" si="0"/>
        <v>768828.69999999984</v>
      </c>
    </row>
    <row r="21" spans="2:13" ht="18" customHeight="1" thickBot="1" x14ac:dyDescent="0.25">
      <c r="B21" s="2279" t="s">
        <v>1968</v>
      </c>
      <c r="C21" s="3552">
        <f>IF(SUM(C20)=0,"NO",C20-M10)</f>
        <v>-52.116248855978483</v>
      </c>
      <c r="D21" s="3552" t="str">
        <f>IF(SUM(D20)=0,"NO",D20-M11)</f>
        <v>NO</v>
      </c>
      <c r="E21" s="3552">
        <f>IF(SUM(E20)=0,"NO",E20-M12)</f>
        <v>17.030419985996559</v>
      </c>
      <c r="F21" s="3552">
        <f>IF(SUM(F20)=0,"NO",F20-M13)</f>
        <v>28.223954562970903</v>
      </c>
      <c r="G21" s="3552" t="str">
        <f>IF(SUM(G20)=0,"NO",G20-M14)</f>
        <v>NO</v>
      </c>
      <c r="H21" s="3552">
        <f>IF(SUM(H20)=0,"NO",H20-M15)</f>
        <v>-7.5208408340004098</v>
      </c>
      <c r="I21" s="3552" t="str">
        <f>IF(SUM(I20)=0,"NO",I20-M16)</f>
        <v>NO</v>
      </c>
      <c r="J21" s="3552">
        <f>IF(SUM(J20)=0,"NO",J20-M17)</f>
        <v>14.382715140999835</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134218.40390273419</v>
      </c>
      <c r="E10" s="3556">
        <f t="shared" ref="E10:U10" si="0">IF(SUM(E11,E16)=0,"IE",SUM(E11,E16))</f>
        <v>134108.22967324164</v>
      </c>
      <c r="F10" s="3557">
        <f t="shared" si="0"/>
        <v>110.1742294925558</v>
      </c>
      <c r="G10" s="3558">
        <f t="shared" ref="G10:K11" si="1">IFERROR(IF(SUM($D10)=0,"NA",N10/$D10),"NA")</f>
        <v>5.2172604856928671E-2</v>
      </c>
      <c r="H10" s="3078">
        <f t="shared" si="1"/>
        <v>-1.4683975864032427E-2</v>
      </c>
      <c r="I10" s="3078">
        <f t="shared" si="1"/>
        <v>3.7488628992896234E-2</v>
      </c>
      <c r="J10" s="3078">
        <f t="shared" si="1"/>
        <v>1.2034356996571585E-2</v>
      </c>
      <c r="K10" s="3078">
        <f t="shared" si="1"/>
        <v>6.4343629620987903E-3</v>
      </c>
      <c r="L10" s="3078">
        <f>IFERROR(IF(SUM(E10)=0,"NA",S10/E10),"NA")</f>
        <v>-1.3364561715867545E-2</v>
      </c>
      <c r="M10" s="3128">
        <f>IFERROR(IF(SUM(F10)=0,"NA",T10/F10),"NA")</f>
        <v>-0.2258687380986929</v>
      </c>
      <c r="N10" s="3559">
        <f t="shared" si="0"/>
        <v>7002.5237513450038</v>
      </c>
      <c r="O10" s="3560">
        <f t="shared" si="0"/>
        <v>-1970.8598034167046</v>
      </c>
      <c r="P10" s="3560">
        <f t="shared" si="0"/>
        <v>5031.6639479282985</v>
      </c>
      <c r="Q10" s="3560">
        <f t="shared" si="0"/>
        <v>1615.2321880755401</v>
      </c>
      <c r="R10" s="3560">
        <f t="shared" si="0"/>
        <v>863.60992690376861</v>
      </c>
      <c r="S10" s="3560">
        <f t="shared" si="0"/>
        <v>-1792.2977120737771</v>
      </c>
      <c r="T10" s="3561">
        <f t="shared" si="0"/>
        <v>-24.884914186479371</v>
      </c>
      <c r="U10" s="3562">
        <f t="shared" si="0"/>
        <v>-20875.51926770695</v>
      </c>
      <c r="W10" s="2396"/>
    </row>
    <row r="11" spans="2:23" ht="18" customHeight="1" x14ac:dyDescent="0.2">
      <c r="B11" s="502" t="s">
        <v>982</v>
      </c>
      <c r="C11" s="2256"/>
      <c r="D11" s="3563">
        <f>IF(SUM(D12:D15)=0,"IE",SUM(D12:D15))</f>
        <v>128561.646468666</v>
      </c>
      <c r="E11" s="3564">
        <f t="shared" ref="E11:U11" si="2">IF(SUM(E12:E15)=0,"IE",SUM(E12:E15))</f>
        <v>128561.646468666</v>
      </c>
      <c r="F11" s="3565" t="str">
        <f t="shared" si="2"/>
        <v>IE</v>
      </c>
      <c r="G11" s="3558">
        <f t="shared" si="1"/>
        <v>1.5782982594223175E-2</v>
      </c>
      <c r="H11" s="3078">
        <f t="shared" si="1"/>
        <v>-1.532989567095293E-2</v>
      </c>
      <c r="I11" s="3078">
        <f t="shared" si="1"/>
        <v>4.5308692327024634E-4</v>
      </c>
      <c r="J11" s="3078">
        <f t="shared" si="1"/>
        <v>1.0761430023244752E-2</v>
      </c>
      <c r="K11" s="3078">
        <f t="shared" si="1"/>
        <v>5.8520338300804466E-3</v>
      </c>
      <c r="L11" s="3078">
        <f t="shared" ref="L11:L28" si="3">IFERROR(IF(SUM(E11)=0,"NA",S11/E11),"NA")</f>
        <v>1.4645022410938115E-3</v>
      </c>
      <c r="M11" s="3128" t="str">
        <f t="shared" ref="M11:M28" si="4">IFERROR(IF(SUM(F11)=0,"NA",T11/F11),"NA")</f>
        <v>NA</v>
      </c>
      <c r="N11" s="3109">
        <f t="shared" si="2"/>
        <v>2029.086228499629</v>
      </c>
      <c r="O11" s="3109">
        <f t="shared" si="2"/>
        <v>-1970.836627650584</v>
      </c>
      <c r="P11" s="3109">
        <f t="shared" si="2"/>
        <v>58.249600849045009</v>
      </c>
      <c r="Q11" s="3109">
        <f t="shared" si="2"/>
        <v>1383.50716214568</v>
      </c>
      <c r="R11" s="3566">
        <f t="shared" si="2"/>
        <v>752.34710438547586</v>
      </c>
      <c r="S11" s="3566">
        <f t="shared" si="2"/>
        <v>188.27881937207167</v>
      </c>
      <c r="T11" s="3566" t="str">
        <f t="shared" si="2"/>
        <v>IE</v>
      </c>
      <c r="U11" s="3567">
        <f t="shared" si="2"/>
        <v>-8735.4031847583319</v>
      </c>
      <c r="W11" s="2397"/>
    </row>
    <row r="12" spans="2:23" ht="18" customHeight="1" x14ac:dyDescent="0.2">
      <c r="B12" s="500"/>
      <c r="C12" s="508" t="s">
        <v>2220</v>
      </c>
      <c r="D12" s="3568">
        <f>IF(SUM(E12:F12)=0,E12,SUM(E12:F12))</f>
        <v>12298.843625305757</v>
      </c>
      <c r="E12" s="3569">
        <v>12298.843625305757</v>
      </c>
      <c r="F12" s="3554" t="s">
        <v>2153</v>
      </c>
      <c r="G12" s="3558" t="str">
        <f>IFERROR(IF(SUM($D12)=0,"NA",N12/$D12),"NA")</f>
        <v>NA</v>
      </c>
      <c r="H12" s="3078">
        <f>IFERROR(IF(SUM($D12)=0,"NA",O12/$D12),"NA")</f>
        <v>-0.15623149916491197</v>
      </c>
      <c r="I12" s="3078">
        <f>IFERROR(IF(SUM($D12)=0,"NA",P12/$D12),"NA")</f>
        <v>-0.15623149916491197</v>
      </c>
      <c r="J12" s="3078">
        <f>IFERROR(IF(SUM($D12)=0,"NA",Q12/$D12),"NA")</f>
        <v>0.13894853827077386</v>
      </c>
      <c r="K12" s="3078">
        <f>IFERROR(IF(SUM($D12)=0,"NA",R12/$D12),"NA")</f>
        <v>3.6556201694613905E-2</v>
      </c>
      <c r="L12" s="3078">
        <f t="shared" si="3"/>
        <v>-3.4627872533746024E-2</v>
      </c>
      <c r="M12" s="3128" t="str">
        <f t="shared" si="4"/>
        <v>NA</v>
      </c>
      <c r="N12" s="2905" t="s">
        <v>2153</v>
      </c>
      <c r="O12" s="2905">
        <v>-1921.4667775763394</v>
      </c>
      <c r="P12" s="3109">
        <f>IF(SUM(N12:O12)=0,N12,SUM(N12:O12))</f>
        <v>-1921.4667775763394</v>
      </c>
      <c r="Q12" s="2905">
        <v>1708.9063441570602</v>
      </c>
      <c r="R12" s="2906">
        <v>449.5990081771937</v>
      </c>
      <c r="S12" s="2906">
        <v>-425.8827893695626</v>
      </c>
      <c r="T12" s="2906" t="s">
        <v>2153</v>
      </c>
      <c r="U12" s="3570">
        <f>IF(SUM(P12:T12)=0,P12,SUM(P12:T12)*-44/12)</f>
        <v>692.42878690937641</v>
      </c>
      <c r="W12" s="2398"/>
    </row>
    <row r="13" spans="2:23" ht="18" customHeight="1" x14ac:dyDescent="0.2">
      <c r="B13" s="500"/>
      <c r="C13" s="508" t="s">
        <v>2221</v>
      </c>
      <c r="D13" s="3568">
        <f t="shared" ref="D13:D15" si="5">IF(SUM(E13:F13)=0,E13,SUM(E13:F13))</f>
        <v>682.24894237664148</v>
      </c>
      <c r="E13" s="3569">
        <v>682.24894237664148</v>
      </c>
      <c r="F13" s="3554" t="s">
        <v>2153</v>
      </c>
      <c r="G13" s="3558">
        <f t="shared" ref="G13:K28" si="6">IFERROR(IF(SUM($D13)=0,"NA",N13/$D13),"NA")</f>
        <v>2.3988269750674798</v>
      </c>
      <c r="H13" s="3078" t="str">
        <f t="shared" si="6"/>
        <v>NA</v>
      </c>
      <c r="I13" s="3078">
        <f t="shared" si="6"/>
        <v>2.3988269750674798</v>
      </c>
      <c r="J13" s="3078">
        <f t="shared" si="6"/>
        <v>0.23341281240751782</v>
      </c>
      <c r="K13" s="3078">
        <f t="shared" si="6"/>
        <v>0.21065840123584337</v>
      </c>
      <c r="L13" s="3078">
        <f t="shared" si="3"/>
        <v>0.9002016281654871</v>
      </c>
      <c r="M13" s="3128" t="str">
        <f t="shared" si="4"/>
        <v>NA</v>
      </c>
      <c r="N13" s="2905">
        <v>1636.5971666843461</v>
      </c>
      <c r="O13" s="2905" t="s">
        <v>2153</v>
      </c>
      <c r="P13" s="3109">
        <f t="shared" ref="P13:P15" si="7">IF(SUM(N13:O13)=0,N13,SUM(N13:O13))</f>
        <v>1636.5971666843461</v>
      </c>
      <c r="Q13" s="2905">
        <v>159.24564440218646</v>
      </c>
      <c r="R13" s="2906">
        <v>143.72147144590832</v>
      </c>
      <c r="S13" s="2906">
        <v>614.16160874163427</v>
      </c>
      <c r="T13" s="2906" t="s">
        <v>2153</v>
      </c>
      <c r="U13" s="3570">
        <f t="shared" ref="U13:U15" si="8">IF(SUM(P13:T13)=0,P13,SUM(P13:T13)*-44/12)</f>
        <v>-9363.6616013382754</v>
      </c>
      <c r="W13" s="2398"/>
    </row>
    <row r="14" spans="2:23" ht="18" customHeight="1" x14ac:dyDescent="0.2">
      <c r="B14" s="500"/>
      <c r="C14" s="508" t="s">
        <v>2222</v>
      </c>
      <c r="D14" s="3568">
        <f t="shared" si="5"/>
        <v>115580.55390098361</v>
      </c>
      <c r="E14" s="3569">
        <v>115580.55390098361</v>
      </c>
      <c r="F14" s="3554" t="s">
        <v>2153</v>
      </c>
      <c r="G14" s="3558" t="str">
        <f t="shared" si="6"/>
        <v>NA</v>
      </c>
      <c r="H14" s="3078">
        <f t="shared" si="6"/>
        <v>-4.2714668175529929E-4</v>
      </c>
      <c r="I14" s="3078">
        <f t="shared" si="6"/>
        <v>-4.2714668175529929E-4</v>
      </c>
      <c r="J14" s="3078">
        <f t="shared" si="6"/>
        <v>-1.6424908291997012E-3</v>
      </c>
      <c r="K14" s="3078">
        <f t="shared" si="6"/>
        <v>1.375894295320732E-3</v>
      </c>
      <c r="L14" s="3078" t="str">
        <f t="shared" si="3"/>
        <v>NA</v>
      </c>
      <c r="M14" s="3128" t="str">
        <f t="shared" si="4"/>
        <v>NA</v>
      </c>
      <c r="N14" s="2905" t="s">
        <v>2153</v>
      </c>
      <c r="O14" s="2905">
        <v>-49.36985007424466</v>
      </c>
      <c r="P14" s="3109">
        <f t="shared" si="7"/>
        <v>-49.36985007424466</v>
      </c>
      <c r="Q14" s="2905">
        <v>-189.83999981618732</v>
      </c>
      <c r="R14" s="2906">
        <v>159.02662476237373</v>
      </c>
      <c r="S14" s="2906" t="s">
        <v>2147</v>
      </c>
      <c r="T14" s="2906" t="s">
        <v>2147</v>
      </c>
      <c r="U14" s="3570">
        <f t="shared" si="8"/>
        <v>294.0051588028802</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v>392.48906181528292</v>
      </c>
      <c r="O15" s="2905" t="s">
        <v>2153</v>
      </c>
      <c r="P15" s="3109">
        <f t="shared" si="7"/>
        <v>392.48906181528292</v>
      </c>
      <c r="Q15" s="2905">
        <v>-294.80482659737925</v>
      </c>
      <c r="R15" s="2906" t="s">
        <v>2147</v>
      </c>
      <c r="S15" s="2906" t="s">
        <v>2147</v>
      </c>
      <c r="T15" s="2906" t="s">
        <v>2147</v>
      </c>
      <c r="U15" s="3570">
        <f t="shared" si="8"/>
        <v>-358.17552913231344</v>
      </c>
      <c r="W15" s="2398"/>
    </row>
    <row r="16" spans="2:23" ht="18" customHeight="1" x14ac:dyDescent="0.2">
      <c r="B16" s="485" t="s">
        <v>1041</v>
      </c>
      <c r="C16" s="504"/>
      <c r="D16" s="3568">
        <f>IF(SUM(D17,D19,D23,D25,D27)=0,"IE",SUM(D17,D19,D23,D25,D27))</f>
        <v>5656.7574340682031</v>
      </c>
      <c r="E16" s="3571">
        <f t="shared" ref="E16:T16" si="9">IF(SUM(E17,E19,E23,E25,E27)=0,"IE",SUM(E17,E19,E23,E25,E27))</f>
        <v>5546.583204575647</v>
      </c>
      <c r="F16" s="3572">
        <f t="shared" si="9"/>
        <v>110.1742294925558</v>
      </c>
      <c r="G16" s="3558">
        <f t="shared" si="6"/>
        <v>0.8792028968561586</v>
      </c>
      <c r="H16" s="3078">
        <f t="shared" si="6"/>
        <v>-4.0970054648443134E-6</v>
      </c>
      <c r="I16" s="3078">
        <f t="shared" si="6"/>
        <v>0.8791987998506936</v>
      </c>
      <c r="J16" s="3078">
        <f t="shared" si="6"/>
        <v>4.0964285393303324E-2</v>
      </c>
      <c r="K16" s="3078">
        <f t="shared" si="6"/>
        <v>1.9669010703588764E-2</v>
      </c>
      <c r="L16" s="3078">
        <f t="shared" si="3"/>
        <v>-0.35708046889334943</v>
      </c>
      <c r="M16" s="3128">
        <f t="shared" si="4"/>
        <v>-0.2258687380986929</v>
      </c>
      <c r="N16" s="3078">
        <f t="shared" si="9"/>
        <v>4973.4375228453746</v>
      </c>
      <c r="O16" s="3078">
        <f t="shared" si="9"/>
        <v>-2.3175766120676122E-2</v>
      </c>
      <c r="P16" s="3078">
        <f t="shared" si="9"/>
        <v>4973.4143470792533</v>
      </c>
      <c r="Q16" s="3078">
        <f t="shared" si="9"/>
        <v>231.7250259298601</v>
      </c>
      <c r="R16" s="3573">
        <f t="shared" si="9"/>
        <v>111.26282251829279</v>
      </c>
      <c r="S16" s="3573">
        <f t="shared" si="9"/>
        <v>-1980.5765314458488</v>
      </c>
      <c r="T16" s="3573">
        <f t="shared" si="9"/>
        <v>-24.884914186479371</v>
      </c>
      <c r="U16" s="3570">
        <f>IF(SUM(U17,U19,U23,U25,U27)=0,"IE",SUM(U17,U19,U23,U25,U27))</f>
        <v>-12140.11608294862</v>
      </c>
      <c r="W16" s="2019"/>
    </row>
    <row r="17" spans="2:23" ht="18" customHeight="1" x14ac:dyDescent="0.2">
      <c r="B17" s="487" t="s">
        <v>1042</v>
      </c>
      <c r="C17" s="504"/>
      <c r="D17" s="3568">
        <f>D18</f>
        <v>64.438000000000002</v>
      </c>
      <c r="E17" s="3571">
        <f t="shared" ref="E17:U17" si="10">E18</f>
        <v>64.438000000000002</v>
      </c>
      <c r="F17" s="3572" t="str">
        <f t="shared" si="10"/>
        <v>NO</v>
      </c>
      <c r="G17" s="3558">
        <f t="shared" si="6"/>
        <v>1.2636487786709705</v>
      </c>
      <c r="H17" s="3078" t="str">
        <f t="shared" si="6"/>
        <v>NA</v>
      </c>
      <c r="I17" s="3078">
        <f t="shared" si="6"/>
        <v>1.2636487786709705</v>
      </c>
      <c r="J17" s="3078">
        <f t="shared" si="6"/>
        <v>-9.7085570626028114E-2</v>
      </c>
      <c r="K17" s="3078">
        <f t="shared" si="6"/>
        <v>-3.0603060306030598E-2</v>
      </c>
      <c r="L17" s="3078">
        <f t="shared" si="3"/>
        <v>-0.38956826717154475</v>
      </c>
      <c r="M17" s="3128" t="str">
        <f t="shared" si="4"/>
        <v>NA</v>
      </c>
      <c r="N17" s="3078">
        <f t="shared" si="10"/>
        <v>81.426999999999992</v>
      </c>
      <c r="O17" s="3078" t="str">
        <f t="shared" si="10"/>
        <v>IE</v>
      </c>
      <c r="P17" s="3078">
        <f t="shared" si="10"/>
        <v>81.426999999999992</v>
      </c>
      <c r="Q17" s="3078">
        <f t="shared" si="10"/>
        <v>-6.2560000000000002</v>
      </c>
      <c r="R17" s="3573">
        <f t="shared" si="10"/>
        <v>-1.9719999999999998</v>
      </c>
      <c r="S17" s="3573">
        <f t="shared" si="10"/>
        <v>-25.103000000000002</v>
      </c>
      <c r="T17" s="3573" t="str">
        <f t="shared" si="10"/>
        <v>NO</v>
      </c>
      <c r="U17" s="3570">
        <f t="shared" si="10"/>
        <v>-176.35199999999998</v>
      </c>
      <c r="W17" s="2019"/>
    </row>
    <row r="18" spans="2:23" ht="18" customHeight="1" x14ac:dyDescent="0.2">
      <c r="B18" s="488"/>
      <c r="C18" s="508" t="s">
        <v>278</v>
      </c>
      <c r="D18" s="3568">
        <f>IF(SUM(E18:F18)=0,E18,SUM(E18:F18))</f>
        <v>64.438000000000002</v>
      </c>
      <c r="E18" s="3569">
        <v>64.438000000000002</v>
      </c>
      <c r="F18" s="3554" t="s">
        <v>2146</v>
      </c>
      <c r="G18" s="3558">
        <f t="shared" si="6"/>
        <v>1.2636487786709705</v>
      </c>
      <c r="H18" s="3078" t="str">
        <f t="shared" si="6"/>
        <v>NA</v>
      </c>
      <c r="I18" s="3078">
        <f t="shared" si="6"/>
        <v>1.2636487786709705</v>
      </c>
      <c r="J18" s="3078">
        <f t="shared" si="6"/>
        <v>-9.7085570626028114E-2</v>
      </c>
      <c r="K18" s="3078">
        <f t="shared" si="6"/>
        <v>-3.0603060306030598E-2</v>
      </c>
      <c r="L18" s="3078">
        <f t="shared" si="3"/>
        <v>-0.38956826717154475</v>
      </c>
      <c r="M18" s="3128" t="str">
        <f t="shared" si="4"/>
        <v>NA</v>
      </c>
      <c r="N18" s="2905">
        <v>81.426999999999992</v>
      </c>
      <c r="O18" s="2905" t="s">
        <v>2153</v>
      </c>
      <c r="P18" s="3109">
        <f>IF(SUM(N18:O18)=0,N18,SUM(N18:O18))</f>
        <v>81.426999999999992</v>
      </c>
      <c r="Q18" s="2905">
        <v>-6.2560000000000002</v>
      </c>
      <c r="R18" s="2906">
        <v>-1.9719999999999998</v>
      </c>
      <c r="S18" s="2906">
        <v>-25.103000000000002</v>
      </c>
      <c r="T18" s="2906" t="s">
        <v>2146</v>
      </c>
      <c r="U18" s="3570">
        <f t="shared" ref="U18" si="11">IF(SUM(P18:T18)=0,P18,SUM(P18:T18)*-44/12)</f>
        <v>-176.35199999999998</v>
      </c>
      <c r="W18" s="2398"/>
    </row>
    <row r="19" spans="2:23" ht="18" customHeight="1" x14ac:dyDescent="0.2">
      <c r="B19" s="487" t="s">
        <v>1043</v>
      </c>
      <c r="C19" s="504"/>
      <c r="D19" s="3563">
        <f>IF(SUM(D20:D22)=0,"IE",SUM(D20:D22))</f>
        <v>5449.9552045756473</v>
      </c>
      <c r="E19" s="3571">
        <f t="shared" ref="E19:U19" si="12">IF(SUM(E20:E22)=0,"IE",SUM(E20:E22))</f>
        <v>5449.9552045756473</v>
      </c>
      <c r="F19" s="3572" t="str">
        <f t="shared" si="12"/>
        <v>IE</v>
      </c>
      <c r="G19" s="3558">
        <f t="shared" si="6"/>
        <v>0.70640410398334263</v>
      </c>
      <c r="H19" s="3078">
        <f t="shared" si="6"/>
        <v>-4.2524691030888332E-6</v>
      </c>
      <c r="I19" s="3078">
        <f t="shared" si="6"/>
        <v>0.70639985151423956</v>
      </c>
      <c r="J19" s="3078">
        <f t="shared" si="6"/>
        <v>5.964119162746305E-2</v>
      </c>
      <c r="K19" s="3078">
        <f t="shared" si="6"/>
        <v>1.6995246851389902E-2</v>
      </c>
      <c r="L19" s="3078">
        <f t="shared" si="3"/>
        <v>-0.35458521380568264</v>
      </c>
      <c r="M19" s="3128" t="str">
        <f t="shared" si="4"/>
        <v>NA</v>
      </c>
      <c r="N19" s="3078">
        <f t="shared" si="12"/>
        <v>3849.8707230376149</v>
      </c>
      <c r="O19" s="3078">
        <f t="shared" si="12"/>
        <v>-2.3175766120676122E-2</v>
      </c>
      <c r="P19" s="3078">
        <f t="shared" si="12"/>
        <v>3849.847547271494</v>
      </c>
      <c r="Q19" s="3078">
        <f t="shared" si="12"/>
        <v>325.04182271718577</v>
      </c>
      <c r="R19" s="3573">
        <f t="shared" si="12"/>
        <v>92.623334030780285</v>
      </c>
      <c r="S19" s="3573">
        <f t="shared" si="12"/>
        <v>-1932.4735314458487</v>
      </c>
      <c r="T19" s="3573" t="str">
        <f t="shared" si="12"/>
        <v>IE</v>
      </c>
      <c r="U19" s="3570">
        <f t="shared" si="12"/>
        <v>-8561.8102994365763</v>
      </c>
      <c r="W19" s="2019"/>
    </row>
    <row r="20" spans="2:23" ht="18" customHeight="1" x14ac:dyDescent="0.2">
      <c r="B20" s="496"/>
      <c r="C20" s="508" t="s">
        <v>2223</v>
      </c>
      <c r="D20" s="3568">
        <f>IF(SUM(E20:F20)=0,E20,SUM(E20:F20))</f>
        <v>1504.4659999999994</v>
      </c>
      <c r="E20" s="3569">
        <v>1504.4659999999994</v>
      </c>
      <c r="F20" s="3554" t="s">
        <v>2146</v>
      </c>
      <c r="G20" s="3558">
        <f t="shared" si="6"/>
        <v>1.2392284039652606</v>
      </c>
      <c r="H20" s="3078" t="str">
        <f t="shared" si="6"/>
        <v>NA</v>
      </c>
      <c r="I20" s="3078">
        <f t="shared" si="6"/>
        <v>1.2392284039652606</v>
      </c>
      <c r="J20" s="3078">
        <f t="shared" si="6"/>
        <v>-5.9918934691777725E-2</v>
      </c>
      <c r="K20" s="3078">
        <f t="shared" si="6"/>
        <v>-1.4284802714052698E-2</v>
      </c>
      <c r="L20" s="3078">
        <f t="shared" si="3"/>
        <v>-0.40640200576151281</v>
      </c>
      <c r="M20" s="3128" t="str">
        <f t="shared" si="4"/>
        <v>NA</v>
      </c>
      <c r="N20" s="2905">
        <v>1864.376999999999</v>
      </c>
      <c r="O20" s="2905" t="s">
        <v>2153</v>
      </c>
      <c r="P20" s="3109">
        <f>IF(SUM(N20:O20)=0,N20,SUM(N20:O20))</f>
        <v>1864.376999999999</v>
      </c>
      <c r="Q20" s="2905">
        <v>-90.146000000000029</v>
      </c>
      <c r="R20" s="2906">
        <v>-21.491</v>
      </c>
      <c r="S20" s="2906">
        <v>-611.41799999999989</v>
      </c>
      <c r="T20" s="2906" t="s">
        <v>2146</v>
      </c>
      <c r="U20" s="3570">
        <f t="shared" ref="U20:U22" si="13">IF(SUM(P20:T20)=0,P20,SUM(P20:T20)*-44/12)</f>
        <v>-4184.8473333333304</v>
      </c>
      <c r="W20" s="2398"/>
    </row>
    <row r="21" spans="2:23" ht="18" customHeight="1" x14ac:dyDescent="0.2">
      <c r="B21" s="500"/>
      <c r="C21" s="508" t="s">
        <v>2291</v>
      </c>
      <c r="D21" s="3568">
        <f>IF(SUM(E21:F21)=0,E21,SUM(E21:F21))</f>
        <v>3945.4892045756478</v>
      </c>
      <c r="E21" s="3569">
        <v>3945.4892045756478</v>
      </c>
      <c r="F21" s="3554" t="s">
        <v>2146</v>
      </c>
      <c r="G21" s="3558">
        <f t="shared" si="6"/>
        <v>0.50323131558312373</v>
      </c>
      <c r="H21" s="3078" t="str">
        <f t="shared" si="6"/>
        <v>NA</v>
      </c>
      <c r="I21" s="3078">
        <f t="shared" si="6"/>
        <v>0.50323131558312373</v>
      </c>
      <c r="J21" s="3078">
        <f t="shared" si="6"/>
        <v>0.10521442587772498</v>
      </c>
      <c r="K21" s="3078">
        <f t="shared" si="6"/>
        <v>2.8922733814209917E-2</v>
      </c>
      <c r="L21" s="3078">
        <f t="shared" si="3"/>
        <v>-0.33482680168375556</v>
      </c>
      <c r="M21" s="3128" t="str">
        <f t="shared" si="4"/>
        <v>NA</v>
      </c>
      <c r="N21" s="2905">
        <v>1985.4937230376156</v>
      </c>
      <c r="O21" s="2905" t="s">
        <v>2153</v>
      </c>
      <c r="P21" s="3109">
        <f t="shared" ref="P21:P28" si="14">IF(SUM(N21:O21)=0,N21,SUM(N21:O21))</f>
        <v>1985.4937230376156</v>
      </c>
      <c r="Q21" s="2905">
        <v>415.12238146618859</v>
      </c>
      <c r="R21" s="2906">
        <v>114.11433403078028</v>
      </c>
      <c r="S21" s="2906">
        <v>-1321.0555314458488</v>
      </c>
      <c r="T21" s="2906" t="s">
        <v>2146</v>
      </c>
      <c r="U21" s="3570">
        <f t="shared" si="13"/>
        <v>-4376.8079926586979</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-2.3175766120676122E-2</v>
      </c>
      <c r="P22" s="3109">
        <f t="shared" si="14"/>
        <v>-2.3175766120676122E-2</v>
      </c>
      <c r="Q22" s="2905">
        <v>6.5441250997216954E-2</v>
      </c>
      <c r="R22" s="2906" t="s">
        <v>2147</v>
      </c>
      <c r="S22" s="2906" t="s">
        <v>2147</v>
      </c>
      <c r="T22" s="2906" t="s">
        <v>2147</v>
      </c>
      <c r="U22" s="3570">
        <f t="shared" si="13"/>
        <v>-0.1549734445473164</v>
      </c>
      <c r="W22" s="2398"/>
    </row>
    <row r="23" spans="2:23" ht="18" customHeight="1" x14ac:dyDescent="0.2">
      <c r="B23" s="487" t="s">
        <v>1044</v>
      </c>
      <c r="C23" s="504"/>
      <c r="D23" s="3568">
        <f>D24</f>
        <v>110.1742294925558</v>
      </c>
      <c r="E23" s="3571" t="str">
        <f t="shared" ref="E23" si="15">E24</f>
        <v>NO</v>
      </c>
      <c r="F23" s="3572">
        <f t="shared" ref="F23" si="16">F24</f>
        <v>110.1742294925558</v>
      </c>
      <c r="G23" s="3558">
        <f t="shared" si="6"/>
        <v>9.0058610291874128</v>
      </c>
      <c r="H23" s="3078" t="str">
        <f t="shared" si="6"/>
        <v>NA</v>
      </c>
      <c r="I23" s="3078">
        <f t="shared" si="6"/>
        <v>9.0058610291874128</v>
      </c>
      <c r="J23" s="3078">
        <f t="shared" si="6"/>
        <v>-0.75634562793067717</v>
      </c>
      <c r="K23" s="3078">
        <f t="shared" si="6"/>
        <v>0.19384286675638163</v>
      </c>
      <c r="L23" s="3078" t="str">
        <f t="shared" si="3"/>
        <v>NA</v>
      </c>
      <c r="M23" s="3128">
        <f t="shared" si="4"/>
        <v>-0.2258687380986929</v>
      </c>
      <c r="N23" s="3078">
        <f t="shared" ref="N23" si="17">N24</f>
        <v>992.21379980775873</v>
      </c>
      <c r="O23" s="3078" t="str">
        <f t="shared" ref="O23" si="18">O24</f>
        <v>IE</v>
      </c>
      <c r="P23" s="3078">
        <f t="shared" ref="P23" si="19">P24</f>
        <v>992.21379980775873</v>
      </c>
      <c r="Q23" s="3078">
        <f t="shared" ref="Q23" si="20">Q24</f>
        <v>-83.329796787325648</v>
      </c>
      <c r="R23" s="3573">
        <f t="shared" ref="R23" si="21">R24</f>
        <v>21.356488487512504</v>
      </c>
      <c r="S23" s="3573" t="str">
        <f t="shared" ref="S23" si="22">S24</f>
        <v>NO</v>
      </c>
      <c r="T23" s="3573">
        <f t="shared" ref="T23" si="23">T24</f>
        <v>-24.884914186479371</v>
      </c>
      <c r="U23" s="3570">
        <f t="shared" ref="U23" si="24">U24</f>
        <v>-3319.6371168453757</v>
      </c>
      <c r="W23" s="2019"/>
    </row>
    <row r="24" spans="2:23" ht="18" customHeight="1" x14ac:dyDescent="0.2">
      <c r="B24" s="488"/>
      <c r="C24" s="508" t="s">
        <v>278</v>
      </c>
      <c r="D24" s="3568">
        <f>IF(SUM(E24:F24)=0,E24,SUM(E24:F24))</f>
        <v>110.1742294925558</v>
      </c>
      <c r="E24" s="3569" t="s">
        <v>2146</v>
      </c>
      <c r="F24" s="3554">
        <v>110.1742294925558</v>
      </c>
      <c r="G24" s="3558">
        <f t="shared" si="6"/>
        <v>9.0058610291874128</v>
      </c>
      <c r="H24" s="3078" t="str">
        <f t="shared" si="6"/>
        <v>NA</v>
      </c>
      <c r="I24" s="3078">
        <f t="shared" si="6"/>
        <v>9.0058610291874128</v>
      </c>
      <c r="J24" s="3078">
        <f t="shared" si="6"/>
        <v>-0.75634562793067717</v>
      </c>
      <c r="K24" s="3078">
        <f t="shared" si="6"/>
        <v>0.19384286675638163</v>
      </c>
      <c r="L24" s="3078" t="str">
        <f t="shared" si="3"/>
        <v>NA</v>
      </c>
      <c r="M24" s="3128">
        <f t="shared" si="4"/>
        <v>-0.2258687380986929</v>
      </c>
      <c r="N24" s="2905">
        <v>992.21379980775873</v>
      </c>
      <c r="O24" s="2905" t="s">
        <v>2153</v>
      </c>
      <c r="P24" s="3109">
        <f t="shared" si="14"/>
        <v>992.21379980775873</v>
      </c>
      <c r="Q24" s="2905">
        <v>-83.329796787325648</v>
      </c>
      <c r="R24" s="2906">
        <v>21.356488487512504</v>
      </c>
      <c r="S24" s="2906" t="s">
        <v>2146</v>
      </c>
      <c r="T24" s="2906">
        <v>-24.884914186479371</v>
      </c>
      <c r="U24" s="3570">
        <f t="shared" ref="U24" si="25">IF(SUM(P24:T24)=0,P24,SUM(P24:T24)*-44/12)</f>
        <v>-3319.6371168453757</v>
      </c>
      <c r="W24" s="2398"/>
    </row>
    <row r="25" spans="2:23" ht="18" customHeight="1" x14ac:dyDescent="0.2">
      <c r="B25" s="487" t="s">
        <v>1045</v>
      </c>
      <c r="C25" s="504"/>
      <c r="D25" s="3568">
        <f>D26</f>
        <v>32.19</v>
      </c>
      <c r="E25" s="3571">
        <f t="shared" ref="E25" si="26">E26</f>
        <v>32.19</v>
      </c>
      <c r="F25" s="3572" t="str">
        <f t="shared" ref="F25" si="27">F26</f>
        <v>NO</v>
      </c>
      <c r="G25" s="3558">
        <f t="shared" si="6"/>
        <v>1.5509785647716681</v>
      </c>
      <c r="H25" s="3078" t="str">
        <f t="shared" si="6"/>
        <v>NA</v>
      </c>
      <c r="I25" s="3078">
        <f t="shared" si="6"/>
        <v>1.5509785647716681</v>
      </c>
      <c r="J25" s="3078">
        <f t="shared" si="6"/>
        <v>-0.11590556073314695</v>
      </c>
      <c r="K25" s="3078">
        <f t="shared" si="6"/>
        <v>-2.3143833488661079E-2</v>
      </c>
      <c r="L25" s="3078">
        <f t="shared" si="3"/>
        <v>-0.71450761105933525</v>
      </c>
      <c r="M25" s="3128" t="str">
        <f t="shared" si="4"/>
        <v>NA</v>
      </c>
      <c r="N25" s="3078">
        <f t="shared" ref="N25" si="28">N26</f>
        <v>49.925999999999995</v>
      </c>
      <c r="O25" s="3078" t="str">
        <f t="shared" ref="O25" si="29">O26</f>
        <v>IE</v>
      </c>
      <c r="P25" s="3078">
        <f t="shared" ref="P25" si="30">P26</f>
        <v>49.925999999999995</v>
      </c>
      <c r="Q25" s="3078">
        <f t="shared" ref="Q25" si="31">Q26</f>
        <v>-3.7309999999999999</v>
      </c>
      <c r="R25" s="3573">
        <f t="shared" ref="R25" si="32">R26</f>
        <v>-0.74500000000000011</v>
      </c>
      <c r="S25" s="3573">
        <f t="shared" ref="S25" si="33">S26</f>
        <v>-23</v>
      </c>
      <c r="T25" s="3573" t="str">
        <f t="shared" ref="T25" si="34">T26</f>
        <v>NO</v>
      </c>
      <c r="U25" s="3570">
        <f t="shared" ref="U25" si="35">U26</f>
        <v>-82.316666666666649</v>
      </c>
      <c r="W25" s="2019"/>
    </row>
    <row r="26" spans="2:23" ht="18" customHeight="1" x14ac:dyDescent="0.2">
      <c r="B26" s="488"/>
      <c r="C26" s="508" t="s">
        <v>278</v>
      </c>
      <c r="D26" s="3568">
        <f>IF(SUM(E26:F26)=0,E26,SUM(E26:F26))</f>
        <v>32.19</v>
      </c>
      <c r="E26" s="3569">
        <v>32.19</v>
      </c>
      <c r="F26" s="3554" t="s">
        <v>2146</v>
      </c>
      <c r="G26" s="3558">
        <f t="shared" si="6"/>
        <v>1.5509785647716681</v>
      </c>
      <c r="H26" s="3078" t="str">
        <f t="shared" si="6"/>
        <v>NA</v>
      </c>
      <c r="I26" s="3078">
        <f t="shared" si="6"/>
        <v>1.5509785647716681</v>
      </c>
      <c r="J26" s="3078">
        <f t="shared" si="6"/>
        <v>-0.11590556073314695</v>
      </c>
      <c r="K26" s="3078">
        <f t="shared" si="6"/>
        <v>-2.3143833488661079E-2</v>
      </c>
      <c r="L26" s="3078">
        <f t="shared" si="3"/>
        <v>-0.71450761105933525</v>
      </c>
      <c r="M26" s="3128" t="str">
        <f t="shared" si="4"/>
        <v>NA</v>
      </c>
      <c r="N26" s="2905">
        <v>49.925999999999995</v>
      </c>
      <c r="O26" s="2905" t="s">
        <v>2153</v>
      </c>
      <c r="P26" s="3109">
        <f t="shared" si="14"/>
        <v>49.925999999999995</v>
      </c>
      <c r="Q26" s="2905">
        <v>-3.7309999999999999</v>
      </c>
      <c r="R26" s="2906">
        <v>-0.74500000000000011</v>
      </c>
      <c r="S26" s="2906">
        <v>-23</v>
      </c>
      <c r="T26" s="2906" t="s">
        <v>2146</v>
      </c>
      <c r="U26" s="3570">
        <f t="shared" ref="U26" si="36">IF(SUM(P26:T26)=0,P26,SUM(P26:T26)*-44/12)</f>
        <v>-82.316666666666649</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39739.690242164812</v>
      </c>
      <c r="E10" s="3583">
        <f t="shared" ref="E10:F10" si="0">IF(SUM(E11,E13)=0,"IE",SUM(E11,E13))</f>
        <v>39736.690242164812</v>
      </c>
      <c r="F10" s="3584">
        <f t="shared" si="0"/>
        <v>3</v>
      </c>
      <c r="G10" s="3558">
        <f>IFERROR(IF(SUM($D10)=0,"NA",M10/$D10),"NA")</f>
        <v>5.9858118386154659E-4</v>
      </c>
      <c r="H10" s="3583">
        <f t="shared" ref="H10:J10" si="1">IFERROR(IF(SUM($D10)=0,"NA",N10/$D10),"NA")</f>
        <v>-1.0970392505411012E-2</v>
      </c>
      <c r="I10" s="3583">
        <f t="shared" si="1"/>
        <v>-1.0371811321549466E-2</v>
      </c>
      <c r="J10" s="3583">
        <f t="shared" si="1"/>
        <v>-1.3075819082471372E-2</v>
      </c>
      <c r="K10" s="3585">
        <f>IFERROR(IF(SUM(E10)=0,"NA",Q10/E10),"NA")</f>
        <v>-6.4061127221948025E-2</v>
      </c>
      <c r="L10" s="3584">
        <f>IFERROR(IF(SUM(F10)=0,"NA",R10/F10),"NA")</f>
        <v>-12.475</v>
      </c>
      <c r="M10" s="3586">
        <f>IF(SUM(M11,M13)=0,"IE",SUM(M11,M13))</f>
        <v>23.787430831446166</v>
      </c>
      <c r="N10" s="3583">
        <f t="shared" ref="N10:S10" si="2">IF(SUM(N11,N13)=0,"IE",SUM(N11,N13))</f>
        <v>-435.96</v>
      </c>
      <c r="O10" s="3587">
        <f t="shared" si="2"/>
        <v>-412.17256916855382</v>
      </c>
      <c r="P10" s="3583">
        <f t="shared" si="2"/>
        <v>-519.62900000000002</v>
      </c>
      <c r="Q10" s="3585">
        <f t="shared" si="2"/>
        <v>-2545.5771689824605</v>
      </c>
      <c r="R10" s="3585">
        <f t="shared" si="2"/>
        <v>-37.424999999999997</v>
      </c>
      <c r="S10" s="3588">
        <f t="shared" si="2"/>
        <v>12887.613706553717</v>
      </c>
      <c r="U10" s="2261"/>
    </row>
    <row r="11" spans="2:21" ht="18" customHeight="1" x14ac:dyDescent="0.2">
      <c r="B11" s="499" t="s">
        <v>985</v>
      </c>
      <c r="C11" s="2256"/>
      <c r="D11" s="3589">
        <f>D12</f>
        <v>37664.021301137</v>
      </c>
      <c r="E11" s="3078">
        <f t="shared" ref="E11" si="3">E12</f>
        <v>37664.021301137</v>
      </c>
      <c r="F11" s="3078" t="str">
        <f t="shared" ref="F11" si="4">F12</f>
        <v>IE</v>
      </c>
      <c r="G11" s="3558">
        <f t="shared" ref="G11:G23" si="5">IFERROR(IF(SUM($D11)=0,"NA",M11/$D11),"NA")</f>
        <v>6.315690680306638E-4</v>
      </c>
      <c r="H11" s="3078" t="str">
        <f t="shared" ref="H11:H23" si="6">IFERROR(IF(SUM($D11)=0,"NA",N11/$D11),"NA")</f>
        <v>NA</v>
      </c>
      <c r="I11" s="3078">
        <f t="shared" ref="I11:I23" si="7">IFERROR(IF(SUM($D11)=0,"NA",O11/$D11),"NA")</f>
        <v>6.315690680306638E-4</v>
      </c>
      <c r="J11" s="3078" t="str">
        <f t="shared" ref="J11:J23" si="8">IFERROR(IF(SUM($D11)=0,"NA",P11/$D11),"NA")</f>
        <v>NA</v>
      </c>
      <c r="K11" s="3573">
        <f t="shared" ref="K11:K23" si="9">IFERROR(IF(SUM(E11)=0,"NA",Q11/E11),"NA")</f>
        <v>-5.1843332892853138E-2</v>
      </c>
      <c r="L11" s="3128" t="str">
        <f t="shared" ref="L11:L23" si="10">IFERROR(IF(SUM(F11)=0,"NA",R11/F11),"NA")</f>
        <v>NA</v>
      </c>
      <c r="M11" s="3590">
        <f t="shared" ref="M11" si="11">M12</f>
        <v>23.787430831446166</v>
      </c>
      <c r="N11" s="3591" t="str">
        <f t="shared" ref="N11" si="12">N12</f>
        <v>IE</v>
      </c>
      <c r="O11" s="3592">
        <f t="shared" ref="O11" si="13">O12</f>
        <v>23.787430831446166</v>
      </c>
      <c r="P11" s="3591" t="str">
        <f t="shared" ref="P11" si="14">P12</f>
        <v>NA</v>
      </c>
      <c r="Q11" s="3593">
        <f t="shared" ref="Q11" si="15">Q12</f>
        <v>-1952.6283943983569</v>
      </c>
      <c r="R11" s="3593" t="str">
        <f t="shared" ref="R11" si="16">R12</f>
        <v>IE</v>
      </c>
      <c r="S11" s="3594">
        <f t="shared" ref="S11" si="17">S12</f>
        <v>7072.4168664120052</v>
      </c>
      <c r="U11" s="2258"/>
    </row>
    <row r="12" spans="2:21" ht="18" customHeight="1" x14ac:dyDescent="0.2">
      <c r="B12" s="501"/>
      <c r="C12" s="508" t="s">
        <v>278</v>
      </c>
      <c r="D12" s="3568">
        <f>IF(SUM(E12:F12)=0,E12,SUM(E12:F12))</f>
        <v>37664.021301137</v>
      </c>
      <c r="E12" s="3569">
        <v>37664.021301137</v>
      </c>
      <c r="F12" s="3554" t="s">
        <v>2153</v>
      </c>
      <c r="G12" s="3558">
        <f t="shared" si="5"/>
        <v>6.315690680306638E-4</v>
      </c>
      <c r="H12" s="3078" t="str">
        <f t="shared" si="6"/>
        <v>NA</v>
      </c>
      <c r="I12" s="3078">
        <f t="shared" si="7"/>
        <v>6.315690680306638E-4</v>
      </c>
      <c r="J12" s="3078" t="str">
        <f t="shared" si="8"/>
        <v>NA</v>
      </c>
      <c r="K12" s="3573">
        <f t="shared" si="9"/>
        <v>-5.1843332892853138E-2</v>
      </c>
      <c r="L12" s="3128" t="str">
        <f t="shared" si="10"/>
        <v>NA</v>
      </c>
      <c r="M12" s="2905">
        <v>23.787430831446166</v>
      </c>
      <c r="N12" s="2905" t="s">
        <v>2153</v>
      </c>
      <c r="O12" s="3109">
        <f>IF(SUM(M12:N12)=0,M12,SUM(M12:N12))</f>
        <v>23.787430831446166</v>
      </c>
      <c r="P12" s="2905" t="s">
        <v>2147</v>
      </c>
      <c r="Q12" s="2906">
        <v>-1952.6283943983569</v>
      </c>
      <c r="R12" s="2906" t="s">
        <v>2153</v>
      </c>
      <c r="S12" s="3594">
        <f>IF(SUM(O12:R12)=0,Q12,SUM(O12:R12)*-44/12)</f>
        <v>7072.4168664120052</v>
      </c>
      <c r="U12" s="2398"/>
    </row>
    <row r="13" spans="2:21" ht="18" customHeight="1" x14ac:dyDescent="0.2">
      <c r="B13" s="485" t="s">
        <v>1054</v>
      </c>
      <c r="C13" s="504"/>
      <c r="D13" s="3589">
        <f>IF(SUM(D14,D16,D18,D20,D22)=0,"IE",SUM(D14,D16,D18,D20,D22))</f>
        <v>2075.6689410278118</v>
      </c>
      <c r="E13" s="3591">
        <f t="shared" ref="E13:F13" si="18">IF(SUM(E14,E16,E18,E20,E22)=0,"IE",SUM(E14,E16,E18,E20,E22))</f>
        <v>2072.6689410278118</v>
      </c>
      <c r="F13" s="3595">
        <f t="shared" si="18"/>
        <v>3</v>
      </c>
      <c r="G13" s="3558" t="str">
        <f t="shared" si="5"/>
        <v>NA</v>
      </c>
      <c r="H13" s="3078">
        <f t="shared" si="6"/>
        <v>-0.21003349396562493</v>
      </c>
      <c r="I13" s="3078">
        <f t="shared" si="7"/>
        <v>-0.21003349396562493</v>
      </c>
      <c r="J13" s="3078">
        <f t="shared" si="8"/>
        <v>-0.25034290860598157</v>
      </c>
      <c r="K13" s="3573">
        <f t="shared" si="9"/>
        <v>-0.28607982820935557</v>
      </c>
      <c r="L13" s="3128">
        <f t="shared" si="10"/>
        <v>-12.475</v>
      </c>
      <c r="M13" s="3590" t="str">
        <f>IF(SUM(M14,M16,M18,M20,M22)=0,"IE",SUM(M14,M16,M18,M20,M22))</f>
        <v>IE</v>
      </c>
      <c r="N13" s="3591">
        <f t="shared" ref="N13" si="19">IF(SUM(N14,N16,N18,N20,N22)=0,"IE",SUM(N14,N16,N18,N20,N22))</f>
        <v>-435.96</v>
      </c>
      <c r="O13" s="3592">
        <f t="shared" ref="O13" si="20">IF(SUM(O14,O16,O18,O20,O22)=0,"IE",SUM(O14,O16,O18,O20,O22))</f>
        <v>-435.96</v>
      </c>
      <c r="P13" s="3592">
        <f t="shared" ref="P13" si="21">IF(SUM(P14,P16,P18,P20,P22)=0,"IE",SUM(P14,P16,P18,P20,P22))</f>
        <v>-519.62900000000002</v>
      </c>
      <c r="Q13" s="3592">
        <f t="shared" ref="Q13" si="22">IF(SUM(Q14,Q16,Q18,Q20,Q22)=0,"IE",SUM(Q14,Q16,Q18,Q20,Q22))</f>
        <v>-592.94877458410338</v>
      </c>
      <c r="R13" s="3592">
        <f t="shared" ref="R13" si="23">IF(SUM(R14,R16,R18,R20,R22)=0,"IE",SUM(R14,R16,R18,R20,R22))</f>
        <v>-37.424999999999997</v>
      </c>
      <c r="S13" s="3594">
        <f t="shared" ref="S13" si="24">IF(SUM(S14,S16,S18,S20,S22)=0,"IE",SUM(S14,S16,S18,S20,S22))</f>
        <v>5815.1968401417116</v>
      </c>
      <c r="U13" s="503"/>
    </row>
    <row r="14" spans="2:21" ht="18" customHeight="1" x14ac:dyDescent="0.2">
      <c r="B14" s="487" t="s">
        <v>1055</v>
      </c>
      <c r="C14" s="504"/>
      <c r="D14" s="3589">
        <f>D15</f>
        <v>2063.0079999999998</v>
      </c>
      <c r="E14" s="3078">
        <f t="shared" ref="E14" si="25">E15</f>
        <v>2063.0079999999998</v>
      </c>
      <c r="F14" s="3078" t="str">
        <f t="shared" ref="F14" si="26">F15</f>
        <v>IE</v>
      </c>
      <c r="G14" s="3558" t="str">
        <f t="shared" si="5"/>
        <v>NA</v>
      </c>
      <c r="H14" s="3078">
        <f t="shared" si="6"/>
        <v>-0.21132249608338893</v>
      </c>
      <c r="I14" s="3078">
        <f t="shared" si="7"/>
        <v>-0.21132249608338893</v>
      </c>
      <c r="J14" s="3078">
        <f t="shared" si="8"/>
        <v>-0.25187929469977821</v>
      </c>
      <c r="K14" s="3573">
        <f t="shared" si="9"/>
        <v>-0.27373863795002251</v>
      </c>
      <c r="L14" s="3128" t="str">
        <f t="shared" si="10"/>
        <v>NA</v>
      </c>
      <c r="M14" s="3590" t="str">
        <f t="shared" ref="M14" si="27">M15</f>
        <v>IE</v>
      </c>
      <c r="N14" s="3591">
        <f t="shared" ref="N14" si="28">N15</f>
        <v>-435.96</v>
      </c>
      <c r="O14" s="3592">
        <f t="shared" ref="O14" si="29">O15</f>
        <v>-435.96</v>
      </c>
      <c r="P14" s="3591">
        <f t="shared" ref="P14" si="30">P15</f>
        <v>-519.62900000000002</v>
      </c>
      <c r="Q14" s="3593">
        <f t="shared" ref="Q14" si="31">Q15</f>
        <v>-564.72500000000002</v>
      </c>
      <c r="R14" s="3593" t="str">
        <f t="shared" ref="R14" si="32">R15</f>
        <v>IE</v>
      </c>
      <c r="S14" s="3594">
        <f t="shared" ref="S14" si="33">S15</f>
        <v>5574.4846666666663</v>
      </c>
      <c r="U14" s="503"/>
    </row>
    <row r="15" spans="2:21" ht="18" customHeight="1" x14ac:dyDescent="0.2">
      <c r="B15" s="501"/>
      <c r="C15" s="508" t="s">
        <v>278</v>
      </c>
      <c r="D15" s="3568">
        <f>IF(SUM(E15:F15)=0,E15,SUM(E15:F15))</f>
        <v>2063.0079999999998</v>
      </c>
      <c r="E15" s="3569">
        <v>2063.0079999999998</v>
      </c>
      <c r="F15" s="3554" t="s">
        <v>2153</v>
      </c>
      <c r="G15" s="3558" t="str">
        <f t="shared" si="5"/>
        <v>NA</v>
      </c>
      <c r="H15" s="3078">
        <f t="shared" si="6"/>
        <v>-0.21132249608338893</v>
      </c>
      <c r="I15" s="3078">
        <f t="shared" si="7"/>
        <v>-0.21132249608338893</v>
      </c>
      <c r="J15" s="3078">
        <f t="shared" si="8"/>
        <v>-0.25187929469977821</v>
      </c>
      <c r="K15" s="3573">
        <f t="shared" si="9"/>
        <v>-0.27373863795002251</v>
      </c>
      <c r="L15" s="3128" t="str">
        <f t="shared" si="10"/>
        <v>NA</v>
      </c>
      <c r="M15" s="2905" t="s">
        <v>2153</v>
      </c>
      <c r="N15" s="2905">
        <v>-435.96</v>
      </c>
      <c r="O15" s="3109">
        <f>IF(SUM(M15:N15)=0,M15,SUM(M15:N15))</f>
        <v>-435.96</v>
      </c>
      <c r="P15" s="2905">
        <v>-519.62900000000002</v>
      </c>
      <c r="Q15" s="2906">
        <v>-564.72500000000002</v>
      </c>
      <c r="R15" s="2906" t="s">
        <v>2153</v>
      </c>
      <c r="S15" s="3594">
        <f>IF(SUM(O15:R15)=0,Q15,SUM(O15:R15)*-44/12)</f>
        <v>5574.4846666666663</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519709.10947194288</v>
      </c>
      <c r="E10" s="3583">
        <f t="shared" ref="E10:F10" si="0">IF(SUM(E11,E15)=0,"IE",SUM(E11,E15))</f>
        <v>519708.10947194288</v>
      </c>
      <c r="F10" s="3584">
        <f t="shared" si="0"/>
        <v>1</v>
      </c>
      <c r="G10" s="3558">
        <f>IFERROR(IF(SUM($D10)=0,"NA",M10/$D10),"NA")</f>
        <v>3.1008185225009307E-6</v>
      </c>
      <c r="H10" s="3583">
        <f t="shared" ref="H10:J10" si="1">IFERROR(IF(SUM($D10)=0,"NA",N10/$D10),"NA")</f>
        <v>-2.7341859702500443E-2</v>
      </c>
      <c r="I10" s="3583">
        <f t="shared" si="1"/>
        <v>-2.7338758883977948E-2</v>
      </c>
      <c r="J10" s="3583">
        <f t="shared" si="1"/>
        <v>-7.9403410266687107E-3</v>
      </c>
      <c r="K10" s="3585">
        <f>IFERROR(IF(SUM(E10)=0,"NA",Q10/E10),"NA")</f>
        <v>7.5679025645055721E-3</v>
      </c>
      <c r="L10" s="3584">
        <f>IFERROR(IF(SUM(F10)=0,"NA",R10/F10),"NA")</f>
        <v>-8.7249999999999996</v>
      </c>
      <c r="M10" s="3586">
        <f>IF(SUM(M11,M15)=0,"IE",SUM(M11,M15))</f>
        <v>1.6115236329630644</v>
      </c>
      <c r="N10" s="3583">
        <f t="shared" ref="N10:S10" si="2">IF(SUM(N11,N15)=0,"IE",SUM(N11,N15))</f>
        <v>-14209.813557293306</v>
      </c>
      <c r="O10" s="3587">
        <f t="shared" si="2"/>
        <v>-14208.202033660345</v>
      </c>
      <c r="P10" s="3583">
        <f t="shared" si="2"/>
        <v>-4126.6675638735287</v>
      </c>
      <c r="Q10" s="3585">
        <f t="shared" si="2"/>
        <v>3933.1003344670589</v>
      </c>
      <c r="R10" s="3585">
        <f t="shared" si="2"/>
        <v>-8.7249999999999996</v>
      </c>
      <c r="S10" s="3588">
        <f t="shared" si="2"/>
        <v>52838.478964578324</v>
      </c>
      <c r="U10" s="2261"/>
    </row>
    <row r="11" spans="2:21" ht="18" customHeight="1" x14ac:dyDescent="0.2">
      <c r="B11" s="493" t="s">
        <v>988</v>
      </c>
      <c r="C11" s="483"/>
      <c r="D11" s="3599">
        <f>IF(SUM(D12:D14)=0,"IE",SUM(D12:D14))</f>
        <v>510828.74741734401</v>
      </c>
      <c r="E11" s="3564">
        <f t="shared" ref="E11:F11" si="3">IF(SUM(E12:E14)=0,"IE",SUM(E12:E14))</f>
        <v>510828.74741734401</v>
      </c>
      <c r="F11" s="3565" t="str">
        <f t="shared" si="3"/>
        <v>IE</v>
      </c>
      <c r="G11" s="3599" t="str">
        <f t="shared" ref="G11:G26" si="4">IFERROR(IF(SUM($D11)=0,"NA",M11/$D11),"NA")</f>
        <v>NA</v>
      </c>
      <c r="H11" s="3109">
        <f t="shared" ref="H11:H26" si="5">IFERROR(IF(SUM($D11)=0,"NA",N11/$D11),"NA")</f>
        <v>-4.288241511991921E-3</v>
      </c>
      <c r="I11" s="3109">
        <f t="shared" ref="I11:I26" si="6">IFERROR(IF(SUM($D11)=0,"NA",O11/$D11),"NA")</f>
        <v>-4.288241511991921E-3</v>
      </c>
      <c r="J11" s="3109">
        <f t="shared" ref="J11:J26" si="7">IFERROR(IF(SUM($D11)=0,"NA",P11/$D11),"NA")</f>
        <v>-6.2412661212386301E-5</v>
      </c>
      <c r="K11" s="3566">
        <f t="shared" ref="K11:K26" si="8">IFERROR(IF(SUM(E11)=0,"NA",Q11/E11),"NA")</f>
        <v>1.1473411737052753E-2</v>
      </c>
      <c r="L11" s="3249" t="str">
        <f t="shared" ref="L11:L26" si="9">IFERROR(IF(SUM(F11)=0,"NA",R11/F11),"NA")</f>
        <v>NA</v>
      </c>
      <c r="M11" s="3109" t="str">
        <f>IF(SUM(M12:M14)=0,"IE",SUM(M12:M14))</f>
        <v>IE</v>
      </c>
      <c r="N11" s="3109">
        <f t="shared" ref="N11:O11" si="10">IF(SUM(N12:N14)=0,"IE",SUM(N12:N14))</f>
        <v>-2190.5570401938903</v>
      </c>
      <c r="O11" s="3109">
        <f t="shared" si="10"/>
        <v>-2190.5570401938903</v>
      </c>
      <c r="P11" s="3109">
        <f t="shared" ref="P11" si="11">IF(SUM(P12:P14)=0,"IE",SUM(P12:P14))</f>
        <v>-31.882181550106345</v>
      </c>
      <c r="Q11" s="3566">
        <f t="shared" ref="Q11" si="12">IF(SUM(Q12:Q14)=0,"IE",SUM(Q12:Q14))</f>
        <v>5860.9485462421108</v>
      </c>
      <c r="R11" s="3566" t="str">
        <f t="shared" ref="R11" si="13">IF(SUM(R12:R14)=0,"IE",SUM(R12:R14))</f>
        <v>IE</v>
      </c>
      <c r="S11" s="3567">
        <f t="shared" ref="S11" si="14">IF(SUM(S12:S14)=0,"IE",SUM(S12:S14))</f>
        <v>-13341.20085649308</v>
      </c>
      <c r="U11" s="2397"/>
    </row>
    <row r="12" spans="2:21" ht="18" customHeight="1" x14ac:dyDescent="0.2">
      <c r="B12" s="499"/>
      <c r="C12" s="484" t="s">
        <v>2226</v>
      </c>
      <c r="D12" s="3600">
        <f>IF(SUM(E12:F12)=0,E12,SUM(E12:F12))</f>
        <v>70456.100045431245</v>
      </c>
      <c r="E12" s="3569">
        <v>70456.100045431245</v>
      </c>
      <c r="F12" s="3554" t="s">
        <v>2153</v>
      </c>
      <c r="G12" s="3558" t="str">
        <f t="shared" si="4"/>
        <v>NA</v>
      </c>
      <c r="H12" s="3078">
        <f t="shared" si="5"/>
        <v>-1.0168045281407536E-3</v>
      </c>
      <c r="I12" s="3078">
        <f t="shared" si="6"/>
        <v>-1.0168045281407536E-3</v>
      </c>
      <c r="J12" s="3078">
        <f t="shared" si="7"/>
        <v>-2.0336090562815122E-4</v>
      </c>
      <c r="K12" s="3573">
        <f t="shared" si="8"/>
        <v>-8.134436225126049E-4</v>
      </c>
      <c r="L12" s="3128" t="str">
        <f t="shared" si="9"/>
        <v>NA</v>
      </c>
      <c r="M12" s="2905" t="s">
        <v>2153</v>
      </c>
      <c r="N12" s="2905">
        <v>-71.640081561332451</v>
      </c>
      <c r="O12" s="3109">
        <f>IF(SUM(M12:N12)=0,M12,SUM(M12:N12))</f>
        <v>-71.640081561332451</v>
      </c>
      <c r="P12" s="2905">
        <v>-14.328016312266525</v>
      </c>
      <c r="Q12" s="2906">
        <v>-57.312065249066102</v>
      </c>
      <c r="R12" s="2906" t="s">
        <v>2153</v>
      </c>
      <c r="S12" s="3570">
        <f>IF(SUM(O12:R12)=0,Q12,SUM(O12:R12)*-44/12)</f>
        <v>525.36059811643861</v>
      </c>
      <c r="U12" s="2398"/>
    </row>
    <row r="13" spans="2:21" ht="18" customHeight="1" x14ac:dyDescent="0.2">
      <c r="B13" s="499"/>
      <c r="C13" s="484" t="s">
        <v>2227</v>
      </c>
      <c r="D13" s="3600">
        <f>IF(SUM(E13:F13)=0,E13,SUM(E13:F13))</f>
        <v>440372.64737191278</v>
      </c>
      <c r="E13" s="3569">
        <v>440372.64737191278</v>
      </c>
      <c r="F13" s="3554" t="s">
        <v>2153</v>
      </c>
      <c r="G13" s="3558" t="str">
        <f t="shared" si="4"/>
        <v>NA</v>
      </c>
      <c r="H13" s="3078" t="str">
        <f t="shared" si="5"/>
        <v>NA</v>
      </c>
      <c r="I13" s="3078" t="str">
        <f t="shared" si="6"/>
        <v>NA</v>
      </c>
      <c r="J13" s="3078" t="str">
        <f t="shared" si="7"/>
        <v>NA</v>
      </c>
      <c r="K13" s="3573">
        <f t="shared" si="8"/>
        <v>1.3439210284313963E-2</v>
      </c>
      <c r="L13" s="3128" t="str">
        <f t="shared" si="9"/>
        <v>NA</v>
      </c>
      <c r="M13" s="2905" t="s">
        <v>2147</v>
      </c>
      <c r="N13" s="2905" t="s">
        <v>2147</v>
      </c>
      <c r="O13" s="3109" t="str">
        <f>IF(SUM(M13:N13)=0,M13,SUM(M13:N13))</f>
        <v>NA</v>
      </c>
      <c r="P13" s="2905" t="s">
        <v>2147</v>
      </c>
      <c r="Q13" s="2906">
        <v>5918.2606114911769</v>
      </c>
      <c r="R13" s="2906" t="s">
        <v>2153</v>
      </c>
      <c r="S13" s="3570">
        <f>IF(SUM(O13:R13)=0,Q13,SUM(O13:R13)*-44/12)</f>
        <v>-21700.28890880098</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-2118.9169586325579</v>
      </c>
      <c r="O14" s="3109">
        <f>IF(SUM(M14:N14)=0,M14,SUM(M14:N14))</f>
        <v>-2118.9169586325579</v>
      </c>
      <c r="P14" s="2905">
        <v>-17.554165237839818</v>
      </c>
      <c r="Q14" s="2906" t="s">
        <v>2147</v>
      </c>
      <c r="R14" s="2906" t="s">
        <v>2147</v>
      </c>
      <c r="S14" s="3570">
        <f>IF(SUM(O14:R14)=0,Q14,SUM(O14:R14)*-44/12)</f>
        <v>7833.7274541914585</v>
      </c>
      <c r="U14" s="2398"/>
    </row>
    <row r="15" spans="2:21" ht="18" customHeight="1" x14ac:dyDescent="0.2">
      <c r="B15" s="485" t="s">
        <v>1066</v>
      </c>
      <c r="C15" s="486"/>
      <c r="D15" s="3589">
        <f>IF(SUM(D16,D19,D21,D23,D25)=0,"IE",SUM(D16,D19,D21,D23,D25))</f>
        <v>8880.3620545988906</v>
      </c>
      <c r="E15" s="3591">
        <f t="shared" ref="E15:F15" si="15">IF(SUM(E16,E19,E21,E23,E25)=0,"IE",SUM(E16,E19,E21,E23,E25))</f>
        <v>8879.3620545988906</v>
      </c>
      <c r="F15" s="3595">
        <f t="shared" si="15"/>
        <v>1</v>
      </c>
      <c r="G15" s="3558">
        <f t="shared" si="4"/>
        <v>1.8147048769576928E-4</v>
      </c>
      <c r="H15" s="3078">
        <f t="shared" si="5"/>
        <v>-1.3534646947052098</v>
      </c>
      <c r="I15" s="3078">
        <f t="shared" si="6"/>
        <v>-1.3532832242175141</v>
      </c>
      <c r="J15" s="3078">
        <f t="shared" si="7"/>
        <v>-0.46110567983012002</v>
      </c>
      <c r="K15" s="3573">
        <f t="shared" si="8"/>
        <v>-0.21711562158641354</v>
      </c>
      <c r="L15" s="3128">
        <f t="shared" si="9"/>
        <v>-8.7249999999999996</v>
      </c>
      <c r="M15" s="3590">
        <f>IF(SUM(M16,M19,M21,M23,M25)=0,"IE",SUM(M16,M19,M21,M23,M25))</f>
        <v>1.6115236329630644</v>
      </c>
      <c r="N15" s="3591">
        <f t="shared" ref="N15:S15" si="16">IF(SUM(N16,N19,N21,N23,N25)=0,"IE",SUM(N16,N19,N21,N23,N25))</f>
        <v>-12019.256517099417</v>
      </c>
      <c r="O15" s="3592">
        <f t="shared" si="16"/>
        <v>-12017.644993466454</v>
      </c>
      <c r="P15" s="3592">
        <f t="shared" si="16"/>
        <v>-4094.7853823234227</v>
      </c>
      <c r="Q15" s="3592">
        <f t="shared" si="16"/>
        <v>-1927.8482117750521</v>
      </c>
      <c r="R15" s="3592">
        <f t="shared" si="16"/>
        <v>-8.7249999999999996</v>
      </c>
      <c r="S15" s="3594">
        <f t="shared" si="16"/>
        <v>66179.679821071404</v>
      </c>
      <c r="U15" s="2019"/>
    </row>
    <row r="16" spans="2:21" ht="18" customHeight="1" x14ac:dyDescent="0.2">
      <c r="B16" s="500" t="s">
        <v>1067</v>
      </c>
      <c r="C16" s="486"/>
      <c r="D16" s="3599">
        <f>IF(SUM(D17:D18)=0,"IE",SUM(D17:D18))</f>
        <v>8831.484622062344</v>
      </c>
      <c r="E16" s="3564">
        <f t="shared" ref="E16:F16" si="17">IF(SUM(E17:E18)=0,"IE",SUM(E17:E18))</f>
        <v>8831.484622062344</v>
      </c>
      <c r="F16" s="3565" t="str">
        <f t="shared" si="17"/>
        <v>IE</v>
      </c>
      <c r="G16" s="3558">
        <f t="shared" si="4"/>
        <v>1.8247482749811307E-4</v>
      </c>
      <c r="H16" s="3078">
        <f t="shared" si="5"/>
        <v>-1.3609553808284454</v>
      </c>
      <c r="I16" s="3078">
        <f t="shared" si="6"/>
        <v>-1.3607729060009475</v>
      </c>
      <c r="J16" s="3078">
        <f t="shared" si="7"/>
        <v>-0.46365764733304843</v>
      </c>
      <c r="K16" s="3573">
        <f t="shared" si="8"/>
        <v>-0.20488677636767622</v>
      </c>
      <c r="L16" s="3128" t="str">
        <f t="shared" si="9"/>
        <v>NA</v>
      </c>
      <c r="M16" s="3506">
        <f>IF(SUM(M17:M18)=0,"IE",SUM(M17:M18))</f>
        <v>1.6115236329630644</v>
      </c>
      <c r="N16" s="3506">
        <f t="shared" ref="N16:O16" si="18">IF(SUM(N17:N18)=0,"IE",SUM(N17:N18))</f>
        <v>-12019.256517099417</v>
      </c>
      <c r="O16" s="3506">
        <f t="shared" si="18"/>
        <v>-12017.644993466454</v>
      </c>
      <c r="P16" s="3506">
        <f t="shared" ref="P16" si="19">IF(SUM(P17:P18)=0,"IE",SUM(P17:P18))</f>
        <v>-4094.7853823234227</v>
      </c>
      <c r="Q16" s="3601">
        <f t="shared" ref="Q16" si="20">IF(SUM(Q17:Q18)=0,"IE",SUM(Q17:Q18))</f>
        <v>-1809.4544147550589</v>
      </c>
      <c r="R16" s="3601" t="str">
        <f t="shared" ref="R16" si="21">IF(SUM(R17:R18)=0,"IE",SUM(R17:R18))</f>
        <v>IE</v>
      </c>
      <c r="S16" s="3287">
        <f t="shared" ref="S16" si="22">IF(SUM(S17:S18)=0,"IE",SUM(S17:S18))</f>
        <v>65713.577565331434</v>
      </c>
      <c r="U16" s="2400"/>
    </row>
    <row r="17" spans="2:21" ht="18" customHeight="1" x14ac:dyDescent="0.2">
      <c r="B17" s="500"/>
      <c r="C17" s="484" t="s">
        <v>2228</v>
      </c>
      <c r="D17" s="3600">
        <f>IF(SUM(E17:F17)=0,E17,SUM(E17:F17))</f>
        <v>8831.484622062344</v>
      </c>
      <c r="E17" s="3569">
        <v>8831.484622062344</v>
      </c>
      <c r="F17" s="3554" t="s">
        <v>2153</v>
      </c>
      <c r="G17" s="3558" t="str">
        <f t="shared" si="4"/>
        <v>NA</v>
      </c>
      <c r="H17" s="3078">
        <f t="shared" si="5"/>
        <v>-1.3609553808284454</v>
      </c>
      <c r="I17" s="3078">
        <f t="shared" si="6"/>
        <v>-1.3609553808284454</v>
      </c>
      <c r="J17" s="3078">
        <f t="shared" si="7"/>
        <v>-0.46315491329345621</v>
      </c>
      <c r="K17" s="3573">
        <f t="shared" si="8"/>
        <v>-0.20488677636767622</v>
      </c>
      <c r="L17" s="3128" t="str">
        <f t="shared" si="9"/>
        <v>NA</v>
      </c>
      <c r="M17" s="2905" t="s">
        <v>2153</v>
      </c>
      <c r="N17" s="2905">
        <v>-12019.256517099417</v>
      </c>
      <c r="O17" s="3109">
        <f>IF(SUM(M17:N17)=0,M17,SUM(M17:N17))</f>
        <v>-12019.256517099417</v>
      </c>
      <c r="P17" s="2905">
        <v>-4090.3454943837769</v>
      </c>
      <c r="Q17" s="2906">
        <v>-1809.4544147550589</v>
      </c>
      <c r="R17" s="2906" t="s">
        <v>2153</v>
      </c>
      <c r="S17" s="3570">
        <f>IF(SUM(O17:R17)=0,Q17,SUM(O17:R17)*-44/12)</f>
        <v>65703.206896206932</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v>1.6115236329630644</v>
      </c>
      <c r="N18" s="2905" t="s">
        <v>2153</v>
      </c>
      <c r="O18" s="3109">
        <f>IF(SUM(M18:N18)=0,M18,SUM(M18:N18))</f>
        <v>1.6115236329630644</v>
      </c>
      <c r="P18" s="2905">
        <v>-4.4398879396456765</v>
      </c>
      <c r="Q18" s="2906" t="s">
        <v>2147</v>
      </c>
      <c r="R18" s="2906" t="s">
        <v>2147</v>
      </c>
      <c r="S18" s="3570">
        <f>IF(SUM(O18:R18)=0,Q18,SUM(O18:R18)*-44/12)</f>
        <v>10.370669124502912</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13359.185856144</v>
      </c>
      <c r="E10" s="3583">
        <f>IF(SUM(E11,E23)=0,"IE",SUM(E11,E23))</f>
        <v>13267.461869365872</v>
      </c>
      <c r="F10" s="3584">
        <f>IF(SUM(F11,F23)=0,"IE",SUM(F11,F23))</f>
        <v>91.723986778128207</v>
      </c>
      <c r="G10" s="3608">
        <f>IFERROR(IF(SUM($D10)=0,"NA",M10/$D10),"NA")</f>
        <v>5.9966015230204723E-3</v>
      </c>
      <c r="H10" s="3609">
        <f t="shared" ref="H10:J10" si="0">IFERROR(IF(SUM($D10)=0,"NA",N10/$D10),"NA")</f>
        <v>-9.0949956516137558E-3</v>
      </c>
      <c r="I10" s="3610">
        <f t="shared" si="0"/>
        <v>-3.0983941285932844E-3</v>
      </c>
      <c r="J10" s="3609">
        <f t="shared" si="0"/>
        <v>-1.906891635938657E-3</v>
      </c>
      <c r="K10" s="3609">
        <f>IFERROR(IF(SUM(E10)=0,"NA",Q10/E10),"NA")</f>
        <v>-3.6112249869894473E-3</v>
      </c>
      <c r="L10" s="3611" t="str">
        <f>IFERROR(IF(SUM(F10)=0,"NA",R10/F10),"NA")</f>
        <v>NA</v>
      </c>
      <c r="M10" s="3610">
        <f t="shared" ref="M10:S10" si="1">IF(SUM(M11,M23)=0,"IE",SUM(M11,M23))</f>
        <v>80.109714251266666</v>
      </c>
      <c r="N10" s="3609">
        <f t="shared" si="1"/>
        <v>-121.50173727072968</v>
      </c>
      <c r="O10" s="3610">
        <f t="shared" si="1"/>
        <v>-41.392023019463018</v>
      </c>
      <c r="P10" s="3609">
        <f t="shared" si="1"/>
        <v>-25.474519772031002</v>
      </c>
      <c r="Q10" s="3612">
        <f t="shared" si="1"/>
        <v>-47.911789816583763</v>
      </c>
      <c r="R10" s="3612" t="str">
        <f t="shared" si="1"/>
        <v>IE</v>
      </c>
      <c r="S10" s="3588">
        <f t="shared" si="1"/>
        <v>420.85388622961864</v>
      </c>
      <c r="U10" s="2401"/>
    </row>
    <row r="11" spans="1:23" ht="18" customHeight="1" x14ac:dyDescent="0.2">
      <c r="B11" s="501" t="s">
        <v>990</v>
      </c>
      <c r="C11" s="483"/>
      <c r="D11" s="3613">
        <f>IF(SUM(D12,D14,D17)=0,"IE",SUM(D12,D14,D17))</f>
        <v>13322.141856144</v>
      </c>
      <c r="E11" s="3614">
        <f t="shared" ref="E11:S11" si="2">IF(SUM(E12,E14,E17)=0,"IE",SUM(E12,E14,E17))</f>
        <v>13230.417869365872</v>
      </c>
      <c r="F11" s="3615">
        <f t="shared" si="2"/>
        <v>91.723986778128207</v>
      </c>
      <c r="G11" s="3616">
        <f t="shared" ref="G11:G56" si="3">IFERROR(IF(SUM($D11)=0,"NA",M11/$D11),"NA")</f>
        <v>6.0132758768306534E-3</v>
      </c>
      <c r="H11" s="3617">
        <f t="shared" ref="H11:H56" si="4">IFERROR(IF(SUM($D11)=0,"NA",N11/$D11),"NA")</f>
        <v>-4.4955036447918706E-3</v>
      </c>
      <c r="I11" s="3618">
        <f t="shared" ref="I11:I56" si="5">IFERROR(IF(SUM($D11)=0,"NA",O11/$D11),"NA")</f>
        <v>1.5177722320387831E-3</v>
      </c>
      <c r="J11" s="3617">
        <f t="shared" ref="J11:J56" si="6">IFERROR(IF(SUM($D11)=0,"NA",P11/$D11),"NA")</f>
        <v>-1.9121940035702653E-3</v>
      </c>
      <c r="K11" s="3617">
        <f t="shared" ref="K11:K56" si="7">IFERROR(IF(SUM(E11)=0,"NA",Q11/E11),"NA")</f>
        <v>-3.6213360975937301E-3</v>
      </c>
      <c r="L11" s="3619" t="str">
        <f t="shared" ref="L11:L56" si="8">IFERROR(IF(SUM(F11)=0,"NA",R11/F11),"NA")</f>
        <v>NA</v>
      </c>
      <c r="M11" s="3618">
        <f t="shared" si="2"/>
        <v>80.109714251266666</v>
      </c>
      <c r="N11" s="3617">
        <f t="shared" si="2"/>
        <v>-59.88973727072969</v>
      </c>
      <c r="O11" s="3618">
        <f t="shared" si="2"/>
        <v>20.219976980536977</v>
      </c>
      <c r="P11" s="3617">
        <f t="shared" si="2"/>
        <v>-25.474519772031002</v>
      </c>
      <c r="Q11" s="3620">
        <f t="shared" si="2"/>
        <v>-47.911789816583763</v>
      </c>
      <c r="R11" s="3620" t="str">
        <f t="shared" si="2"/>
        <v>IE</v>
      </c>
      <c r="S11" s="3621">
        <f t="shared" si="2"/>
        <v>194.94321956295195</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772.79849347714048</v>
      </c>
      <c r="E14" s="3564">
        <f>IF(SUM(E15:E16)=0,"IE",SUM(E15:E16))</f>
        <v>772.79849347714048</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440.00840000000005</v>
      </c>
      <c r="E15" s="3569">
        <v>440.00840000000005</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12549.343362666859</v>
      </c>
      <c r="E17" s="3564">
        <f>IF(SUM(E18:E21)=0,"IE",SUM(E18:E21))</f>
        <v>12457.619375888731</v>
      </c>
      <c r="F17" s="3565">
        <f>IF(SUM(F18:F21)=0,"IE",SUM(F18:F21))</f>
        <v>91.723986778128207</v>
      </c>
      <c r="G17" s="3622">
        <f t="shared" si="3"/>
        <v>6.3835781631081737E-3</v>
      </c>
      <c r="H17" s="3591">
        <f t="shared" si="4"/>
        <v>-4.7723403161392605E-3</v>
      </c>
      <c r="I17" s="3623">
        <f t="shared" si="5"/>
        <v>1.6112378469689136E-3</v>
      </c>
      <c r="J17" s="3591">
        <f t="shared" si="6"/>
        <v>-2.0299484232629535E-3</v>
      </c>
      <c r="K17" s="3591">
        <f t="shared" si="7"/>
        <v>-3.8459827974288E-3</v>
      </c>
      <c r="L17" s="3595" t="str">
        <f t="shared" si="8"/>
        <v>NA</v>
      </c>
      <c r="M17" s="3564">
        <f t="shared" ref="M17:S17" si="16">IF(SUM(M18:M21)=0,"IE",SUM(M18:M21))</f>
        <v>80.109714251266666</v>
      </c>
      <c r="N17" s="3617">
        <f t="shared" si="16"/>
        <v>-59.88973727072969</v>
      </c>
      <c r="O17" s="3618">
        <f t="shared" si="16"/>
        <v>20.219976980536977</v>
      </c>
      <c r="P17" s="3617">
        <f t="shared" si="16"/>
        <v>-25.474519772031002</v>
      </c>
      <c r="Q17" s="3620">
        <f t="shared" si="16"/>
        <v>-47.911789816583763</v>
      </c>
      <c r="R17" s="3620" t="str">
        <f t="shared" si="16"/>
        <v>IE</v>
      </c>
      <c r="S17" s="3634">
        <f t="shared" si="16"/>
        <v>194.94321956295195</v>
      </c>
      <c r="U17" s="2402"/>
    </row>
    <row r="18" spans="1:23" ht="18" customHeight="1" x14ac:dyDescent="0.2">
      <c r="A18" s="2502"/>
      <c r="B18" s="2682"/>
      <c r="C18" s="2503" t="s">
        <v>2231</v>
      </c>
      <c r="D18" s="3600">
        <f>IF(SUM(E18:F18)=0,E18,SUM(E18:F18))</f>
        <v>1716.6986404464244</v>
      </c>
      <c r="E18" s="3569">
        <v>1716.6986404464244</v>
      </c>
      <c r="F18" s="3635" t="s">
        <v>2153</v>
      </c>
      <c r="G18" s="3630" t="str">
        <f t="shared" si="3"/>
        <v>NA</v>
      </c>
      <c r="H18" s="3631">
        <f t="shared" si="4"/>
        <v>-3.4886575814585298E-2</v>
      </c>
      <c r="I18" s="3632">
        <f t="shared" si="5"/>
        <v>-3.4886575814585298E-2</v>
      </c>
      <c r="J18" s="3631">
        <f t="shared" si="6"/>
        <v>-6.9773151629170613E-3</v>
      </c>
      <c r="K18" s="3631">
        <f t="shared" si="7"/>
        <v>-2.7909260651668245E-2</v>
      </c>
      <c r="L18" s="3633" t="str">
        <f t="shared" si="8"/>
        <v>NA</v>
      </c>
      <c r="M18" s="3624" t="s">
        <v>2153</v>
      </c>
      <c r="N18" s="3625">
        <v>-59.88973727072969</v>
      </c>
      <c r="O18" s="3109">
        <f>IF(SUM(M18:N18)=0,M18,SUM(M18:N18))</f>
        <v>-59.88973727072969</v>
      </c>
      <c r="P18" s="3625">
        <v>-11.977947454145941</v>
      </c>
      <c r="Q18" s="3626">
        <v>-47.911789816583763</v>
      </c>
      <c r="R18" s="3636" t="s">
        <v>2153</v>
      </c>
      <c r="S18" s="3570">
        <f>IF(SUM(O18:R18)=0,Q18,SUM(O18:R18)*-44/12)</f>
        <v>439.1914066520178</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v>80.109714251266666</v>
      </c>
      <c r="N19" s="3625" t="s">
        <v>2153</v>
      </c>
      <c r="O19" s="3109">
        <f t="shared" ref="O19:O22" si="18">IF(SUM(M19:N19)=0,M19,SUM(M19:N19))</f>
        <v>80.109714251266666</v>
      </c>
      <c r="P19" s="3625">
        <v>-13.496572317885063</v>
      </c>
      <c r="Q19" s="3628" t="s">
        <v>2147</v>
      </c>
      <c r="R19" s="3627" t="s">
        <v>2147</v>
      </c>
      <c r="S19" s="3570">
        <f t="shared" ref="S19:S22" si="19">IF(SUM(O19:R19)=0,Q19,SUM(O19:R19)*-44/12)</f>
        <v>-244.24818708906585</v>
      </c>
      <c r="T19" s="2502"/>
      <c r="U19" s="2684"/>
      <c r="V19" s="2502"/>
      <c r="W19" s="2502"/>
    </row>
    <row r="20" spans="1:23" ht="18" customHeight="1" x14ac:dyDescent="0.2">
      <c r="A20" s="2502"/>
      <c r="B20" s="2682"/>
      <c r="C20" s="2683" t="s">
        <v>2234</v>
      </c>
      <c r="D20" s="3600">
        <f t="shared" si="17"/>
        <v>10740.920735442307</v>
      </c>
      <c r="E20" s="3607">
        <v>10740.920735442307</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91.723986778128207</v>
      </c>
      <c r="E21" s="3564" t="str">
        <f t="shared" ref="E21:F21" si="20">E22</f>
        <v>IE</v>
      </c>
      <c r="F21" s="3565">
        <f t="shared" si="20"/>
        <v>91.723986778128207</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91.723986778128207</v>
      </c>
      <c r="E22" s="3569" t="s">
        <v>2153</v>
      </c>
      <c r="F22" s="3554">
        <v>91.723986778128207</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37.043999999999997</v>
      </c>
      <c r="E23" s="3591">
        <f t="shared" ref="E23:F23" si="22">IF(SUM(E24,E35,E46)=0,"IE",SUM(E24,E35,E46))</f>
        <v>37.043999999999997</v>
      </c>
      <c r="F23" s="3595" t="str">
        <f t="shared" si="22"/>
        <v>IE</v>
      </c>
      <c r="G23" s="3622" t="str">
        <f t="shared" si="3"/>
        <v>NA</v>
      </c>
      <c r="H23" s="3591">
        <f t="shared" si="4"/>
        <v>-1.6632113162725408</v>
      </c>
      <c r="I23" s="3623">
        <f t="shared" si="5"/>
        <v>-1.6632113162725408</v>
      </c>
      <c r="J23" s="3591" t="str">
        <f t="shared" si="6"/>
        <v>NA</v>
      </c>
      <c r="K23" s="3591" t="str">
        <f t="shared" si="7"/>
        <v>NA</v>
      </c>
      <c r="L23" s="3595" t="str">
        <f t="shared" si="8"/>
        <v>NA</v>
      </c>
      <c r="M23" s="3591" t="str">
        <f t="shared" ref="M23" si="23">IF(SUM(M24,M35,M46)=0,"IE",SUM(M24,M35,M46))</f>
        <v>IE</v>
      </c>
      <c r="N23" s="3591">
        <f t="shared" ref="N23" si="24">IF(SUM(N24,N35,N46)=0,"IE",SUM(N24,N35,N46))</f>
        <v>-61.611999999999995</v>
      </c>
      <c r="O23" s="3623">
        <f t="shared" ref="O23" si="25">IF(SUM(O24,O35,O46)=0,"IE",SUM(O24,O35,O46))</f>
        <v>-61.611999999999995</v>
      </c>
      <c r="P23" s="3591" t="str">
        <f>IF(SUM(P24,P35,P46)=0,"NO",SUM(P24,P35,P46))</f>
        <v>NO</v>
      </c>
      <c r="Q23" s="3590" t="str">
        <f>IF(SUM(Q24,Q35,Q46)=0,"NO",SUM(Q24,Q35,Q46))</f>
        <v>NO</v>
      </c>
      <c r="R23" s="3590" t="str">
        <f>IF(SUM(R24,R35,R46)=0,"NO",SUM(R24,R35,R46))</f>
        <v>NO</v>
      </c>
      <c r="S23" s="3594">
        <f t="shared" ref="S23" si="26">IF(SUM(S24,S35,S46)=0,"IE",SUM(S24,S35,S46))</f>
        <v>225.91066666666666</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37.043999999999997</v>
      </c>
      <c r="E35" s="3591">
        <f>IF(SUM(E36,E38,E40,E42,E44)=0,"IE",SUM(E36,E38,E40,E42,E44))</f>
        <v>37.043999999999997</v>
      </c>
      <c r="F35" s="3595" t="str">
        <f>IF(SUM(F36,F38,F40,F42,F44)=0,"IE",SUM(F36,F38,F40,F42,F44))</f>
        <v>IE</v>
      </c>
      <c r="G35" s="3622" t="str">
        <f t="shared" si="3"/>
        <v>NA</v>
      </c>
      <c r="H35" s="3591">
        <f t="shared" si="4"/>
        <v>-1.6632113162725408</v>
      </c>
      <c r="I35" s="3623">
        <f t="shared" si="5"/>
        <v>-1.6632113162725408</v>
      </c>
      <c r="J35" s="3591" t="str">
        <f t="shared" si="6"/>
        <v>NA</v>
      </c>
      <c r="K35" s="3591" t="str">
        <f t="shared" si="7"/>
        <v>NA</v>
      </c>
      <c r="L35" s="3595" t="str">
        <f t="shared" si="8"/>
        <v>NA</v>
      </c>
      <c r="M35" s="3591" t="str">
        <f t="shared" ref="M35:S35" si="48">IF(SUM(M36,M38,M40,M42,M44)=0,"IE",SUM(M36,M38,M40,M42,M44))</f>
        <v>IE</v>
      </c>
      <c r="N35" s="3591">
        <f t="shared" si="48"/>
        <v>-61.611999999999995</v>
      </c>
      <c r="O35" s="3623">
        <f t="shared" si="48"/>
        <v>-61.611999999999995</v>
      </c>
      <c r="P35" s="3591" t="str">
        <f>IF(SUM(P36,P38,P40,P42,P44)=0,"NO",SUM(P36,P38,P40,P42,P44))</f>
        <v>NO</v>
      </c>
      <c r="Q35" s="3590" t="str">
        <f>IF(SUM(Q36,Q38,Q40,Q42,Q44)=0,"NO",SUM(Q36,Q38,Q40,Q42,Q44))</f>
        <v>NO</v>
      </c>
      <c r="R35" s="3590" t="str">
        <f>IF(SUM(R36,R38,R40,R42,R44)=0,"NO",SUM(R36,R38,R40,R42,R44))</f>
        <v>NO</v>
      </c>
      <c r="S35" s="3594">
        <f t="shared" si="48"/>
        <v>225.91066666666666</v>
      </c>
      <c r="U35" s="503"/>
    </row>
    <row r="36" spans="2:21" ht="18" customHeight="1" x14ac:dyDescent="0.2">
      <c r="B36" s="505" t="s">
        <v>1087</v>
      </c>
      <c r="C36" s="486"/>
      <c r="D36" s="3600">
        <f>D37</f>
        <v>37.043999999999997</v>
      </c>
      <c r="E36" s="3564">
        <f t="shared" ref="E36:F36" si="49">E37</f>
        <v>37.043999999999997</v>
      </c>
      <c r="F36" s="3565" t="str">
        <f t="shared" si="49"/>
        <v>IE</v>
      </c>
      <c r="G36" s="3558" t="str">
        <f t="shared" si="3"/>
        <v>NA</v>
      </c>
      <c r="H36" s="3078">
        <f t="shared" si="4"/>
        <v>-1.6632113162725408</v>
      </c>
      <c r="I36" s="3078">
        <f t="shared" si="5"/>
        <v>-1.6632113162725408</v>
      </c>
      <c r="J36" s="3078" t="str">
        <f t="shared" si="6"/>
        <v>NA</v>
      </c>
      <c r="K36" s="3573" t="str">
        <f t="shared" si="7"/>
        <v>NA</v>
      </c>
      <c r="L36" s="3128" t="str">
        <f t="shared" si="8"/>
        <v>NA</v>
      </c>
      <c r="M36" s="3505" t="str">
        <f t="shared" ref="M36:S36" si="50">M37</f>
        <v>IE</v>
      </c>
      <c r="N36" s="3506">
        <f t="shared" si="50"/>
        <v>-61.611999999999995</v>
      </c>
      <c r="O36" s="3506">
        <f t="shared" si="50"/>
        <v>-61.611999999999995</v>
      </c>
      <c r="P36" s="3506" t="str">
        <f t="shared" si="50"/>
        <v>NA</v>
      </c>
      <c r="Q36" s="3601" t="str">
        <f t="shared" si="50"/>
        <v>NA</v>
      </c>
      <c r="R36" s="3601" t="str">
        <f t="shared" si="50"/>
        <v>NA</v>
      </c>
      <c r="S36" s="3287">
        <f t="shared" si="50"/>
        <v>225.91066666666666</v>
      </c>
      <c r="U36" s="2402"/>
    </row>
    <row r="37" spans="2:21" ht="18" customHeight="1" x14ac:dyDescent="0.2">
      <c r="B37" s="1479"/>
      <c r="C37" s="885" t="s">
        <v>278</v>
      </c>
      <c r="D37" s="3600">
        <f>IF(SUM(E37:F37)=0,E37,SUM(E37:F37))</f>
        <v>37.043999999999997</v>
      </c>
      <c r="E37" s="3569">
        <v>37.043999999999997</v>
      </c>
      <c r="F37" s="3554" t="s">
        <v>2153</v>
      </c>
      <c r="G37" s="3622" t="str">
        <f t="shared" si="3"/>
        <v>NA</v>
      </c>
      <c r="H37" s="3591">
        <f t="shared" si="4"/>
        <v>-1.6632113162725408</v>
      </c>
      <c r="I37" s="3623">
        <f t="shared" si="5"/>
        <v>-1.6632113162725408</v>
      </c>
      <c r="J37" s="3591" t="str">
        <f t="shared" si="6"/>
        <v>NA</v>
      </c>
      <c r="K37" s="3591" t="str">
        <f t="shared" si="7"/>
        <v>NA</v>
      </c>
      <c r="L37" s="3595" t="str">
        <f t="shared" si="8"/>
        <v>NA</v>
      </c>
      <c r="M37" s="3624" t="s">
        <v>2153</v>
      </c>
      <c r="N37" s="3625">
        <v>-61.611999999999995</v>
      </c>
      <c r="O37" s="3109">
        <f t="shared" ref="O37" si="51">IF(SUM(M37:N37)=0,M37,SUM(M37:N37))</f>
        <v>-61.611999999999995</v>
      </c>
      <c r="P37" s="3625" t="s">
        <v>2147</v>
      </c>
      <c r="Q37" s="3626" t="s">
        <v>2147</v>
      </c>
      <c r="R37" s="3626" t="s">
        <v>2147</v>
      </c>
      <c r="S37" s="3570">
        <f t="shared" ref="S37" si="52">IF(SUM(O37:R37)=0,Q37,SUM(O37:R37)*-44/12)</f>
        <v>225.91066666666666</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1220.1559106858599</v>
      </c>
      <c r="E10" s="3583">
        <f t="shared" ref="E10:F10" si="0">IF(SUM(E11,E13)=0,"IE",SUM(E11,E13))</f>
        <v>1157.468851334</v>
      </c>
      <c r="F10" s="3584">
        <f t="shared" si="0"/>
        <v>62.687059351859745</v>
      </c>
      <c r="G10" s="3582">
        <f>IFERROR(IF(SUM($D10)=0,"NA",M10/$D10),"NA")</f>
        <v>4.9852655673003111E-4</v>
      </c>
      <c r="H10" s="3583">
        <f t="shared" ref="H10:J10" si="1">IFERROR(IF(SUM($D10)=0,"NA",N10/$D10),"NA")</f>
        <v>-0.95393589183061012</v>
      </c>
      <c r="I10" s="3583">
        <f t="shared" si="1"/>
        <v>-0.95343736527388012</v>
      </c>
      <c r="J10" s="3583">
        <f t="shared" si="1"/>
        <v>-0.19644780572128975</v>
      </c>
      <c r="K10" s="3585">
        <f>IFERROR(IF(SUM(E10)=0,"NA",Q10/E10),"NA")</f>
        <v>-7.40964871765602E-2</v>
      </c>
      <c r="L10" s="3584">
        <f>IFERROR(IF(SUM(F10)=0,"NA",R10/F10),"NA")</f>
        <v>0.86970102021816187</v>
      </c>
      <c r="M10" s="3586">
        <f>IF(SUM(M11,M13)=0,"IE",SUM(M11,M13))</f>
        <v>0.60828012482801708</v>
      </c>
      <c r="N10" s="3583">
        <f t="shared" ref="N10:S10" si="2">IF(SUM(N11,N13)=0,"IE",SUM(N11,N13))</f>
        <v>-1163.9505168325061</v>
      </c>
      <c r="O10" s="3587">
        <f t="shared" si="2"/>
        <v>-1163.342236707678</v>
      </c>
      <c r="P10" s="3583">
        <f t="shared" si="2"/>
        <v>-239.69695129209919</v>
      </c>
      <c r="Q10" s="3585">
        <f t="shared" si="2"/>
        <v>-85.764375900137594</v>
      </c>
      <c r="R10" s="3585">
        <f t="shared" si="2"/>
        <v>54.518999472788884</v>
      </c>
      <c r="S10" s="3588">
        <f t="shared" si="2"/>
        <v>5259.0434028994623</v>
      </c>
      <c r="U10" s="2261"/>
    </row>
    <row r="11" spans="2:21" ht="18" customHeight="1" x14ac:dyDescent="0.2">
      <c r="B11" s="493" t="s">
        <v>993</v>
      </c>
      <c r="C11" s="2256"/>
      <c r="D11" s="3589">
        <f>D12</f>
        <v>939.73985133400004</v>
      </c>
      <c r="E11" s="3078">
        <f t="shared" ref="E11:F11" si="3">E12</f>
        <v>939.73985133400004</v>
      </c>
      <c r="F11" s="3078" t="str">
        <f t="shared" si="3"/>
        <v>IE</v>
      </c>
      <c r="G11" s="3558">
        <f t="shared" ref="G11:G24" si="4">IFERROR(IF(SUM($D11)=0,"NA",M11/$D11),"NA")</f>
        <v>6.4728565460381185E-4</v>
      </c>
      <c r="H11" s="3078" t="str">
        <f t="shared" ref="H11:H24" si="5">IFERROR(IF(SUM($D11)=0,"NA",N11/$D11),"NA")</f>
        <v>NA</v>
      </c>
      <c r="I11" s="3078">
        <f t="shared" ref="I11:I24" si="6">IFERROR(IF(SUM($D11)=0,"NA",O11/$D11),"NA")</f>
        <v>6.4728565460381185E-4</v>
      </c>
      <c r="J11" s="3078">
        <f t="shared" ref="J11:J24" si="7">IFERROR(IF(SUM($D11)=0,"NA",P11/$D11),"NA")</f>
        <v>1.2945713092076233E-4</v>
      </c>
      <c r="K11" s="3573">
        <f t="shared" ref="K11:K24" si="8">IFERROR(IF(SUM(E11)=0,"NA",Q11/E11),"NA")</f>
        <v>5.1782852368304931E-4</v>
      </c>
      <c r="L11" s="3128" t="str">
        <f t="shared" ref="L11:L24" si="9">IFERROR(IF(SUM(F11)=0,"NA",R11/F11),"NA")</f>
        <v>NA</v>
      </c>
      <c r="M11" s="3590">
        <f t="shared" ref="M11:S11" si="10">M12</f>
        <v>0.60828012482801708</v>
      </c>
      <c r="N11" s="3591" t="str">
        <f t="shared" si="10"/>
        <v>IE</v>
      </c>
      <c r="O11" s="3592">
        <f t="shared" si="10"/>
        <v>0.60828012482801708</v>
      </c>
      <c r="P11" s="3591">
        <f t="shared" si="10"/>
        <v>0.12165602496560336</v>
      </c>
      <c r="Q11" s="3593">
        <f t="shared" si="10"/>
        <v>0.48662409986241345</v>
      </c>
      <c r="R11" s="3593" t="str">
        <f t="shared" si="10"/>
        <v>IE</v>
      </c>
      <c r="S11" s="3594">
        <f t="shared" si="10"/>
        <v>-4.4607209154054575</v>
      </c>
      <c r="U11" s="2397"/>
    </row>
    <row r="12" spans="2:21" ht="18" customHeight="1" x14ac:dyDescent="0.2">
      <c r="B12" s="501"/>
      <c r="C12" s="885" t="s">
        <v>278</v>
      </c>
      <c r="D12" s="3600">
        <f>IF(SUM(E12:F12)=0,E12,SUM(E12:F12))</f>
        <v>939.73985133400004</v>
      </c>
      <c r="E12" s="3569">
        <v>939.73985133400004</v>
      </c>
      <c r="F12" s="3554" t="s">
        <v>2153</v>
      </c>
      <c r="G12" s="3558">
        <f t="shared" si="4"/>
        <v>6.4728565460381185E-4</v>
      </c>
      <c r="H12" s="3078" t="str">
        <f t="shared" si="5"/>
        <v>NA</v>
      </c>
      <c r="I12" s="3078">
        <f t="shared" si="6"/>
        <v>6.4728565460381185E-4</v>
      </c>
      <c r="J12" s="3078">
        <f t="shared" si="7"/>
        <v>1.2945713092076233E-4</v>
      </c>
      <c r="K12" s="3573">
        <f t="shared" si="8"/>
        <v>5.1782852368304931E-4</v>
      </c>
      <c r="L12" s="3128" t="str">
        <f t="shared" si="9"/>
        <v>NA</v>
      </c>
      <c r="M12" s="2905">
        <v>0.60828012482801708</v>
      </c>
      <c r="N12" s="2905" t="s">
        <v>2153</v>
      </c>
      <c r="O12" s="3109">
        <f>IF(SUM(M12:N12)=0,M12,SUM(M12:N12))</f>
        <v>0.60828012482801708</v>
      </c>
      <c r="P12" s="2905">
        <v>0.12165602496560336</v>
      </c>
      <c r="Q12" s="2906">
        <v>0.48662409986241345</v>
      </c>
      <c r="R12" s="2906" t="s">
        <v>2153</v>
      </c>
      <c r="S12" s="3570">
        <f>IF(SUM(O12:R12)=0,Q12,SUM(O12:R12)*-44/12)</f>
        <v>-4.4607209154054575</v>
      </c>
      <c r="U12" s="2398"/>
    </row>
    <row r="13" spans="2:21" ht="18" customHeight="1" x14ac:dyDescent="0.2">
      <c r="B13" s="493" t="s">
        <v>994</v>
      </c>
      <c r="C13" s="504"/>
      <c r="D13" s="3589">
        <f>IF(SUM(D14,D17,D19,D21,D23)=0,"IE",SUM(D14,D17,D19,D21,D23))</f>
        <v>280.41605935185976</v>
      </c>
      <c r="E13" s="3591">
        <f t="shared" ref="E13:S13" si="11">IF(SUM(E14,E17,E19,E21,E23)=0,"IE",SUM(E14,E17,E19,E21,E23))</f>
        <v>217.72900000000001</v>
      </c>
      <c r="F13" s="3595">
        <f t="shared" si="11"/>
        <v>62.687059351859745</v>
      </c>
      <c r="G13" s="3558" t="str">
        <f t="shared" si="4"/>
        <v>NA</v>
      </c>
      <c r="H13" s="3078">
        <f t="shared" si="5"/>
        <v>-4.1507983512884588</v>
      </c>
      <c r="I13" s="3078">
        <f t="shared" si="6"/>
        <v>-4.1507983512884588</v>
      </c>
      <c r="J13" s="3078">
        <f t="shared" si="7"/>
        <v>-0.85522422599964509</v>
      </c>
      <c r="K13" s="3573">
        <f t="shared" si="8"/>
        <v>-0.39613923730876455</v>
      </c>
      <c r="L13" s="3128">
        <f t="shared" si="9"/>
        <v>0.86970102021816187</v>
      </c>
      <c r="M13" s="3078" t="str">
        <f t="shared" si="11"/>
        <v>IE</v>
      </c>
      <c r="N13" s="3078">
        <f t="shared" si="11"/>
        <v>-1163.9505168325061</v>
      </c>
      <c r="O13" s="3078">
        <f t="shared" si="11"/>
        <v>-1163.9505168325061</v>
      </c>
      <c r="P13" s="3078">
        <f t="shared" si="11"/>
        <v>-239.81860731706479</v>
      </c>
      <c r="Q13" s="3573">
        <f t="shared" si="11"/>
        <v>-86.251000000000005</v>
      </c>
      <c r="R13" s="3573">
        <f t="shared" si="11"/>
        <v>54.518999472788884</v>
      </c>
      <c r="S13" s="3570">
        <f t="shared" si="11"/>
        <v>5263.5041238148679</v>
      </c>
      <c r="U13" s="2019"/>
    </row>
    <row r="14" spans="2:21" ht="18" customHeight="1" x14ac:dyDescent="0.2">
      <c r="B14" s="495" t="s">
        <v>1101</v>
      </c>
      <c r="C14" s="504"/>
      <c r="D14" s="3599">
        <f>IF(SUM(D15:D16)=0,"IE",SUM(D15:D16))</f>
        <v>280.41605935185976</v>
      </c>
      <c r="E14" s="3564">
        <f t="shared" ref="E14:F14" si="12">IF(SUM(E15:E16)=0,"IE",SUM(E15:E16))</f>
        <v>217.72900000000001</v>
      </c>
      <c r="F14" s="3565">
        <f t="shared" si="12"/>
        <v>62.687059351859745</v>
      </c>
      <c r="G14" s="3558" t="str">
        <f t="shared" si="4"/>
        <v>NA</v>
      </c>
      <c r="H14" s="3078">
        <f t="shared" si="5"/>
        <v>-4.1507983512884588</v>
      </c>
      <c r="I14" s="3078">
        <f t="shared" si="6"/>
        <v>-4.1507983512884588</v>
      </c>
      <c r="J14" s="3078">
        <f t="shared" si="7"/>
        <v>-0.85522422599964509</v>
      </c>
      <c r="K14" s="3573">
        <f t="shared" si="8"/>
        <v>-0.39613923730876455</v>
      </c>
      <c r="L14" s="3128">
        <f t="shared" si="9"/>
        <v>0.86970102021816187</v>
      </c>
      <c r="M14" s="3506" t="str">
        <f>IF(SUM(M15:M16)=0,"IE",SUM(M15:M16))</f>
        <v>IE</v>
      </c>
      <c r="N14" s="3506">
        <f t="shared" ref="N14:S14" si="13">IF(SUM(N15:N16)=0,"IE",SUM(N15:N16))</f>
        <v>-1163.9505168325061</v>
      </c>
      <c r="O14" s="3506">
        <f t="shared" si="13"/>
        <v>-1163.9505168325061</v>
      </c>
      <c r="P14" s="3506">
        <f t="shared" si="13"/>
        <v>-239.81860731706479</v>
      </c>
      <c r="Q14" s="3601">
        <f t="shared" si="13"/>
        <v>-86.251000000000005</v>
      </c>
      <c r="R14" s="3601">
        <f t="shared" si="13"/>
        <v>54.518999472788884</v>
      </c>
      <c r="S14" s="3287">
        <f t="shared" si="13"/>
        <v>5263.5041238148679</v>
      </c>
      <c r="U14" s="2019"/>
    </row>
    <row r="15" spans="2:21" ht="18" customHeight="1" x14ac:dyDescent="0.2">
      <c r="B15" s="496"/>
      <c r="C15" s="508" t="s">
        <v>2235</v>
      </c>
      <c r="D15" s="3600">
        <f>IF(SUM(E15:F15)=0,E15,SUM(E15:F15))</f>
        <v>62.687059351859745</v>
      </c>
      <c r="E15" s="3569" t="s">
        <v>2146</v>
      </c>
      <c r="F15" s="3554">
        <v>62.687059351859745</v>
      </c>
      <c r="G15" s="3558" t="str">
        <f t="shared" si="4"/>
        <v>NA</v>
      </c>
      <c r="H15" s="3078">
        <f t="shared" si="5"/>
        <v>-10.626396001342238</v>
      </c>
      <c r="I15" s="3078">
        <f t="shared" si="6"/>
        <v>-10.626396001342238</v>
      </c>
      <c r="J15" s="3078">
        <f t="shared" si="7"/>
        <v>-1.1780040104062401</v>
      </c>
      <c r="K15" s="3573" t="str">
        <f t="shared" si="8"/>
        <v>NA</v>
      </c>
      <c r="L15" s="3128">
        <f t="shared" si="9"/>
        <v>0.86970102021816187</v>
      </c>
      <c r="M15" s="2905" t="s">
        <v>2153</v>
      </c>
      <c r="N15" s="2905">
        <v>-666.13751683250598</v>
      </c>
      <c r="O15" s="3109">
        <f>IF(SUM(M15:N15)=0,M15,SUM(M15:N15))</f>
        <v>-666.13751683250598</v>
      </c>
      <c r="P15" s="2905">
        <v>-73.845607317064776</v>
      </c>
      <c r="Q15" s="2906" t="s">
        <v>2146</v>
      </c>
      <c r="R15" s="2906">
        <v>54.518999472788884</v>
      </c>
      <c r="S15" s="3570">
        <f>IF(SUM(O15:R15)=0,Q15,SUM(O15:R15)*-44/12)</f>
        <v>2513.3684571482004</v>
      </c>
      <c r="U15" s="2019"/>
    </row>
    <row r="16" spans="2:21" ht="18" customHeight="1" x14ac:dyDescent="0.2">
      <c r="B16" s="494"/>
      <c r="C16" s="508" t="s">
        <v>2236</v>
      </c>
      <c r="D16" s="3600">
        <f>IF(SUM(E16:F16)=0,E16,SUM(E16:F16))</f>
        <v>217.72900000000001</v>
      </c>
      <c r="E16" s="3569">
        <v>217.72900000000001</v>
      </c>
      <c r="F16" s="3554" t="s">
        <v>2153</v>
      </c>
      <c r="G16" s="3558" t="str">
        <f t="shared" si="4"/>
        <v>NA</v>
      </c>
      <c r="H16" s="3078">
        <f t="shared" si="5"/>
        <v>-2.2863881246871109</v>
      </c>
      <c r="I16" s="3078">
        <f t="shared" si="6"/>
        <v>-2.2863881246871109</v>
      </c>
      <c r="J16" s="3078">
        <f t="shared" si="7"/>
        <v>-0.76229165614135008</v>
      </c>
      <c r="K16" s="3573">
        <f t="shared" si="8"/>
        <v>-0.39613923730876455</v>
      </c>
      <c r="L16" s="3128" t="str">
        <f t="shared" si="9"/>
        <v>NA</v>
      </c>
      <c r="M16" s="2905" t="s">
        <v>2153</v>
      </c>
      <c r="N16" s="2905">
        <v>-497.81300000000005</v>
      </c>
      <c r="O16" s="3109">
        <f>IF(SUM(M16:N16)=0,M16,SUM(M16:N16))</f>
        <v>-497.81300000000005</v>
      </c>
      <c r="P16" s="2905">
        <v>-165.97300000000001</v>
      </c>
      <c r="Q16" s="2906">
        <v>-86.251000000000005</v>
      </c>
      <c r="R16" s="2906" t="s">
        <v>2153</v>
      </c>
      <c r="S16" s="3570">
        <f>IF(SUM(O16:R16)=0,Q16,SUM(O16:R16)*-44/12)</f>
        <v>2750.135666666667</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66.771580728970804</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66.771580728970804</v>
      </c>
    </row>
    <row r="270" spans="2:10" ht="18" customHeight="1" x14ac:dyDescent="0.2">
      <c r="B270" s="2827" t="s">
        <v>1187</v>
      </c>
      <c r="C270" s="2828"/>
      <c r="D270" s="2808"/>
      <c r="E270" s="2809"/>
      <c r="F270" s="2810"/>
      <c r="G270" s="2811"/>
      <c r="H270" s="2819" t="s">
        <v>2154</v>
      </c>
      <c r="I270" s="2815" t="s">
        <v>2154</v>
      </c>
      <c r="J270" s="3741">
        <f>J277</f>
        <v>54.14126536306803</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540.31837274172312</v>
      </c>
      <c r="E277" s="2755" t="s">
        <v>2147</v>
      </c>
      <c r="F277" s="2753" t="s">
        <v>2147</v>
      </c>
      <c r="G277" s="3735">
        <f>IF(SUM(D277)=0,"NA",J277*1000/D277)</f>
        <v>100.20252520442799</v>
      </c>
      <c r="H277" s="2778" t="str">
        <f t="shared" ref="H277:J277" si="1">H302</f>
        <v>NE</v>
      </c>
      <c r="I277" s="2777" t="str">
        <f t="shared" si="1"/>
        <v>NE</v>
      </c>
      <c r="J277" s="3734">
        <f t="shared" si="1"/>
        <v>54.14126536306803</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305.10881816639818</v>
      </c>
      <c r="E281" s="2755" t="str">
        <f t="shared" si="2"/>
        <v>NA</v>
      </c>
      <c r="F281" s="2753" t="str">
        <f t="shared" si="2"/>
        <v>NA</v>
      </c>
      <c r="G281" s="3735">
        <f t="shared" si="2"/>
        <v>115.31989932936006</v>
      </c>
      <c r="H281" s="2780" t="str">
        <f t="shared" ref="H281" si="3">H306</f>
        <v>NA</v>
      </c>
      <c r="I281" s="2758" t="str">
        <f t="shared" ref="I281:J281" si="4">I306</f>
        <v>NA</v>
      </c>
      <c r="J281" s="3744">
        <f t="shared" si="4"/>
        <v>35.185118195449057</v>
      </c>
    </row>
    <row r="282" spans="2:10" ht="18" customHeight="1" outlineLevel="1" x14ac:dyDescent="0.2">
      <c r="B282" s="2847" t="str">
        <f>B307</f>
        <v>Other Constructed Water Bodies</v>
      </c>
      <c r="C282" s="2835" t="str">
        <f t="shared" si="2"/>
        <v>Other Constructed Water Bodies</v>
      </c>
      <c r="D282" s="3729">
        <f t="shared" si="2"/>
        <v>235.209554575325</v>
      </c>
      <c r="E282" s="2755" t="str">
        <f t="shared" si="2"/>
        <v>NA</v>
      </c>
      <c r="F282" s="2753" t="str">
        <f t="shared" si="2"/>
        <v>NA</v>
      </c>
      <c r="G282" s="3735">
        <f t="shared" si="2"/>
        <v>80.592589879457194</v>
      </c>
      <c r="H282" s="2845" t="str">
        <f t="shared" ref="H282" si="5">H307</f>
        <v>NA</v>
      </c>
      <c r="I282" s="2846" t="str">
        <f t="shared" ref="I282:J282" si="6">I307</f>
        <v>NA</v>
      </c>
      <c r="J282" s="3744">
        <f t="shared" si="6"/>
        <v>18.956147167618973</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54.14126536306803</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540.31837274172312</v>
      </c>
      <c r="E302" s="2755" t="s">
        <v>2147</v>
      </c>
      <c r="F302" s="2753" t="s">
        <v>2147</v>
      </c>
      <c r="G302" s="3735">
        <f>IF(SUM(D302)=0,"NA",J302*1000/D302)</f>
        <v>100.20252520442799</v>
      </c>
      <c r="H302" s="2778" t="s">
        <v>2154</v>
      </c>
      <c r="I302" s="2777" t="s">
        <v>2154</v>
      </c>
      <c r="J302" s="3734">
        <f t="shared" ref="J302" si="7">IF(SUM(J306:J307)=0,"NO",SUM(J306:J307))</f>
        <v>54.14126536306803</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305.10881816639818</v>
      </c>
      <c r="E306" s="2755" t="s">
        <v>2147</v>
      </c>
      <c r="F306" s="2753" t="s">
        <v>2147</v>
      </c>
      <c r="G306" s="3735">
        <f>IF(SUM(D306)=0,"NA",J306*1000/D306)</f>
        <v>115.31989932936006</v>
      </c>
      <c r="H306" s="2780" t="s">
        <v>2147</v>
      </c>
      <c r="I306" s="2758" t="s">
        <v>2147</v>
      </c>
      <c r="J306" s="3744">
        <v>35.185118195449057</v>
      </c>
    </row>
    <row r="307" spans="2:10" ht="18" customHeight="1" outlineLevel="2" x14ac:dyDescent="0.2">
      <c r="B307" s="2847" t="s">
        <v>2245</v>
      </c>
      <c r="C307" s="2835" t="s">
        <v>2245</v>
      </c>
      <c r="D307" s="3732">
        <v>235.209554575325</v>
      </c>
      <c r="E307" s="2755" t="s">
        <v>2147</v>
      </c>
      <c r="F307" s="2753" t="s">
        <v>2147</v>
      </c>
      <c r="G307" s="3735">
        <f>IF(SUM(D307)=0,"NA",J307*1000/D307)</f>
        <v>80.592589879457194</v>
      </c>
      <c r="H307" s="2780" t="s">
        <v>2147</v>
      </c>
      <c r="I307" s="2758" t="s">
        <v>2147</v>
      </c>
      <c r="J307" s="3744">
        <v>18.956147167618973</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12.630315365902776</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69.430272515331893</v>
      </c>
      <c r="E327" s="2776" t="str">
        <f t="shared" ref="E327:J327" si="8">E331</f>
        <v>NA</v>
      </c>
      <c r="F327" s="2777" t="str">
        <f t="shared" si="8"/>
        <v>NA</v>
      </c>
      <c r="G327" s="3737">
        <f t="shared" si="8"/>
        <v>181.91366544202594</v>
      </c>
      <c r="H327" s="2778" t="str">
        <f t="shared" si="8"/>
        <v>IE</v>
      </c>
      <c r="I327" s="2777" t="str">
        <f t="shared" si="8"/>
        <v>NA</v>
      </c>
      <c r="J327" s="3734">
        <f t="shared" si="8"/>
        <v>12.630315365902776</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69.430272515331893</v>
      </c>
      <c r="E331" s="2755" t="str">
        <f t="shared" si="9"/>
        <v>NA</v>
      </c>
      <c r="F331" s="2753" t="str">
        <f t="shared" si="9"/>
        <v>NA</v>
      </c>
      <c r="G331" s="3735">
        <f t="shared" si="9"/>
        <v>181.91366544202594</v>
      </c>
      <c r="H331" s="2765" t="str">
        <f t="shared" si="9"/>
        <v>IE</v>
      </c>
      <c r="I331" s="2758" t="str">
        <f t="shared" si="9"/>
        <v>NA</v>
      </c>
      <c r="J331" s="3744">
        <f t="shared" si="9"/>
        <v>12.630315365902776</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12.630315365902776</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69.430272515331893</v>
      </c>
      <c r="E411" s="2776" t="str">
        <f t="shared" ref="E411:J411" si="10">E415</f>
        <v>NA</v>
      </c>
      <c r="F411" s="2777" t="str">
        <f t="shared" si="10"/>
        <v>NA</v>
      </c>
      <c r="G411" s="3737">
        <f t="shared" si="10"/>
        <v>181.91366544202594</v>
      </c>
      <c r="H411" s="2778" t="str">
        <f t="shared" si="10"/>
        <v>IE</v>
      </c>
      <c r="I411" s="2777" t="str">
        <f t="shared" si="10"/>
        <v>NA</v>
      </c>
      <c r="J411" s="3734">
        <f t="shared" si="10"/>
        <v>12.630315365902776</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69.430272515331893</v>
      </c>
      <c r="E415" s="2755" t="str">
        <f>E427</f>
        <v>NA</v>
      </c>
      <c r="F415" s="2753" t="str">
        <f>F427</f>
        <v>NA</v>
      </c>
      <c r="G415" s="3735">
        <f t="shared" ref="G415:J415" si="11">G427</f>
        <v>181.91366544202594</v>
      </c>
      <c r="H415" s="2780" t="str">
        <f t="shared" si="11"/>
        <v>IE</v>
      </c>
      <c r="I415" s="2758" t="str">
        <f t="shared" si="11"/>
        <v>NA</v>
      </c>
      <c r="J415" s="3744">
        <f t="shared" si="11"/>
        <v>12.630315365902776</v>
      </c>
    </row>
    <row r="416" spans="2:10" ht="18" customHeight="1" outlineLevel="2" x14ac:dyDescent="0.2">
      <c r="B416" s="2842" t="s">
        <v>1199</v>
      </c>
      <c r="C416" s="2828"/>
      <c r="D416" s="3731"/>
      <c r="E416" s="2809"/>
      <c r="F416" s="2810"/>
      <c r="G416" s="3738"/>
      <c r="H416" s="2819" t="s">
        <v>2154</v>
      </c>
      <c r="I416" s="2815" t="s">
        <v>2154</v>
      </c>
      <c r="J416" s="3741">
        <f>J423</f>
        <v>12.630315365902776</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69.430272515331893</v>
      </c>
      <c r="E423" s="2776" t="str">
        <f t="shared" ref="E423:J423" si="12">E427</f>
        <v>NA</v>
      </c>
      <c r="F423" s="2777" t="str">
        <f t="shared" si="12"/>
        <v>NA</v>
      </c>
      <c r="G423" s="3737">
        <f t="shared" si="12"/>
        <v>181.91366544202594</v>
      </c>
      <c r="H423" s="2778" t="str">
        <f t="shared" si="12"/>
        <v>IE</v>
      </c>
      <c r="I423" s="2777" t="str">
        <f t="shared" si="12"/>
        <v>NA</v>
      </c>
      <c r="J423" s="3734">
        <f t="shared" si="12"/>
        <v>12.630315365902776</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69.430272515331893</v>
      </c>
      <c r="E427" s="2755" t="s">
        <v>2147</v>
      </c>
      <c r="F427" s="2753" t="s">
        <v>2147</v>
      </c>
      <c r="G427" s="3735">
        <f>IF(SUM(D427)=0,"NA",J427*1000/D427)</f>
        <v>181.91366544202594</v>
      </c>
      <c r="H427" s="2780" t="s">
        <v>2153</v>
      </c>
      <c r="I427" s="2758" t="s">
        <v>2147</v>
      </c>
      <c r="J427" s="3744">
        <v>12.630315365902776</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656988.93856398202</v>
      </c>
      <c r="D10" s="4332">
        <f>IF(SUM(D11,D20,D28,D37,D46,D55)=0,"NO",SUM(D11,D20,D28,D37,D46,D55))</f>
        <v>68582.823542160724</v>
      </c>
      <c r="E10" s="4333">
        <f t="shared" ref="E10:E12" si="0">IF(SUM(C10)=0,"NA",G10/C10*1000/(44/28))</f>
        <v>1.5162726332028169E-3</v>
      </c>
      <c r="F10" s="4332">
        <f t="shared" ref="F10:F11" si="1">IF(SUM(D10)=0,"NA",H10/D10*1000/(44/28))</f>
        <v>7.5000000000000006E-3</v>
      </c>
      <c r="G10" s="4331">
        <f>IF(SUM(G11,G20,G28,G37,G46,G55)=0,"NO",SUM(G11,G20,G28,G37,G46,G55))</f>
        <v>1.5654168323538371</v>
      </c>
      <c r="H10" s="4334">
        <f>IF(SUM(H11,H20,H28,H37,H46,H55)=0,"NO",SUM(H11,H20,H28,H37,H46,H55))</f>
        <v>0.80829756317546575</v>
      </c>
      <c r="I10" s="4335">
        <f t="shared" ref="I10:I11" si="2">IF(SUM(G10:H10)=0,"NO",SUM(G10:H10))</f>
        <v>2.3737143955293027</v>
      </c>
    </row>
    <row r="11" spans="2:10" ht="18" customHeight="1" x14ac:dyDescent="0.2">
      <c r="B11" s="2848" t="s">
        <v>1901</v>
      </c>
      <c r="C11" s="4336">
        <f>IF(SUM(C12:C13)=0,"NO",SUM(C12:C13))</f>
        <v>134108.22967324164</v>
      </c>
      <c r="D11" s="4337">
        <f>IF(SUM(D12:D13)=0,"NO",SUM(D12:D13))</f>
        <v>28707.756117193399</v>
      </c>
      <c r="E11" s="4336">
        <f t="shared" si="0"/>
        <v>2.8757873212028732E-3</v>
      </c>
      <c r="F11" s="4337">
        <f t="shared" si="1"/>
        <v>7.4999999999999997E-3</v>
      </c>
      <c r="G11" s="4336">
        <f>IF(SUM(G12:G13)=0,"NO",SUM(G12:G13))</f>
        <v>0.60604774459942623</v>
      </c>
      <c r="H11" s="4338">
        <f>IF(SUM(H12:H13)=0,"NO",SUM(H12:H13))</f>
        <v>0.33834141138120788</v>
      </c>
      <c r="I11" s="4337">
        <f t="shared" si="2"/>
        <v>0.94438915598063411</v>
      </c>
    </row>
    <row r="12" spans="2:10" ht="18" customHeight="1" x14ac:dyDescent="0.2">
      <c r="B12" s="914" t="s">
        <v>1228</v>
      </c>
      <c r="C12" s="4339">
        <f>Table4.A!E11</f>
        <v>128561.646468666</v>
      </c>
      <c r="D12" s="4340">
        <f>H12/F12*1000/(44/28)</f>
        <v>15420.93563677284</v>
      </c>
      <c r="E12" s="4341">
        <f t="shared" si="0"/>
        <v>1.2020062477989216E-3</v>
      </c>
      <c r="F12" s="4342">
        <v>7.4999999999999997E-3</v>
      </c>
      <c r="G12" s="4339">
        <v>0.24283584644416853</v>
      </c>
      <c r="H12" s="4343">
        <v>0.18174674143339417</v>
      </c>
      <c r="I12" s="4344">
        <f>IF(SUM(G12:H12)=0,"NO",SUM(G12:H12))</f>
        <v>0.4245825878775627</v>
      </c>
    </row>
    <row r="13" spans="2:10" ht="18" customHeight="1" x14ac:dyDescent="0.2">
      <c r="B13" s="914" t="s">
        <v>1902</v>
      </c>
      <c r="C13" s="4345">
        <f>IF(SUM(C15:C19)=0,"NO",SUM(C15:C19))</f>
        <v>5546.583204575647</v>
      </c>
      <c r="D13" s="4344">
        <f>IF(SUM(D15:D19)=0,"NO",SUM(D15:D19))</f>
        <v>13286.820480420558</v>
      </c>
      <c r="E13" s="4345">
        <f>IF(SUM(C13)=0,"NA",G13/C13*1000/(44/28))</f>
        <v>4.1671572525937076E-2</v>
      </c>
      <c r="F13" s="4344">
        <f>IF(SUM(D13)=0,"NA",H13/D13*1000/(44/28))</f>
        <v>7.4999999999999997E-3</v>
      </c>
      <c r="G13" s="4345">
        <f>IF(SUM(G15:G19)=0,"NO",SUM(G15:G19))</f>
        <v>0.36321189815525773</v>
      </c>
      <c r="H13" s="4346">
        <f>IF(SUM(H15:H19)=0,"NO",SUM(H15:H19))</f>
        <v>0.15659466994781371</v>
      </c>
      <c r="I13" s="4344">
        <f>IF(SUM(G13:H13)=0,"NO",SUM(G13:H13))</f>
        <v>0.51980656810307146</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64.438000000000002</v>
      </c>
      <c r="D15" s="4340">
        <f>H15/F15*1000/(44/28)</f>
        <v>125.4523607380698</v>
      </c>
      <c r="E15" s="4345">
        <f>IF(SUM(C15)=0,"NA",G15/C15*1000/(44/28))</f>
        <v>4.5449631170013549E-2</v>
      </c>
      <c r="F15" s="4342">
        <v>7.4999999999999997E-3</v>
      </c>
      <c r="G15" s="4350">
        <v>4.6022166666666664E-3</v>
      </c>
      <c r="H15" s="4351">
        <v>1.4785456801272511E-3</v>
      </c>
      <c r="I15" s="4344">
        <f>IF(SUM(G15:H15)=0,"NO",SUM(G15:H15))</f>
        <v>6.0807623467939173E-3</v>
      </c>
    </row>
    <row r="16" spans="2:10" ht="18" customHeight="1" x14ac:dyDescent="0.2">
      <c r="B16" s="528" t="s">
        <v>1230</v>
      </c>
      <c r="C16" s="4350">
        <f>Table4.A!E19</f>
        <v>5449.9552045756473</v>
      </c>
      <c r="D16" s="4340">
        <f>H16/F16*1000/(44/28)</f>
        <v>13032.734189594763</v>
      </c>
      <c r="E16" s="4345">
        <f t="shared" ref="E16:E21" si="3">IF(SUM(C16)=0,"NA",G16/C16*1000/(44/28))</f>
        <v>4.1380675464012716E-2</v>
      </c>
      <c r="F16" s="4342">
        <v>7.4999999999999997E-3</v>
      </c>
      <c r="G16" s="4350">
        <v>0.35439301482192442</v>
      </c>
      <c r="H16" s="4351">
        <v>0.15360008152022397</v>
      </c>
      <c r="I16" s="4344">
        <f t="shared" ref="I16:I21" si="4">IF(SUM(G16:H16)=0,"NO",SUM(G16:H16))</f>
        <v>0.5079930963421484</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32.19</v>
      </c>
      <c r="D18" s="4340">
        <f>H18/F18*1000/(44/28)</f>
        <v>128.63393008772513</v>
      </c>
      <c r="E18" s="4345">
        <f t="shared" si="3"/>
        <v>8.3359221290255803E-2</v>
      </c>
      <c r="F18" s="4342">
        <v>7.4999999999999997E-3</v>
      </c>
      <c r="G18" s="4350">
        <v>4.2166666666666672E-3</v>
      </c>
      <c r="H18" s="4351">
        <v>1.5160427474624747E-3</v>
      </c>
      <c r="I18" s="4344">
        <f t="shared" si="4"/>
        <v>5.7327094141291415E-3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2063.0079999999998</v>
      </c>
      <c r="D20" s="4360">
        <f>D21</f>
        <v>3347.8998720745708</v>
      </c>
      <c r="E20" s="4359">
        <f t="shared" si="3"/>
        <v>3.1936174427502628E-2</v>
      </c>
      <c r="F20" s="4360">
        <f t="shared" si="5"/>
        <v>7.4999999999999997E-3</v>
      </c>
      <c r="G20" s="4359">
        <f>G21</f>
        <v>0.10353291666666667</v>
      </c>
      <c r="H20" s="4361">
        <f>H21</f>
        <v>3.9457391349450296E-2</v>
      </c>
      <c r="I20" s="4360">
        <f t="shared" si="4"/>
        <v>0.14299030801611695</v>
      </c>
    </row>
    <row r="21" spans="2:9" ht="18" customHeight="1" x14ac:dyDescent="0.2">
      <c r="B21" s="914" t="s">
        <v>1904</v>
      </c>
      <c r="C21" s="4345">
        <f>IF(SUM(C23:C27)=0,"NO",SUM(C23:C27))</f>
        <v>2063.0079999999998</v>
      </c>
      <c r="D21" s="4344">
        <f>IF(SUM(D23:D27)=0,"NO",SUM(D23:D27))</f>
        <v>3347.8998720745708</v>
      </c>
      <c r="E21" s="4345">
        <f t="shared" si="3"/>
        <v>3.1936174427502628E-2</v>
      </c>
      <c r="F21" s="4344">
        <f t="shared" si="5"/>
        <v>7.4999999999999997E-3</v>
      </c>
      <c r="G21" s="4345">
        <f>IF(SUM(G23:G27)=0,"NO",SUM(G23:G27))</f>
        <v>0.10353291666666667</v>
      </c>
      <c r="H21" s="4346">
        <f>IF(SUM(H23:H27)=0,"NO",SUM(H23:H27))</f>
        <v>3.9457391349450296E-2</v>
      </c>
      <c r="I21" s="4344">
        <f t="shared" si="4"/>
        <v>0.14299030801611695</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2063.0079999999998</v>
      </c>
      <c r="D23" s="4340">
        <f>H23/F23*1000/(44/28)</f>
        <v>3347.8998720745708</v>
      </c>
      <c r="E23" s="4345">
        <f>IF(SUM(C23)=0,"NA",G23/C23*1000/(44/28))</f>
        <v>3.1936174427502628E-2</v>
      </c>
      <c r="F23" s="4342">
        <v>7.4999999999999997E-3</v>
      </c>
      <c r="G23" s="4350">
        <v>0.10353291666666667</v>
      </c>
      <c r="H23" s="4351">
        <v>3.9457391349450296E-2</v>
      </c>
      <c r="I23" s="4344">
        <f>IF(SUM(G23:H23)=0,"NO",SUM(G23:H23))</f>
        <v>0.14299030801611695</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519660.23203940637</v>
      </c>
      <c r="D28" s="4337">
        <f>IF(SUM(D29:D30)=0,"NO",SUM(D29:D30))</f>
        <v>36044.211491030524</v>
      </c>
      <c r="E28" s="4336">
        <f t="shared" si="6"/>
        <v>1.0281501337880967E-3</v>
      </c>
      <c r="F28" s="4337">
        <f t="shared" si="7"/>
        <v>7.4999999999999997E-3</v>
      </c>
      <c r="G28" s="4336">
        <f>IF(SUM(G29:G30)=0,"NO",SUM(G29:G30))</f>
        <v>0.83959658686462268</v>
      </c>
      <c r="H28" s="4338">
        <f>IF(SUM(H29:H30)=0,"NO",SUM(H29:H30))</f>
        <v>0.42480677828714547</v>
      </c>
      <c r="I28" s="4360">
        <f t="shared" si="8"/>
        <v>1.2644033651517681</v>
      </c>
    </row>
    <row r="29" spans="2:9" ht="18" customHeight="1" x14ac:dyDescent="0.2">
      <c r="B29" s="914" t="s">
        <v>1239</v>
      </c>
      <c r="C29" s="4339">
        <f>Table4.C!E11</f>
        <v>510828.74741734401</v>
      </c>
      <c r="D29" s="4340">
        <f>H29/F29*1000/(44/28)</f>
        <v>28224.300654637129</v>
      </c>
      <c r="E29" s="4341">
        <f t="shared" si="6"/>
        <v>6.3182748124876963E-4</v>
      </c>
      <c r="F29" s="4342">
        <v>7.4999999999999997E-3</v>
      </c>
      <c r="G29" s="4339">
        <v>0.50718743559025836</v>
      </c>
      <c r="H29" s="4343">
        <v>0.33264354342965186</v>
      </c>
      <c r="I29" s="4344">
        <f t="shared" si="8"/>
        <v>0.83983097901991022</v>
      </c>
    </row>
    <row r="30" spans="2:9" ht="18" customHeight="1" x14ac:dyDescent="0.2">
      <c r="B30" s="914" t="s">
        <v>1906</v>
      </c>
      <c r="C30" s="4345">
        <f>IF(SUM(C32:C36)=0,"NO",SUM(C32:C36))</f>
        <v>8831.484622062344</v>
      </c>
      <c r="D30" s="4344">
        <f>IF(SUM(D32:D36)=0,"NO",SUM(D32:D36))</f>
        <v>7819.9108363933983</v>
      </c>
      <c r="E30" s="4345">
        <f>IF(SUM(C30)=0,"NA",G30/C30*1000/(44/28))</f>
        <v>2.3952155873890546E-2</v>
      </c>
      <c r="F30" s="4344">
        <f>IF(SUM(D30)=0,"NA",H30/D30*1000/(44/28))</f>
        <v>7.4999999999999997E-3</v>
      </c>
      <c r="G30" s="4345">
        <f>IF(SUM(G32:G36)=0,"NO",SUM(G32:G36))</f>
        <v>0.33240915127436438</v>
      </c>
      <c r="H30" s="4346">
        <f>IF(SUM(H32:H36)=0,"NO",SUM(H32:H36))</f>
        <v>9.2163234857493614E-2</v>
      </c>
      <c r="I30" s="4344">
        <f t="shared" si="8"/>
        <v>0.42457238613185799</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8831.484622062344</v>
      </c>
      <c r="D32" s="4340">
        <f>H32/F32*1000/(44/28)</f>
        <v>7819.9108363933983</v>
      </c>
      <c r="E32" s="4345">
        <f>IF(SUM(C32)=0,"NA",G32/C32*1000/(44/28))</f>
        <v>2.3952155873890546E-2</v>
      </c>
      <c r="F32" s="4342">
        <v>7.4999999999999997E-3</v>
      </c>
      <c r="G32" s="4350">
        <v>0.33240915127436438</v>
      </c>
      <c r="H32" s="4351">
        <v>9.2163234857493614E-2</v>
      </c>
      <c r="I32" s="4344">
        <f t="shared" si="8"/>
        <v>0.42457238613185799</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1157.468851334</v>
      </c>
      <c r="D46" s="4337">
        <f>IF(SUM(D47:D48)=0,"NO",SUM(D47:D48))</f>
        <v>482.95606186223881</v>
      </c>
      <c r="E46" s="4336">
        <f t="shared" si="11"/>
        <v>8.9283446870719596E-3</v>
      </c>
      <c r="F46" s="4337">
        <f t="shared" si="12"/>
        <v>7.4999999999999997E-3</v>
      </c>
      <c r="G46" s="4336">
        <f>IF(SUM(G47:G48)=0,"NO",SUM(G47:G48))</f>
        <v>1.6239584223121606E-2</v>
      </c>
      <c r="H46" s="4338">
        <f>IF(SUM(H47:H48)=0,"NO",SUM(H47:H48))</f>
        <v>5.6919821576620995E-3</v>
      </c>
      <c r="I46" s="4337">
        <f t="shared" si="8"/>
        <v>2.1931566380783706E-2</v>
      </c>
    </row>
    <row r="47" spans="2:9" ht="18" customHeight="1" x14ac:dyDescent="0.2">
      <c r="B47" s="914" t="s">
        <v>1251</v>
      </c>
      <c r="C47" s="4339">
        <f>Table4.E!E11</f>
        <v>939.73985133400004</v>
      </c>
      <c r="D47" s="4340">
        <f>H47/F47*1000/(44/28)</f>
        <v>17.846012630594647</v>
      </c>
      <c r="E47" s="4341">
        <f t="shared" si="11"/>
        <v>2.8908447609931687E-4</v>
      </c>
      <c r="F47" s="4342">
        <v>7.4999999999999997E-3</v>
      </c>
      <c r="G47" s="4339">
        <v>4.2690088978827607E-4</v>
      </c>
      <c r="H47" s="4343">
        <v>2.1032800600343689E-4</v>
      </c>
      <c r="I47" s="4344">
        <f t="shared" si="8"/>
        <v>6.3722889579171293E-4</v>
      </c>
    </row>
    <row r="48" spans="2:9" ht="18" customHeight="1" x14ac:dyDescent="0.2">
      <c r="B48" s="914" t="s">
        <v>1910</v>
      </c>
      <c r="C48" s="4345">
        <f>IF(SUM(C50:C54)=0,"NO",SUM(C50:C54))</f>
        <v>217.72900000000001</v>
      </c>
      <c r="D48" s="4344">
        <f>IF(SUM(D50:D54)=0,"NO",SUM(D50:D54))</f>
        <v>465.11004923164415</v>
      </c>
      <c r="E48" s="4345">
        <f>IF(SUM(C48)=0,"NA",G48/C48*1000/(44/28))</f>
        <v>4.6216244352689187E-2</v>
      </c>
      <c r="F48" s="4344">
        <f>IF(SUM(D48)=0,"NA",H48/D48*1000/(44/28))</f>
        <v>7.4999999999999997E-3</v>
      </c>
      <c r="G48" s="4345">
        <f>IF(SUM(G50:G54)=0,"NO",SUM(G50:G54))</f>
        <v>1.5812683333333331E-2</v>
      </c>
      <c r="H48" s="4346">
        <f>IF(SUM(H50:H54)=0,"NO",SUM(H50:H54))</f>
        <v>5.4816541516586629E-3</v>
      </c>
      <c r="I48" s="4344">
        <f t="shared" si="8"/>
        <v>2.1294337484991994E-2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217.72900000000001</v>
      </c>
      <c r="D50" s="4340">
        <f>H50/F50*1000/(44/28)</f>
        <v>465.11004923164415</v>
      </c>
      <c r="E50" s="4345">
        <f>IF(SUM(C50)=0,"NA",G50/C50*1000/(44/28))</f>
        <v>4.6216244352689187E-2</v>
      </c>
      <c r="F50" s="4342">
        <v>7.4999999999999997E-3</v>
      </c>
      <c r="G50" s="4350">
        <v>1.5812683333333331E-2</v>
      </c>
      <c r="H50" s="4351">
        <v>5.4816541516586629E-3</v>
      </c>
      <c r="I50" s="4344">
        <f t="shared" si="8"/>
        <v>2.1294337484991994E-2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3914710.3696767301</v>
      </c>
      <c r="D10" s="3076" t="s">
        <v>1814</v>
      </c>
      <c r="E10" s="628"/>
      <c r="F10" s="628"/>
      <c r="G10" s="628"/>
      <c r="H10" s="1913">
        <f>IF(SUM(H11:H15)=0,"NO",SUM(H11:H15))</f>
        <v>276250.48898081743</v>
      </c>
      <c r="I10" s="1913">
        <f t="shared" ref="I10:K10" si="0">IF(SUM(I11:I16)=0,"NO",SUM(I11:I16))</f>
        <v>133.83324662665996</v>
      </c>
      <c r="J10" s="1913">
        <f t="shared" si="0"/>
        <v>7.9688482584606932</v>
      </c>
      <c r="K10" s="3085" t="str">
        <f t="shared" si="0"/>
        <v>NO</v>
      </c>
    </row>
    <row r="11" spans="2:11" ht="18" customHeight="1" x14ac:dyDescent="0.2">
      <c r="B11" s="282" t="s">
        <v>132</v>
      </c>
      <c r="C11" s="3086">
        <f>IF(SUM(C18,'Table1.A(a)s2'!C11,'Table1.A(a)s3'!C11,'Table1.A(a)s4'!C11,'Table1.A(a)s4'!C94)=0,"NO",SUM(C18,'Table1.A(a)s2'!C11,'Table1.A(a)s3'!C11,'Table1.A(a)s4'!C11,'Table1.A(a)s4'!C94))</f>
        <v>1376432.9465428321</v>
      </c>
      <c r="D11" s="3077" t="s">
        <v>2145</v>
      </c>
      <c r="E11" s="1913">
        <f>IFERROR(H11*1000/$C11,"NA")</f>
        <v>67.878159607996437</v>
      </c>
      <c r="F11" s="1913">
        <f t="shared" ref="F11:G16" si="1">IFERROR(I11*1000000/$C11,"NA")</f>
        <v>22.819238119044741</v>
      </c>
      <c r="G11" s="1913">
        <f t="shared" si="1"/>
        <v>3.6916944688320625</v>
      </c>
      <c r="H11" s="1913">
        <f>IF(SUM(H18,'Table1.A(a)s2'!H11,'Table1.A(a)s3'!H11,'Table1.A(a)s4'!H11,'Table1.A(a)s4'!H94)=0,"NO",SUM(H18,'Table1.A(a)s2'!H11,'Table1.A(a)s3'!H11,'Table1.A(a)s4'!H11,'Table1.A(a)s4'!H94))</f>
        <v>93429.735235139189</v>
      </c>
      <c r="I11" s="1913">
        <f>IF(SUM(I18,'Table1.A(a)s2'!I11,'Table1.A(a)s3'!I11,'Table1.A(a)s4'!I11,'Table1.A(a)s4'!I94)=0,"NO",SUM(I18,'Table1.A(a)s2'!I11,'Table1.A(a)s3'!I11,'Table1.A(a)s4'!I11,'Table1.A(a)s4'!I94))</f>
        <v>31.409151162059267</v>
      </c>
      <c r="J11" s="1913">
        <f>IF(SUM(J18,'Table1.A(a)s2'!J11,'Table1.A(a)s3'!J11,'Table1.A(a)s4'!J11,'Table1.A(a)s4'!J94)=0,"NO",SUM(J18,'Table1.A(a)s2'!J11,'Table1.A(a)s3'!J11,'Table1.A(a)s4'!J11,'Table1.A(a)s4'!J94))</f>
        <v>5.0813698954703908</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1587124.806697482</v>
      </c>
      <c r="D12" s="3077" t="s">
        <v>1814</v>
      </c>
      <c r="E12" s="1913">
        <f t="shared" ref="E12:E16" si="2">IFERROR(H12*1000/$C12,"NA")</f>
        <v>90.747158340006578</v>
      </c>
      <c r="F12" s="1913">
        <f t="shared" si="1"/>
        <v>0.68986285850800511</v>
      </c>
      <c r="G12" s="1913">
        <f t="shared" si="1"/>
        <v>0.90152038037479165</v>
      </c>
      <c r="H12" s="1913">
        <f>IF(SUM(H19,'Table1.A(a)s2'!H12,'Table1.A(a)s3'!H12,'Table1.A(a)s4'!H12,'Table1.A(a)s4'!H95)=0,"NO",SUM(H19,'Table1.A(a)s2'!H12,'Table1.A(a)s3'!H12,'Table1.A(a)s4'!H12,'Table1.A(a)s4'!H95))</f>
        <v>144027.06613872873</v>
      </c>
      <c r="I12" s="1913">
        <f>IF(SUM(I19,'Table1.A(a)s2'!I12,'Table1.A(a)s3'!I12,'Table1.A(a)s4'!I12,'Table1.A(a)s4'!I95)=0,"NO",SUM(I19,'Table1.A(a)s2'!I12,'Table1.A(a)s3'!I12,'Table1.A(a)s4'!I12,'Table1.A(a)s4'!I95))</f>
        <v>1.0948984559572901</v>
      </c>
      <c r="J12" s="1913">
        <f>IF(SUM(J19,'Table1.A(a)s2'!J12,'Table1.A(a)s3'!J12,'Table1.A(a)s4'!J12,'Table1.A(a)s4'!J95)=0,"NO",SUM(J19,'Table1.A(a)s2'!J12,'Table1.A(a)s3'!J12,'Table1.A(a)s4'!J12,'Table1.A(a)s4'!J95))</f>
        <v>1.4308253594361817</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747186.66219503817</v>
      </c>
      <c r="D13" s="3077" t="s">
        <v>2145</v>
      </c>
      <c r="E13" s="1913">
        <f t="shared" si="2"/>
        <v>51.435841040246764</v>
      </c>
      <c r="F13" s="1913">
        <f t="shared" si="1"/>
        <v>7.7659561712855441</v>
      </c>
      <c r="G13" s="1913">
        <f t="shared" si="1"/>
        <v>0.74868858344037315</v>
      </c>
      <c r="H13" s="1913">
        <f>IF(SUM(H20,'Table1.A(a)s2'!H13,'Table1.A(a)s3'!H13,'Table1.A(a)s4'!H13,'Table1.A(a)s4'!H96)=0,"NO",SUM(H20,'Table1.A(a)s2'!H13,'Table1.A(a)s3'!H13,'Table1.A(a)s4'!H13,'Table1.A(a)s4'!H96))</f>
        <v>38432.17438405654</v>
      </c>
      <c r="I13" s="1913">
        <f>IF(SUM(I20,'Table1.A(a)s2'!I13,'Table1.A(a)s3'!I13,'Table1.A(a)s4'!I13,'Table1.A(a)s4'!I96)=0,"NO",SUM(I20,'Table1.A(a)s2'!I13,'Table1.A(a)s3'!I13,'Table1.A(a)s4'!I13,'Table1.A(a)s4'!I96))</f>
        <v>5.8026188703758033</v>
      </c>
      <c r="J13" s="1913">
        <f>IF(SUM(J20,'Table1.A(a)s2'!J13,'Table1.A(a)s3'!J13,'Table1.A(a)s4'!J13,'Table1.A(a)s4'!J96)=0,"NO",SUM(J20,'Table1.A(a)s2'!J13,'Table1.A(a)s3'!J13,'Table1.A(a)s4'!J13,'Table1.A(a)s4'!J96))</f>
        <v>0.55941012368434373</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4020.6442413779332</v>
      </c>
      <c r="D14" s="3077" t="s">
        <v>2145</v>
      </c>
      <c r="E14" s="1913">
        <f t="shared" si="2"/>
        <v>89.91425283852189</v>
      </c>
      <c r="F14" s="1913">
        <f t="shared" si="1"/>
        <v>31.835694061838343</v>
      </c>
      <c r="G14" s="1913">
        <f t="shared" si="1"/>
        <v>0.99486543943244821</v>
      </c>
      <c r="H14" s="1913">
        <f>IF(SUM(H21,'Table1.A(a)s2'!H14,'Table1.A(a)s3'!H14,'Table1.A(a)s4'!H14,'Table1.A(a)s4'!H97)=0,"NO",SUM(H21,'Table1.A(a)s2'!H14,'Table1.A(a)s3'!H14,'Table1.A(a)s4'!H14,'Table1.A(a)s4'!H97))</f>
        <v>361.51322289300248</v>
      </c>
      <c r="I14" s="1913">
        <f>IF(SUM(I21,'Table1.A(a)s2'!I14,'Table1.A(a)s3'!I14,'Table1.A(a)s4'!I14,'Table1.A(a)s4'!I97)=0,"NO",SUM(I21,'Table1.A(a)s2'!I14,'Table1.A(a)s3'!I14,'Table1.A(a)s4'!I14,'Table1.A(a)s4'!I97))</f>
        <v>0.128</v>
      </c>
      <c r="J14" s="1913">
        <f>IF(SUM(J21,'Table1.A(a)s2'!J14,'Table1.A(a)s3'!J14,'Table1.A(a)s4'!J14,'Table1.A(a)s4'!J97)=0,"NO",SUM(J21,'Table1.A(a)s2'!J14,'Table1.A(a)s3'!J14,'Table1.A(a)s4'!J14,'Table1.A(a)s4'!J97))</f>
        <v>4.0000000000000001E-3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199945.31</v>
      </c>
      <c r="D16" s="3079" t="s">
        <v>2145</v>
      </c>
      <c r="E16" s="2880">
        <f t="shared" si="2"/>
        <v>85.571168185940465</v>
      </c>
      <c r="F16" s="1913">
        <f t="shared" si="1"/>
        <v>477.1233600741503</v>
      </c>
      <c r="G16" s="1913">
        <f t="shared" si="1"/>
        <v>4.467436019728483</v>
      </c>
      <c r="H16" s="2880">
        <f>IF(SUM(H23,'Table1.A(a)s2'!H16,'Table1.A(a)s3'!H15,'Table1.A(a)s4'!H16,'Table1.A(a)s4'!H99)=0,"NO",SUM(H23,'Table1.A(a)s2'!H16,'Table1.A(a)s3'!H15,'Table1.A(a)s4'!H16,'Table1.A(a)s4'!H99))</f>
        <v>17109.553750000003</v>
      </c>
      <c r="I16" s="2880">
        <f>IF(SUM(I23,'Table1.A(a)s2'!I16,'Table1.A(a)s3'!I15,'Table1.A(a)s4'!I16,'Table1.A(a)s4'!I99)=0,"NO",SUM(I23,'Table1.A(a)s2'!I16,'Table1.A(a)s3'!I15,'Table1.A(a)s4'!I16,'Table1.A(a)s4'!I99))</f>
        <v>95.398578138267609</v>
      </c>
      <c r="J16" s="2880">
        <f>IF(SUM(J23,'Table1.A(a)s2'!J16,'Table1.A(a)s3'!J15,'Table1.A(a)s4'!J16,'Table1.A(a)s4'!J99)=0,"NO",SUM(J23,'Table1.A(a)s2'!J16,'Table1.A(a)s3'!J15,'Table1.A(a)s4'!J16,'Table1.A(a)s4'!J99))</f>
        <v>0.89324287986977757</v>
      </c>
      <c r="K16" s="3066" t="str">
        <f>IF(SUM(K23,'Table1.A(a)s2'!K16,'Table1.A(a)s3'!K15,'Table1.A(a)s4'!K16,'Table1.A(a)s4'!K99)=0,"NO",SUM(K23,'Table1.A(a)s2'!K16,'Table1.A(a)s3'!K15,'Table1.A(a)s4'!K16,'Table1.A(a)s4'!K99))</f>
        <v>NO</v>
      </c>
    </row>
    <row r="17" spans="2:12" ht="18" customHeight="1" x14ac:dyDescent="0.2">
      <c r="B17" s="2184" t="s">
        <v>76</v>
      </c>
      <c r="C17" s="3067">
        <f>IF(SUM(C18:C23)=0,"NO",SUM(C18:C23))</f>
        <v>1897620.4755132538</v>
      </c>
      <c r="D17" s="3080" t="s">
        <v>1814</v>
      </c>
      <c r="E17" s="3081"/>
      <c r="F17" s="3081"/>
      <c r="G17" s="3081"/>
      <c r="H17" s="3067">
        <f>IF(SUM(H18:H22)=0,"NO",SUM(H18:H22))</f>
        <v>157480.76333664166</v>
      </c>
      <c r="I17" s="3067">
        <f t="shared" ref="I17" si="3">IF(SUM(I18:I23)=0,"NO",SUM(I18:I23))</f>
        <v>6.5376064039523971</v>
      </c>
      <c r="J17" s="3067">
        <f t="shared" ref="J17" si="4">IF(SUM(J18:J23)=0,"NO",SUM(J18:J23))</f>
        <v>1.7976662692551448</v>
      </c>
      <c r="K17" s="3068" t="str">
        <f t="shared" ref="K17" si="5">IF(SUM(K18:K23)=0,"NO",SUM(K18:K23))</f>
        <v>NO</v>
      </c>
    </row>
    <row r="18" spans="2:12" ht="18" customHeight="1" x14ac:dyDescent="0.2">
      <c r="B18" s="282" t="s">
        <v>132</v>
      </c>
      <c r="C18" s="3086">
        <f>IF(SUM(C25,C54,C61)=0,"NO",SUM(C25,C54,C61))</f>
        <v>139757.46661059989</v>
      </c>
      <c r="D18" s="3077" t="s">
        <v>1814</v>
      </c>
      <c r="E18" s="1913">
        <f>IFERROR(H18*1000/$C18,"NA")</f>
        <v>67.340502819351485</v>
      </c>
      <c r="F18" s="1913">
        <f t="shared" ref="F18:G23" si="6">IFERROR(I18*1000000/$C18,"NA")</f>
        <v>1.635411408106638</v>
      </c>
      <c r="G18" s="1913">
        <f t="shared" si="6"/>
        <v>0.83099046491136597</v>
      </c>
      <c r="H18" s="3086">
        <f>IF(SUM(H25,H54,H61)=0,"NO",SUM(H25,H54,H61))</f>
        <v>9411.3380743165235</v>
      </c>
      <c r="I18" s="3086">
        <f>IF(SUM(I25,I54,I61)=0,"NO",SUM(I25,I54,I61))</f>
        <v>0.22856095526305761</v>
      </c>
      <c r="J18" s="3086">
        <f>IF(SUM(J25,J54,J61)=0,"NO",SUM(J25,J54,J61))</f>
        <v>0.1161371221535771</v>
      </c>
      <c r="K18" s="3069" t="str">
        <f>IF(SUM(K25,K54,K61)=0,"NO",SUM(K25,K54,K61))</f>
        <v>NO</v>
      </c>
      <c r="L18" s="19"/>
    </row>
    <row r="19" spans="2:12" ht="18" customHeight="1" x14ac:dyDescent="0.2">
      <c r="B19" s="282" t="s">
        <v>133</v>
      </c>
      <c r="C19" s="3086">
        <f t="shared" ref="C19:C23" si="7">IF(SUM(C26,C55,C62)=0,"NO",SUM(C26,C55,C62))</f>
        <v>1445808.9507672496</v>
      </c>
      <c r="D19" s="3077" t="s">
        <v>1814</v>
      </c>
      <c r="E19" s="1913">
        <f t="shared" ref="E19:E23" si="8">IFERROR(H19*1000/$C19,"NA")</f>
        <v>91.770084514420049</v>
      </c>
      <c r="F19" s="1913">
        <f t="shared" si="6"/>
        <v>0.66275155065763514</v>
      </c>
      <c r="G19" s="1913">
        <f t="shared" si="6"/>
        <v>0.92135991657532135</v>
      </c>
      <c r="H19" s="3086">
        <f t="shared" ref="H19:K23" si="9">IF(SUM(H26,H55,H62)=0,"NO",SUM(H26,H55,H62))</f>
        <v>132682.00960361547</v>
      </c>
      <c r="I19" s="3086">
        <f t="shared" si="9"/>
        <v>0.95821212407568324</v>
      </c>
      <c r="J19" s="3086">
        <f t="shared" si="9"/>
        <v>1.332110414262766</v>
      </c>
      <c r="K19" s="3069" t="str">
        <f t="shared" si="9"/>
        <v>NO</v>
      </c>
      <c r="L19" s="19"/>
    </row>
    <row r="20" spans="2:12" ht="18" customHeight="1" x14ac:dyDescent="0.2">
      <c r="B20" s="282" t="s">
        <v>134</v>
      </c>
      <c r="C20" s="3086">
        <f t="shared" si="7"/>
        <v>299325.04392688681</v>
      </c>
      <c r="D20" s="3077" t="s">
        <v>1814</v>
      </c>
      <c r="E20" s="1913">
        <f t="shared" si="8"/>
        <v>51.407043850524516</v>
      </c>
      <c r="F20" s="1913">
        <f t="shared" si="6"/>
        <v>17.43082262259858</v>
      </c>
      <c r="G20" s="1913">
        <f t="shared" si="6"/>
        <v>0.88385066162379899</v>
      </c>
      <c r="H20" s="3086">
        <f t="shared" si="9"/>
        <v>15387.415658709648</v>
      </c>
      <c r="I20" s="3086">
        <f t="shared" si="9"/>
        <v>5.2174817471910924</v>
      </c>
      <c r="J20" s="3086">
        <f t="shared" si="9"/>
        <v>0.26455863811535163</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12729.014208517501</v>
      </c>
      <c r="D23" s="3077" t="s">
        <v>1814</v>
      </c>
      <c r="E23" s="1913">
        <f t="shared" si="8"/>
        <v>95</v>
      </c>
      <c r="F23" s="1913">
        <f t="shared" si="6"/>
        <v>10.476190476190476</v>
      </c>
      <c r="G23" s="1913">
        <f t="shared" si="6"/>
        <v>6.6666666666666652</v>
      </c>
      <c r="H23" s="3086">
        <f t="shared" si="9"/>
        <v>1209.2563498091627</v>
      </c>
      <c r="I23" s="3086">
        <f t="shared" si="9"/>
        <v>0.13335157742256429</v>
      </c>
      <c r="J23" s="3086">
        <f t="shared" si="9"/>
        <v>8.4860094723449991E-2</v>
      </c>
      <c r="K23" s="3069" t="str">
        <f t="shared" si="9"/>
        <v>NO</v>
      </c>
      <c r="L23" s="19"/>
    </row>
    <row r="24" spans="2:12" ht="18" customHeight="1" x14ac:dyDescent="0.2">
      <c r="B24" s="1237" t="s">
        <v>138</v>
      </c>
      <c r="C24" s="3086">
        <f>IF(SUM(C25:C30)=0,"NO",SUM(C25:C30))</f>
        <v>1640218.6808191175</v>
      </c>
      <c r="D24" s="3077" t="s">
        <v>1814</v>
      </c>
      <c r="E24" s="628"/>
      <c r="F24" s="628"/>
      <c r="G24" s="628"/>
      <c r="H24" s="3086">
        <f>IF(SUM(H25:H29)=0,"NO",SUM(H25:H29))</f>
        <v>142196.82489363418</v>
      </c>
      <c r="I24" s="3086">
        <f t="shared" ref="I24" si="10">IF(SUM(I25:I30)=0,"NO",SUM(I25:I30))</f>
        <v>1.487418342953168</v>
      </c>
      <c r="J24" s="3086">
        <f t="shared" ref="J24" si="11">IF(SUM(J25:J30)=0,"NO",SUM(J25:J30))</f>
        <v>1.5670059347011913</v>
      </c>
      <c r="K24" s="3069" t="str">
        <f t="shared" ref="K24" si="12">IF(SUM(K25:K30)=0,"NO",SUM(K25:K30))</f>
        <v>NO</v>
      </c>
      <c r="L24" s="19"/>
    </row>
    <row r="25" spans="2:12" ht="18" customHeight="1" x14ac:dyDescent="0.2">
      <c r="B25" s="160" t="s">
        <v>132</v>
      </c>
      <c r="C25" s="3074">
        <f>IF(SUM(C33,C40,C47)=0,"NO",SUM(C33,C40,C47))</f>
        <v>32927.666610599998</v>
      </c>
      <c r="D25" s="3082" t="s">
        <v>1814</v>
      </c>
      <c r="E25" s="3086">
        <f>IFERROR(H25*1000/$C25,"NA")</f>
        <v>72.579738707849486</v>
      </c>
      <c r="F25" s="1913">
        <f t="shared" ref="F25:G30" si="13">IFERROR(I25*1000000/$C25,"NA")</f>
        <v>3.3623493342879289</v>
      </c>
      <c r="G25" s="1913">
        <f t="shared" si="13"/>
        <v>0.36697817860125964</v>
      </c>
      <c r="H25" s="3086">
        <f>IF(SUM(H33,H40,H47)=0,"NO",SUM(H33,H40,H47))</f>
        <v>2389.8814388565279</v>
      </c>
      <c r="I25" s="3086">
        <f>IF(SUM(I33,I40,I47)=0,"NO",SUM(I33,I40,I47))</f>
        <v>0.11071431790780577</v>
      </c>
      <c r="J25" s="3086">
        <f>IF(SUM(J33,J40,J47)=0,"NO",SUM(J33,J40,J47))</f>
        <v>1.20837351183475E-2</v>
      </c>
      <c r="K25" s="3069" t="str">
        <f>IF(SUM(K33,K40,K47)=0,"NO",SUM(K33,K40,K47))</f>
        <v>NO</v>
      </c>
      <c r="L25" s="19"/>
    </row>
    <row r="26" spans="2:12" ht="18" customHeight="1" x14ac:dyDescent="0.2">
      <c r="B26" s="160" t="s">
        <v>133</v>
      </c>
      <c r="C26" s="3086">
        <f t="shared" ref="C26:C30" si="14">IF(SUM(C34,C41,C48)=0,"NO",SUM(C34,C41,C48))</f>
        <v>1427150</v>
      </c>
      <c r="D26" s="3082" t="s">
        <v>1814</v>
      </c>
      <c r="E26" s="3086">
        <f t="shared" ref="E26:E30" si="15">IFERROR(H26*1000/$C26,"NA")</f>
        <v>91.933705675404212</v>
      </c>
      <c r="F26" s="1913">
        <f t="shared" si="13"/>
        <v>0.65886299384554281</v>
      </c>
      <c r="G26" s="1913">
        <f t="shared" si="13"/>
        <v>0.92342737454834212</v>
      </c>
      <c r="H26" s="3086">
        <f t="shared" ref="H26:K30" si="16">IF(SUM(H34,H41,H48)=0,"NO",SUM(H34,H41,H48))</f>
        <v>131203.18805465312</v>
      </c>
      <c r="I26" s="3086">
        <f t="shared" si="16"/>
        <v>0.94029632166666643</v>
      </c>
      <c r="J26" s="3086">
        <f t="shared" si="16"/>
        <v>1.3178693775866666</v>
      </c>
      <c r="K26" s="3069" t="str">
        <f t="shared" si="16"/>
        <v>NO</v>
      </c>
      <c r="L26" s="19"/>
    </row>
    <row r="27" spans="2:12" ht="18" customHeight="1" x14ac:dyDescent="0.2">
      <c r="B27" s="160" t="s">
        <v>134</v>
      </c>
      <c r="C27" s="3086">
        <f t="shared" si="14"/>
        <v>167412</v>
      </c>
      <c r="D27" s="3082" t="s">
        <v>1814</v>
      </c>
      <c r="E27" s="3086">
        <f t="shared" si="15"/>
        <v>51.392704227442003</v>
      </c>
      <c r="F27" s="1913">
        <f t="shared" si="13"/>
        <v>1.8102413563910091</v>
      </c>
      <c r="G27" s="1913">
        <f t="shared" si="13"/>
        <v>0.90909090909090917</v>
      </c>
      <c r="H27" s="3086">
        <f t="shared" si="16"/>
        <v>8603.7554001245207</v>
      </c>
      <c r="I27" s="3086">
        <f t="shared" si="16"/>
        <v>0.30305612595613163</v>
      </c>
      <c r="J27" s="3086">
        <f t="shared" si="16"/>
        <v>0.15219272727272729</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12729.014208517501</v>
      </c>
      <c r="D30" s="3082" t="s">
        <v>1814</v>
      </c>
      <c r="E30" s="3086">
        <f t="shared" si="15"/>
        <v>95</v>
      </c>
      <c r="F30" s="1913">
        <f t="shared" si="13"/>
        <v>10.476190476190476</v>
      </c>
      <c r="G30" s="1913">
        <f t="shared" si="13"/>
        <v>6.6666666666666652</v>
      </c>
      <c r="H30" s="3086">
        <f t="shared" si="16"/>
        <v>1209.2563498091627</v>
      </c>
      <c r="I30" s="3086">
        <f t="shared" si="16"/>
        <v>0.13335157742256429</v>
      </c>
      <c r="J30" s="3086">
        <f t="shared" si="16"/>
        <v>8.4860094723449991E-2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1640218.6808191175</v>
      </c>
      <c r="D32" s="3077" t="s">
        <v>1814</v>
      </c>
      <c r="E32" s="1914"/>
      <c r="F32" s="1914"/>
      <c r="G32" s="1914"/>
      <c r="H32" s="3086">
        <f>IF(SUM(H33:H37)=0,"NO",SUM(H33:H37))</f>
        <v>142196.82489363418</v>
      </c>
      <c r="I32" s="3086">
        <f t="shared" ref="I32" si="17">IF(SUM(I33:I38)=0,"NO",SUM(I33:I38))</f>
        <v>1.487418342953168</v>
      </c>
      <c r="J32" s="3086">
        <f t="shared" ref="J32" si="18">IF(SUM(J33:J38)=0,"NO",SUM(J33:J38))</f>
        <v>1.5670059347011913</v>
      </c>
      <c r="K32" s="3069" t="str">
        <f t="shared" ref="K32" si="19">IF(SUM(K33:K38)=0,"NO",SUM(K33:K38))</f>
        <v>NO</v>
      </c>
      <c r="L32" s="19"/>
    </row>
    <row r="33" spans="2:12" ht="18" customHeight="1" x14ac:dyDescent="0.2">
      <c r="B33" s="160" t="s">
        <v>132</v>
      </c>
      <c r="C33" s="3033">
        <v>32927.666610599998</v>
      </c>
      <c r="D33" s="3077" t="s">
        <v>1814</v>
      </c>
      <c r="E33" s="1913">
        <f>IFERROR(H33*1000/$C33,"NA")</f>
        <v>72.579738707849486</v>
      </c>
      <c r="F33" s="1913">
        <f t="shared" ref="F33:G38" si="20">IFERROR(I33*1000000/$C33,"NA")</f>
        <v>3.3623493342879289</v>
      </c>
      <c r="G33" s="1913">
        <f t="shared" si="20"/>
        <v>0.36697817860125964</v>
      </c>
      <c r="H33" s="3033">
        <v>2389.8814388565279</v>
      </c>
      <c r="I33" s="3033">
        <v>0.11071431790780577</v>
      </c>
      <c r="J33" s="3033">
        <v>1.20837351183475E-2</v>
      </c>
      <c r="K33" s="3072" t="s">
        <v>2146</v>
      </c>
      <c r="L33" s="19"/>
    </row>
    <row r="34" spans="2:12" ht="18" customHeight="1" x14ac:dyDescent="0.2">
      <c r="B34" s="160" t="s">
        <v>133</v>
      </c>
      <c r="C34" s="3033">
        <v>1427150</v>
      </c>
      <c r="D34" s="3077" t="s">
        <v>1814</v>
      </c>
      <c r="E34" s="1913">
        <f t="shared" ref="E34:E38" si="21">IFERROR(H34*1000/$C34,"NA")</f>
        <v>91.933705675404212</v>
      </c>
      <c r="F34" s="1913">
        <f t="shared" si="20"/>
        <v>0.65886299384554281</v>
      </c>
      <c r="G34" s="1913">
        <f t="shared" si="20"/>
        <v>0.92342737454834212</v>
      </c>
      <c r="H34" s="3033">
        <v>131203.18805465312</v>
      </c>
      <c r="I34" s="3033">
        <v>0.94029632166666643</v>
      </c>
      <c r="J34" s="3033">
        <v>1.3178693775866666</v>
      </c>
      <c r="K34" s="3072" t="s">
        <v>2146</v>
      </c>
      <c r="L34" s="19"/>
    </row>
    <row r="35" spans="2:12" ht="18" customHeight="1" x14ac:dyDescent="0.2">
      <c r="B35" s="160" t="s">
        <v>134</v>
      </c>
      <c r="C35" s="3033">
        <v>167412</v>
      </c>
      <c r="D35" s="3077" t="s">
        <v>1814</v>
      </c>
      <c r="E35" s="1913">
        <f t="shared" si="21"/>
        <v>51.392704227442003</v>
      </c>
      <c r="F35" s="1913">
        <f t="shared" si="20"/>
        <v>1.8102413563910091</v>
      </c>
      <c r="G35" s="1913">
        <f t="shared" si="20"/>
        <v>0.90909090909090917</v>
      </c>
      <c r="H35" s="3033">
        <v>8603.7554001245207</v>
      </c>
      <c r="I35" s="3033">
        <v>0.30305612595613163</v>
      </c>
      <c r="J35" s="3033">
        <v>0.15219272727272729</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12729.014208517501</v>
      </c>
      <c r="D38" s="3077" t="s">
        <v>1814</v>
      </c>
      <c r="E38" s="1913">
        <f t="shared" si="21"/>
        <v>95</v>
      </c>
      <c r="F38" s="1913">
        <f t="shared" si="20"/>
        <v>10.476190476190476</v>
      </c>
      <c r="G38" s="1913">
        <f t="shared" si="20"/>
        <v>6.6666666666666652</v>
      </c>
      <c r="H38" s="3033">
        <v>1209.2563498091627</v>
      </c>
      <c r="I38" s="3033">
        <v>0.13335157742256429</v>
      </c>
      <c r="J38" s="3033">
        <v>8.4860094723449991E-2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99626.199999999881</v>
      </c>
      <c r="D53" s="3077" t="s">
        <v>1814</v>
      </c>
      <c r="E53" s="628"/>
      <c r="F53" s="628"/>
      <c r="G53" s="628"/>
      <c r="H53" s="3086">
        <f>IF(SUM(H54:H58)=0,"NO",SUM(H54:H58))</f>
        <v>6333.4044751847923</v>
      </c>
      <c r="I53" s="3086">
        <f t="shared" ref="I53:K53" si="28">IF(SUM(I54:I59)=0,"NO",SUM(I54:I59))</f>
        <v>6.9618120103896022E-2</v>
      </c>
      <c r="J53" s="3086">
        <f t="shared" si="28"/>
        <v>5.21714015445887E-2</v>
      </c>
      <c r="K53" s="3069" t="str">
        <f t="shared" si="28"/>
        <v>NO</v>
      </c>
      <c r="L53" s="19"/>
    </row>
    <row r="54" spans="2:12" ht="18" customHeight="1" x14ac:dyDescent="0.2">
      <c r="B54" s="160" t="s">
        <v>132</v>
      </c>
      <c r="C54" s="3033">
        <v>89826.199999999895</v>
      </c>
      <c r="D54" s="3077" t="s">
        <v>1814</v>
      </c>
      <c r="E54" s="1913">
        <f>IFERROR(H54*1000/$C54,"NA")</f>
        <v>64.89830000000002</v>
      </c>
      <c r="F54" s="1913">
        <f t="shared" ref="F54:G59" si="29">IFERROR(I54*1000000/$C54,"NA")</f>
        <v>0.66285714285714292</v>
      </c>
      <c r="G54" s="1913">
        <f t="shared" si="29"/>
        <v>0.53447619047619055</v>
      </c>
      <c r="H54" s="3033">
        <v>5829.5676754599954</v>
      </c>
      <c r="I54" s="3033">
        <v>5.9541938285714219E-2</v>
      </c>
      <c r="J54" s="3033">
        <v>4.8009965180952338E-2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9799.9999999999909</v>
      </c>
      <c r="D56" s="3077" t="s">
        <v>1814</v>
      </c>
      <c r="E56" s="1913">
        <f t="shared" si="30"/>
        <v>51.411918339265</v>
      </c>
      <c r="F56" s="1913">
        <f t="shared" si="29"/>
        <v>1.0281818181818181</v>
      </c>
      <c r="G56" s="1913">
        <f t="shared" si="29"/>
        <v>0.42463636363636365</v>
      </c>
      <c r="H56" s="3033">
        <v>503.83679972479655</v>
      </c>
      <c r="I56" s="3033">
        <v>1.0076181818181807E-2</v>
      </c>
      <c r="J56" s="3033">
        <v>4.1614363636363599E-3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157775.59469413647</v>
      </c>
      <c r="D60" s="3077" t="s">
        <v>1814</v>
      </c>
      <c r="E60" s="628"/>
      <c r="F60" s="628"/>
      <c r="G60" s="628"/>
      <c r="H60" s="3086">
        <f>IF(SUM(H61:H65)=0,"NO",SUM(H61:H65))</f>
        <v>8950.5339678226919</v>
      </c>
      <c r="I60" s="3086">
        <f t="shared" ref="I60:K60" si="31">IF(SUM(I61:I66)=0,"NO",SUM(I61:I66))</f>
        <v>4.9805699408953341</v>
      </c>
      <c r="J60" s="3086">
        <f t="shared" si="31"/>
        <v>0.17848893300936464</v>
      </c>
      <c r="K60" s="3069" t="str">
        <f t="shared" si="31"/>
        <v>NO</v>
      </c>
      <c r="L60" s="19"/>
    </row>
    <row r="61" spans="2:12" ht="18" customHeight="1" x14ac:dyDescent="0.2">
      <c r="B61" s="160" t="s">
        <v>132</v>
      </c>
      <c r="C61" s="3074">
        <f>IF(SUM(C69,C76,C83)=0,"NO",SUM(C69,C76,C83))</f>
        <v>17003.599999999999</v>
      </c>
      <c r="D61" s="3077" t="s">
        <v>1814</v>
      </c>
      <c r="E61" s="1913">
        <f>IFERROR(H61*1000/$C61,"NA")</f>
        <v>70.096271377825857</v>
      </c>
      <c r="F61" s="1913">
        <f t="shared" ref="F61:G66" si="32">IFERROR(I61*1000000/$C61,"NA")</f>
        <v>3.4289620474215843</v>
      </c>
      <c r="G61" s="1913">
        <f t="shared" si="32"/>
        <v>3.2959739028368862</v>
      </c>
      <c r="H61" s="3074">
        <f>IF(SUM(H69,H76,H83)=0,"NO",SUM(H69,H76,H83))</f>
        <v>1191.8889599999998</v>
      </c>
      <c r="I61" s="3074">
        <f>IF(SUM(I69,I76,I83)=0,"NO",SUM(I69,I76,I83))</f>
        <v>5.8304699069537641E-2</v>
      </c>
      <c r="J61" s="3074">
        <f>IF(SUM(J69,J76,J83)=0,"NO",SUM(J69,J76,J83))</f>
        <v>5.604342185427727E-2</v>
      </c>
      <c r="K61" s="3088" t="str">
        <f>IF(SUM(K69,K76,K83)=0,"NO",SUM(K69,K76,K83))</f>
        <v>NO</v>
      </c>
    </row>
    <row r="62" spans="2:12" ht="18" customHeight="1" x14ac:dyDescent="0.2">
      <c r="B62" s="160" t="s">
        <v>133</v>
      </c>
      <c r="C62" s="3074">
        <f t="shared" ref="C62:C66" si="33">IF(SUM(C70,C77,C84)=0,"NO",SUM(C70,C77,C84))</f>
        <v>18658.950767249669</v>
      </c>
      <c r="D62" s="3077" t="s">
        <v>1814</v>
      </c>
      <c r="E62" s="1913">
        <f t="shared" ref="E62:E66" si="34">IFERROR(H62*1000/$C62,"NA")</f>
        <v>79.255343315337953</v>
      </c>
      <c r="F62" s="1913">
        <f t="shared" si="32"/>
        <v>0.96017201784265038</v>
      </c>
      <c r="G62" s="1913">
        <f t="shared" si="32"/>
        <v>0.76322816077608036</v>
      </c>
      <c r="H62" s="3074">
        <f t="shared" ref="H62:K66" si="35">IF(SUM(H70,H77,H84)=0,"NO",SUM(H70,H77,H84))</f>
        <v>1478.821548962361</v>
      </c>
      <c r="I62" s="3074">
        <f t="shared" si="35"/>
        <v>1.7915802409016784E-2</v>
      </c>
      <c r="J62" s="3074">
        <f t="shared" si="35"/>
        <v>1.4241036676099399E-2</v>
      </c>
      <c r="K62" s="3088" t="str">
        <f t="shared" si="35"/>
        <v>NO</v>
      </c>
    </row>
    <row r="63" spans="2:12" ht="18" customHeight="1" x14ac:dyDescent="0.2">
      <c r="B63" s="160" t="s">
        <v>134</v>
      </c>
      <c r="C63" s="3074">
        <f t="shared" si="33"/>
        <v>122113.04392688681</v>
      </c>
      <c r="D63" s="3077" t="s">
        <v>1814</v>
      </c>
      <c r="E63" s="1913">
        <f t="shared" si="34"/>
        <v>51.426311693780001</v>
      </c>
      <c r="F63" s="1913">
        <f t="shared" si="32"/>
        <v>40.162371534634566</v>
      </c>
      <c r="G63" s="1913">
        <f t="shared" si="32"/>
        <v>0.88610087013942296</v>
      </c>
      <c r="H63" s="3074">
        <f t="shared" si="35"/>
        <v>6279.82345886033</v>
      </c>
      <c r="I63" s="3074">
        <f t="shared" si="35"/>
        <v>4.9043494394167793</v>
      </c>
      <c r="J63" s="3074">
        <f t="shared" si="35"/>
        <v>0.10820447447898798</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19672.550767249668</v>
      </c>
      <c r="D68" s="3077" t="s">
        <v>1814</v>
      </c>
      <c r="E68" s="628"/>
      <c r="F68" s="628"/>
      <c r="G68" s="628"/>
      <c r="H68" s="3086">
        <f>IF(SUM(H69:H73)=0,"NO",SUM(H69:H73))</f>
        <v>1553.422508962361</v>
      </c>
      <c r="I68" s="3086">
        <f t="shared" ref="I68:K68" si="36">IF(SUM(I69:I74)=0,"NO",SUM(I69:I74))</f>
        <v>1.996230907568345E-2</v>
      </c>
      <c r="J68" s="3086">
        <f t="shared" si="36"/>
        <v>1.4764247342766065E-2</v>
      </c>
      <c r="K68" s="3069" t="str">
        <f t="shared" si="36"/>
        <v>NO</v>
      </c>
    </row>
    <row r="69" spans="2:11" ht="18" customHeight="1" x14ac:dyDescent="0.2">
      <c r="B69" s="282" t="s">
        <v>132</v>
      </c>
      <c r="C69" s="3033">
        <v>1013.6</v>
      </c>
      <c r="D69" s="3076" t="s">
        <v>1814</v>
      </c>
      <c r="E69" s="1913">
        <f>IFERROR(H69*1000/$C69,"NA")</f>
        <v>73.600000000000009</v>
      </c>
      <c r="F69" s="1913">
        <f t="shared" ref="F69:G74" si="37">IFERROR(I69*1000000/$C69,"NA")</f>
        <v>2.019047619047619</v>
      </c>
      <c r="G69" s="1913">
        <f t="shared" si="37"/>
        <v>0.5161904761904762</v>
      </c>
      <c r="H69" s="3033">
        <v>74.600960000000001</v>
      </c>
      <c r="I69" s="3033">
        <v>2.0465066666666668E-3</v>
      </c>
      <c r="J69" s="3033">
        <v>5.2321066666666672E-4</v>
      </c>
      <c r="K69" s="3072" t="s">
        <v>2146</v>
      </c>
    </row>
    <row r="70" spans="2:11" ht="18" customHeight="1" x14ac:dyDescent="0.2">
      <c r="B70" s="282" t="s">
        <v>133</v>
      </c>
      <c r="C70" s="3033">
        <v>18658.950767249669</v>
      </c>
      <c r="D70" s="3076" t="s">
        <v>1814</v>
      </c>
      <c r="E70" s="1913">
        <f t="shared" ref="E70:E74" si="38">IFERROR(H70*1000/$C70,"NA")</f>
        <v>79.255343315337953</v>
      </c>
      <c r="F70" s="1913">
        <f t="shared" si="37"/>
        <v>0.96017201784265038</v>
      </c>
      <c r="G70" s="1913">
        <f t="shared" si="37"/>
        <v>0.76322816077608036</v>
      </c>
      <c r="H70" s="3033">
        <v>1478.821548962361</v>
      </c>
      <c r="I70" s="3033">
        <v>1.7915802409016784E-2</v>
      </c>
      <c r="J70" s="3033">
        <v>1.4241036676099399E-2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116510.00000000001</v>
      </c>
      <c r="D75" s="3077" t="s">
        <v>1814</v>
      </c>
      <c r="E75" s="628"/>
      <c r="F75" s="628"/>
      <c r="G75" s="628"/>
      <c r="H75" s="3086">
        <f>IF(SUM(H76:H80)=0,"NO",SUM(H76:H80))</f>
        <v>6005.2764751193899</v>
      </c>
      <c r="I75" s="3086">
        <f t="shared" ref="I75:K75" si="39">IF(SUM(I76:I81)=0,"NO",SUM(I76:I81))</f>
        <v>4.8842552790310032</v>
      </c>
      <c r="J75" s="3086">
        <f t="shared" si="39"/>
        <v>0.10374070828475228</v>
      </c>
      <c r="K75" s="3069" t="str">
        <f t="shared" si="39"/>
        <v>NO</v>
      </c>
    </row>
    <row r="76" spans="2:11" ht="18" customHeight="1" x14ac:dyDescent="0.2">
      <c r="B76" s="282" t="s">
        <v>132</v>
      </c>
      <c r="C76" s="3033">
        <v>850.00000000000023</v>
      </c>
      <c r="D76" s="3076" t="s">
        <v>1814</v>
      </c>
      <c r="E76" s="1913">
        <f>IFERROR(H76*1000/$C76,"NA")</f>
        <v>69.38117647058823</v>
      </c>
      <c r="F76" s="1913">
        <f t="shared" ref="F76:G81" si="40">IFERROR(I76*1000000/$C76,"NA")</f>
        <v>2.310020043572985</v>
      </c>
      <c r="G76" s="1913">
        <f t="shared" si="40"/>
        <v>1.650161618425148</v>
      </c>
      <c r="H76" s="3033">
        <v>58.974000000000018</v>
      </c>
      <c r="I76" s="3033">
        <v>1.9635170370370376E-3</v>
      </c>
      <c r="J76" s="3033">
        <v>1.4026373756613761E-3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115660.00000000001</v>
      </c>
      <c r="D78" s="3076" t="s">
        <v>1814</v>
      </c>
      <c r="E78" s="1913">
        <f t="shared" si="41"/>
        <v>51.411918339264993</v>
      </c>
      <c r="F78" s="1913">
        <f t="shared" si="40"/>
        <v>42.212448227511373</v>
      </c>
      <c r="G78" s="1913">
        <f t="shared" si="40"/>
        <v>0.88481818181818173</v>
      </c>
      <c r="H78" s="3033">
        <v>5946.3024751193898</v>
      </c>
      <c r="I78" s="3033">
        <v>4.8822917619939661</v>
      </c>
      <c r="J78" s="3033">
        <v>0.1023380709090909</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21593.043926886789</v>
      </c>
      <c r="D82" s="3077" t="s">
        <v>1814</v>
      </c>
      <c r="E82" s="628"/>
      <c r="F82" s="628"/>
      <c r="G82" s="628"/>
      <c r="H82" s="3086">
        <f>IF(SUM(H83:H87)=0,"NO",SUM(H83:H87))</f>
        <v>1391.8349837409405</v>
      </c>
      <c r="I82" s="3086">
        <f t="shared" ref="I82:K82" si="42">IF(SUM(I83:I88)=0,"NO",SUM(I83:I88))</f>
        <v>7.6352352788646966E-2</v>
      </c>
      <c r="J82" s="3086">
        <f t="shared" si="42"/>
        <v>5.9983977381846305E-2</v>
      </c>
      <c r="K82" s="3069" t="str">
        <f t="shared" si="42"/>
        <v>NO</v>
      </c>
    </row>
    <row r="83" spans="2:11" ht="18" customHeight="1" x14ac:dyDescent="0.2">
      <c r="B83" s="282" t="s">
        <v>132</v>
      </c>
      <c r="C83" s="3033">
        <v>15139.999999999998</v>
      </c>
      <c r="D83" s="3076" t="s">
        <v>1814</v>
      </c>
      <c r="E83" s="1913">
        <f>IFERROR(H83*1000/$C83,"NA")</f>
        <v>69.901849405548205</v>
      </c>
      <c r="F83" s="1913">
        <f t="shared" ref="F83:G88" si="43">IFERROR(I83*1000000/$C83,"NA")</f>
        <v>3.586174066435531</v>
      </c>
      <c r="G83" s="1913">
        <f t="shared" si="43"/>
        <v>3.5744764737086676</v>
      </c>
      <c r="H83" s="3033">
        <v>1058.3139999999999</v>
      </c>
      <c r="I83" s="3033">
        <v>5.4294675365833933E-2</v>
      </c>
      <c r="J83" s="3033">
        <v>5.4117573811949225E-2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6453.0439268867904</v>
      </c>
      <c r="D85" s="3076" t="s">
        <v>1814</v>
      </c>
      <c r="E85" s="1913">
        <f t="shared" si="44"/>
        <v>51.684288456694986</v>
      </c>
      <c r="F85" s="1913">
        <f t="shared" si="43"/>
        <v>3.418181818181818</v>
      </c>
      <c r="G85" s="1913">
        <f t="shared" si="43"/>
        <v>0.90909090909090917</v>
      </c>
      <c r="H85" s="3033">
        <v>333.52098374094061</v>
      </c>
      <c r="I85" s="3033">
        <v>2.2057677422813025E-2</v>
      </c>
      <c r="J85" s="3033">
        <v>5.8664035698970827E-3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35252265.387907155</v>
      </c>
      <c r="G10" s="3657" t="s">
        <v>2147</v>
      </c>
      <c r="H10" s="3658">
        <f t="shared" ref="H10:H13" si="0">IF(SUM($F10)=0,"NA",K10*1000/$F10)</f>
        <v>1.4831892395570773E-2</v>
      </c>
      <c r="I10" s="3659">
        <f t="shared" ref="I10:I13" si="1">IF(SUM($F10)=0,"NA",L10*1000/$F10)</f>
        <v>3.1771009575319652E-4</v>
      </c>
      <c r="J10" s="3499" t="str">
        <f>IF(SUM(J11,J25,J36,J48,J59,J70,J76)=0,"IE",SUM(J11,J25,J36,J48,J59,J70,J76))</f>
        <v>IE</v>
      </c>
      <c r="K10" s="3500">
        <f>IF(SUM(K11,K25,K36,K48,K59,K70,K76)=0,"NO",SUM(K11,K25,K36,K48,K59,K70,K76))</f>
        <v>522.85780693354286</v>
      </c>
      <c r="L10" s="3501">
        <f>IF(SUM(L11,L25,L36,L48,L59,L70,L76)=0,"NO",SUM(L11,L25,L36,L48,L59,L70,L76))</f>
        <v>11.200000611909077</v>
      </c>
    </row>
    <row r="11" spans="2:13" ht="18" customHeight="1" x14ac:dyDescent="0.2">
      <c r="B11" s="933" t="s">
        <v>1985</v>
      </c>
      <c r="C11" s="934"/>
      <c r="D11" s="2850"/>
      <c r="E11" s="2854" t="s">
        <v>2250</v>
      </c>
      <c r="F11" s="3679">
        <f>IF(SUM(F12,F19)=0,"NO",SUM(F12,F19))</f>
        <v>6245166.1965979142</v>
      </c>
      <c r="G11" s="3660" t="s">
        <v>2147</v>
      </c>
      <c r="H11" s="3661">
        <f t="shared" si="0"/>
        <v>3.565049067048668E-2</v>
      </c>
      <c r="I11" s="3662">
        <f t="shared" si="1"/>
        <v>5.7435699021925342E-4</v>
      </c>
      <c r="J11" s="3502" t="str">
        <f>IF(SUM(J12,J19)=0,"IE",SUM(J12,J19))</f>
        <v>IE</v>
      </c>
      <c r="K11" s="3503">
        <f>IF(SUM(K12,K19)=0,"NO",SUM(K12,K19))</f>
        <v>222.64323922745271</v>
      </c>
      <c r="L11" s="3504">
        <f>IF(SUM(L12,L19)=0,"NO",SUM(L12,L19))</f>
        <v>3.5869548600970007</v>
      </c>
      <c r="M11" s="482"/>
    </row>
    <row r="12" spans="2:13" ht="18" customHeight="1" x14ac:dyDescent="0.2">
      <c r="B12" s="903" t="s">
        <v>1912</v>
      </c>
      <c r="C12" s="476"/>
      <c r="D12" s="298"/>
      <c r="E12" s="2852" t="s">
        <v>2250</v>
      </c>
      <c r="F12" s="3680">
        <f>IF(SUM(F13,F17)=0,"NO",SUM(F13,F17))</f>
        <v>6239347.6251982069</v>
      </c>
      <c r="G12" s="3663" t="str">
        <f>IFERROR(IF(SUM($F12)=0,"NA",J12*1000/$F12),"NA")</f>
        <v>NA</v>
      </c>
      <c r="H12" s="3664">
        <f t="shared" si="0"/>
        <v>3.5585350985881573E-2</v>
      </c>
      <c r="I12" s="3665">
        <f t="shared" si="1"/>
        <v>5.7333985948858184E-4</v>
      </c>
      <c r="J12" s="3505" t="str">
        <f>IF(SUM(J13,J17)=0,"IE",SUM(J13,J17))</f>
        <v>IE</v>
      </c>
      <c r="K12" s="3506">
        <f>IF(SUM(K13,K17)=0,"NO",SUM(K13,K17))</f>
        <v>222.02937516560485</v>
      </c>
      <c r="L12" s="3507">
        <f>IF(SUM(L13,L17)=0,"NO",SUM(L13,L17))</f>
        <v>3.5772666907315571</v>
      </c>
    </row>
    <row r="13" spans="2:13" ht="18" customHeight="1" x14ac:dyDescent="0.2">
      <c r="B13" s="923" t="s">
        <v>1270</v>
      </c>
      <c r="C13" s="476"/>
      <c r="D13" s="298"/>
      <c r="E13" s="2852" t="s">
        <v>2250</v>
      </c>
      <c r="F13" s="3681">
        <f>IF(SUM(F14:F16)=0,"NO",SUM(F14:F16))</f>
        <v>5960794.0833119033</v>
      </c>
      <c r="G13" s="3666" t="str">
        <f t="shared" ref="G13:G76" si="2">IFERROR(IF(SUM($F13)=0,"NA",J13*1000/$F13),"NA")</f>
        <v>NA</v>
      </c>
      <c r="H13" s="3667">
        <f t="shared" si="0"/>
        <v>2.8569932094789346E-2</v>
      </c>
      <c r="I13" s="3668">
        <f t="shared" si="1"/>
        <v>5.1825481627415851E-4</v>
      </c>
      <c r="J13" s="3505" t="str">
        <f>IF(SUM(J14:J16)=0,"IE",SUM(J14:J16))</f>
        <v>IE</v>
      </c>
      <c r="K13" s="3505">
        <f>IF(SUM(K14:K16)=0,"NO",SUM(K14:K16))</f>
        <v>170.29948219124319</v>
      </c>
      <c r="L13" s="3508">
        <f>IF(SUM(L14:L16)=0,"NO",SUM(L14:L16))</f>
        <v>3.0892102424949015</v>
      </c>
      <c r="M13" s="482"/>
    </row>
    <row r="14" spans="2:13" ht="24" x14ac:dyDescent="0.2">
      <c r="B14" s="923"/>
      <c r="C14" s="4367" t="s">
        <v>2247</v>
      </c>
      <c r="D14" s="542" t="s">
        <v>940</v>
      </c>
      <c r="E14" s="2851" t="s">
        <v>2250</v>
      </c>
      <c r="F14" s="3654">
        <v>201904.98192307411</v>
      </c>
      <c r="G14" s="3666" t="str">
        <f t="shared" si="2"/>
        <v>NA</v>
      </c>
      <c r="H14" s="3667">
        <f>IF(SUM($F14)=0,"NA",K14*1000/$F14)</f>
        <v>0.19817836557107238</v>
      </c>
      <c r="I14" s="3668">
        <f>IF(SUM($F14)=0,"NA",L14*1000/$F14)</f>
        <v>2.1681757663324776E-3</v>
      </c>
      <c r="J14" s="3509" t="s">
        <v>2153</v>
      </c>
      <c r="K14" s="3510">
        <v>40.013199318171743</v>
      </c>
      <c r="L14" s="3511">
        <v>0.4377654889074063</v>
      </c>
      <c r="M14" s="482"/>
    </row>
    <row r="15" spans="2:13" ht="18" customHeight="1" x14ac:dyDescent="0.2">
      <c r="B15" s="923"/>
      <c r="C15" s="4367" t="s">
        <v>2248</v>
      </c>
      <c r="D15" s="542" t="s">
        <v>940</v>
      </c>
      <c r="E15" s="543" t="s">
        <v>2250</v>
      </c>
      <c r="F15" s="3655">
        <v>82380.424286294845</v>
      </c>
      <c r="G15" s="3666" t="str">
        <f t="shared" si="2"/>
        <v>NA</v>
      </c>
      <c r="H15" s="3667">
        <f t="shared" ref="H15:H77" si="3">IF(SUM($F15)=0,"NA",K15*1000/$F15)</f>
        <v>0.25405083784094556</v>
      </c>
      <c r="I15" s="3668">
        <f t="shared" ref="I15:I77" si="4">IF(SUM($F15)=0,"NA",L15*1000/$F15)</f>
        <v>4.6964120161985924E-3</v>
      </c>
      <c r="J15" s="3509" t="s">
        <v>2153</v>
      </c>
      <c r="K15" s="3510">
        <v>20.928815811625789</v>
      </c>
      <c r="L15" s="3512">
        <v>0.38689241451769346</v>
      </c>
      <c r="M15" s="482"/>
    </row>
    <row r="16" spans="2:13" ht="18" customHeight="1" x14ac:dyDescent="0.2">
      <c r="B16" s="923"/>
      <c r="C16" s="4367" t="s">
        <v>2263</v>
      </c>
      <c r="D16" s="542" t="s">
        <v>940</v>
      </c>
      <c r="E16" s="543" t="s">
        <v>2250</v>
      </c>
      <c r="F16" s="3655">
        <v>5676508.6771025341</v>
      </c>
      <c r="G16" s="3666" t="str">
        <f t="shared" si="2"/>
        <v>NA</v>
      </c>
      <c r="H16" s="3667">
        <f t="shared" si="3"/>
        <v>1.9264916744083108E-2</v>
      </c>
      <c r="I16" s="3668">
        <f t="shared" si="4"/>
        <v>3.989340046645889E-4</v>
      </c>
      <c r="J16" s="3509" t="s">
        <v>2153</v>
      </c>
      <c r="K16" s="3510">
        <v>109.35746706144566</v>
      </c>
      <c r="L16" s="3512">
        <v>2.2645523390698017</v>
      </c>
      <c r="M16" s="482"/>
    </row>
    <row r="17" spans="2:13" ht="18" customHeight="1" x14ac:dyDescent="0.2">
      <c r="B17" s="923" t="s">
        <v>1271</v>
      </c>
      <c r="C17" s="4368"/>
      <c r="D17" s="298"/>
      <c r="E17" s="5" t="s">
        <v>2250</v>
      </c>
      <c r="F17" s="3681">
        <f>F18</f>
        <v>278553.54188630334</v>
      </c>
      <c r="G17" s="3666" t="str">
        <f t="shared" si="2"/>
        <v>NA</v>
      </c>
      <c r="H17" s="3667">
        <f t="shared" si="3"/>
        <v>0.18570897581864587</v>
      </c>
      <c r="I17" s="3668">
        <f t="shared" si="4"/>
        <v>1.752110007044407E-3</v>
      </c>
      <c r="J17" s="3505" t="str">
        <f>J18</f>
        <v>IE</v>
      </c>
      <c r="K17" s="3505">
        <f>K18</f>
        <v>51.729892974361668</v>
      </c>
      <c r="L17" s="3508">
        <f>L18</f>
        <v>0.48805644823665545</v>
      </c>
      <c r="M17" s="482"/>
    </row>
    <row r="18" spans="2:13" ht="18" customHeight="1" x14ac:dyDescent="0.2">
      <c r="B18" s="923"/>
      <c r="C18" s="4367" t="s">
        <v>2249</v>
      </c>
      <c r="D18" s="542" t="s">
        <v>940</v>
      </c>
      <c r="E18" s="543" t="s">
        <v>2250</v>
      </c>
      <c r="F18" s="3654">
        <v>278553.54188630334</v>
      </c>
      <c r="G18" s="3666" t="str">
        <f t="shared" si="2"/>
        <v>NA</v>
      </c>
      <c r="H18" s="3667">
        <f t="shared" si="3"/>
        <v>0.18570897581864587</v>
      </c>
      <c r="I18" s="3668">
        <f t="shared" si="4"/>
        <v>1.752110007044407E-3</v>
      </c>
      <c r="J18" s="3509" t="s">
        <v>2153</v>
      </c>
      <c r="K18" s="3510">
        <v>51.729892974361668</v>
      </c>
      <c r="L18" s="3511">
        <v>0.48805644823665545</v>
      </c>
      <c r="M18" s="482"/>
    </row>
    <row r="19" spans="2:13" ht="18" customHeight="1" x14ac:dyDescent="0.2">
      <c r="B19" s="903" t="s">
        <v>1272</v>
      </c>
      <c r="C19" s="4368"/>
      <c r="D19" s="298"/>
      <c r="E19" s="5" t="s">
        <v>2250</v>
      </c>
      <c r="F19" s="3682">
        <f>IF(SUM(F20,F23)=0,"NO",SUM(F20,F23))</f>
        <v>5818.5713997073453</v>
      </c>
      <c r="G19" s="3663" t="s">
        <v>2147</v>
      </c>
      <c r="H19" s="3664">
        <f t="shared" si="3"/>
        <v>0.10550082136634534</v>
      </c>
      <c r="I19" s="3665">
        <f t="shared" si="4"/>
        <v>1.6650426195562134E-3</v>
      </c>
      <c r="J19" s="3505" t="str">
        <f>IF(SUM(J20,J23)=0,"IE",SUM(J20,J23))</f>
        <v>IE</v>
      </c>
      <c r="K19" s="3506">
        <f>IF(SUM(K20,K23)=0,"NO",SUM(K20,K23))</f>
        <v>0.61386406184785058</v>
      </c>
      <c r="L19" s="3507">
        <f>IF(SUM(L20,L23)=0,"NO",SUM(L20,L23))</f>
        <v>9.6881693654435816E-3</v>
      </c>
    </row>
    <row r="20" spans="2:13" ht="18" customHeight="1" x14ac:dyDescent="0.2">
      <c r="B20" s="923" t="s">
        <v>1273</v>
      </c>
      <c r="C20" s="4368"/>
      <c r="D20" s="298"/>
      <c r="E20" s="5" t="s">
        <v>2250</v>
      </c>
      <c r="F20" s="3681">
        <f>IF(SUM(F21:F22)=0,"NO",SUM(F21:F22))</f>
        <v>4927.6509630624496</v>
      </c>
      <c r="G20" s="3666" t="str">
        <f t="shared" si="2"/>
        <v>NA</v>
      </c>
      <c r="H20" s="3667">
        <f t="shared" si="3"/>
        <v>8.0972768169494655E-2</v>
      </c>
      <c r="I20" s="3668">
        <f t="shared" si="4"/>
        <v>1.5366404291862182E-3</v>
      </c>
      <c r="J20" s="3505" t="str">
        <f>IF(SUM(J21:J22)=0,"IE",SUM(J21:J22))</f>
        <v>IE</v>
      </c>
      <c r="K20" s="3505">
        <f>IF(SUM(K21:K22)=0,"NO",SUM(K21:K22))</f>
        <v>0.39900553905224279</v>
      </c>
      <c r="L20" s="3508">
        <f>IF(SUM(L21:L22)=0,"NO",SUM(L21:L22))</f>
        <v>7.5720276907601637E-3</v>
      </c>
      <c r="M20" s="482"/>
    </row>
    <row r="21" spans="2:13" ht="18" customHeight="1" x14ac:dyDescent="0.2">
      <c r="B21" s="923"/>
      <c r="C21" s="4367" t="s">
        <v>2248</v>
      </c>
      <c r="D21" s="542" t="s">
        <v>940</v>
      </c>
      <c r="E21" s="543" t="s">
        <v>2250</v>
      </c>
      <c r="F21" s="3654">
        <v>390.05146572085812</v>
      </c>
      <c r="G21" s="3666" t="str">
        <f t="shared" si="2"/>
        <v>NA</v>
      </c>
      <c r="H21" s="3667">
        <f t="shared" si="3"/>
        <v>0.76062916119050339</v>
      </c>
      <c r="I21" s="3668">
        <f t="shared" si="4"/>
        <v>1.406107518811889E-2</v>
      </c>
      <c r="J21" s="3509" t="s">
        <v>2153</v>
      </c>
      <c r="K21" s="3510">
        <v>0.2966845191923827</v>
      </c>
      <c r="L21" s="3511">
        <v>5.4845429867369632E-3</v>
      </c>
      <c r="M21" s="482"/>
    </row>
    <row r="22" spans="2:13" ht="18" customHeight="1" x14ac:dyDescent="0.2">
      <c r="B22" s="923"/>
      <c r="C22" s="4367" t="s">
        <v>2263</v>
      </c>
      <c r="D22" s="542" t="s">
        <v>940</v>
      </c>
      <c r="E22" s="543" t="s">
        <v>2250</v>
      </c>
      <c r="F22" s="3655">
        <v>4537.5994973415918</v>
      </c>
      <c r="G22" s="3666" t="str">
        <f t="shared" si="2"/>
        <v>NA</v>
      </c>
      <c r="H22" s="3667">
        <f t="shared" si="3"/>
        <v>2.2549592558754047E-2</v>
      </c>
      <c r="I22" s="3668">
        <f t="shared" si="4"/>
        <v>4.6004163770870015E-4</v>
      </c>
      <c r="J22" s="3509" t="s">
        <v>2153</v>
      </c>
      <c r="K22" s="3510">
        <v>0.10232101985986006</v>
      </c>
      <c r="L22" s="3512">
        <v>2.0874847040232005E-3</v>
      </c>
      <c r="M22" s="482"/>
    </row>
    <row r="23" spans="2:13" ht="18" customHeight="1" x14ac:dyDescent="0.2">
      <c r="B23" s="923" t="s">
        <v>1274</v>
      </c>
      <c r="C23" s="4368"/>
      <c r="D23" s="298"/>
      <c r="E23" s="5" t="s">
        <v>2250</v>
      </c>
      <c r="F23" s="3681">
        <f>F24</f>
        <v>890.92043664489597</v>
      </c>
      <c r="G23" s="3666" t="str">
        <f t="shared" si="2"/>
        <v>NA</v>
      </c>
      <c r="H23" s="3667">
        <f t="shared" si="3"/>
        <v>0.24116465843430451</v>
      </c>
      <c r="I23" s="3668">
        <f t="shared" si="4"/>
        <v>2.3752308148329879E-3</v>
      </c>
      <c r="J23" s="3505" t="str">
        <f>J24</f>
        <v>IE</v>
      </c>
      <c r="K23" s="3505">
        <f>K24</f>
        <v>0.21485852279560777</v>
      </c>
      <c r="L23" s="3508">
        <f>L24</f>
        <v>2.1161416746834174E-3</v>
      </c>
      <c r="M23" s="482"/>
    </row>
    <row r="24" spans="2:13" ht="18" customHeight="1" thickBot="1" x14ac:dyDescent="0.25">
      <c r="B24" s="938"/>
      <c r="C24" s="4369" t="s">
        <v>2251</v>
      </c>
      <c r="D24" s="939" t="s">
        <v>940</v>
      </c>
      <c r="E24" s="940" t="s">
        <v>2250</v>
      </c>
      <c r="F24" s="3656">
        <v>890.92043664489597</v>
      </c>
      <c r="G24" s="3669" t="str">
        <f t="shared" si="2"/>
        <v>NA</v>
      </c>
      <c r="H24" s="3670">
        <f t="shared" si="3"/>
        <v>0.24116465843430451</v>
      </c>
      <c r="I24" s="3671">
        <f t="shared" si="4"/>
        <v>2.3752308148329879E-3</v>
      </c>
      <c r="J24" s="3513" t="s">
        <v>2153</v>
      </c>
      <c r="K24" s="3514">
        <v>0.21485852279560777</v>
      </c>
      <c r="L24" s="3515">
        <v>2.1161416746834174E-3</v>
      </c>
      <c r="M24" s="482"/>
    </row>
    <row r="25" spans="2:13" ht="18" customHeight="1" x14ac:dyDescent="0.2">
      <c r="B25" s="933" t="s">
        <v>1986</v>
      </c>
      <c r="C25" s="4370"/>
      <c r="D25" s="2850"/>
      <c r="E25" s="935" t="s">
        <v>2250</v>
      </c>
      <c r="F25" s="3683">
        <f>IF(SUM(F26,F31)=0,"IE",SUM(F26,F31))</f>
        <v>29687</v>
      </c>
      <c r="G25" s="3660" t="str">
        <f t="shared" si="2"/>
        <v>NA</v>
      </c>
      <c r="H25" s="3661">
        <f t="shared" si="3"/>
        <v>0.20448053356688112</v>
      </c>
      <c r="I25" s="3662">
        <f t="shared" si="4"/>
        <v>3.7800498635766492E-3</v>
      </c>
      <c r="J25" s="3502" t="str">
        <f>IF(SUM(J26,J31)=0,"IE",SUM(J26,J31))</f>
        <v>IE</v>
      </c>
      <c r="K25" s="3503">
        <f>IF(SUM(K26,K31)=0,"IE",SUM(K26,K31))</f>
        <v>6.0704136000000002</v>
      </c>
      <c r="L25" s="3504">
        <f>IF(SUM(L26,L31)=0,"IE",SUM(L26,L31))</f>
        <v>0.11221834029999998</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29687</v>
      </c>
      <c r="G31" s="3663" t="str">
        <f t="shared" si="2"/>
        <v>NA</v>
      </c>
      <c r="H31" s="3664">
        <f t="shared" si="3"/>
        <v>0.20448053356688112</v>
      </c>
      <c r="I31" s="3665">
        <f t="shared" si="4"/>
        <v>3.7800498635766492E-3</v>
      </c>
      <c r="J31" s="3505" t="str">
        <f>IF(SUM(J32,J34)=0,"IE",SUM(J32,J34))</f>
        <v>IE</v>
      </c>
      <c r="K31" s="3505">
        <f t="shared" ref="K31:L31" si="6">IF(SUM(K32,K34)=0,"IE",SUM(K32,K34))</f>
        <v>6.0704136000000002</v>
      </c>
      <c r="L31" s="3508">
        <f t="shared" si="6"/>
        <v>0.11221834029999998</v>
      </c>
    </row>
    <row r="32" spans="2:13" ht="18" customHeight="1" x14ac:dyDescent="0.2">
      <c r="B32" s="923" t="s">
        <v>1278</v>
      </c>
      <c r="C32" s="4368"/>
      <c r="D32" s="298"/>
      <c r="E32" s="5" t="s">
        <v>2250</v>
      </c>
      <c r="F32" s="3681">
        <f>F33</f>
        <v>29687</v>
      </c>
      <c r="G32" s="3663" t="str">
        <f t="shared" si="2"/>
        <v>NA</v>
      </c>
      <c r="H32" s="3664">
        <f t="shared" si="3"/>
        <v>0.20448053356688112</v>
      </c>
      <c r="I32" s="3665">
        <f t="shared" si="4"/>
        <v>3.7800498635766492E-3</v>
      </c>
      <c r="J32" s="3505" t="str">
        <f>J33</f>
        <v>IE</v>
      </c>
      <c r="K32" s="3505">
        <f>K33</f>
        <v>6.0704136000000002</v>
      </c>
      <c r="L32" s="3508">
        <f>L33</f>
        <v>0.11221834029999998</v>
      </c>
      <c r="M32" s="482"/>
    </row>
    <row r="33" spans="2:13" ht="18" customHeight="1" x14ac:dyDescent="0.2">
      <c r="B33" s="923"/>
      <c r="C33" s="4367" t="s">
        <v>2252</v>
      </c>
      <c r="D33" s="542" t="s">
        <v>940</v>
      </c>
      <c r="E33" s="543" t="s">
        <v>2250</v>
      </c>
      <c r="F33" s="3654">
        <v>29687</v>
      </c>
      <c r="G33" s="3666" t="str">
        <f t="shared" si="2"/>
        <v>NA</v>
      </c>
      <c r="H33" s="3667">
        <f t="shared" si="3"/>
        <v>0.20448053356688112</v>
      </c>
      <c r="I33" s="3668">
        <f t="shared" si="4"/>
        <v>3.7800498635766492E-3</v>
      </c>
      <c r="J33" s="3509" t="s">
        <v>2153</v>
      </c>
      <c r="K33" s="3510">
        <v>6.0704136000000002</v>
      </c>
      <c r="L33" s="3511">
        <v>0.11221834029999998</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28501697.990727186</v>
      </c>
      <c r="G36" s="3660" t="str">
        <f t="shared" si="2"/>
        <v>NA</v>
      </c>
      <c r="H36" s="3661">
        <f t="shared" ref="H36" si="7">IF(SUM($F36)=0,"NA",K36*1000/$F36)</f>
        <v>9.8991279974115984E-3</v>
      </c>
      <c r="I36" s="3662">
        <f t="shared" ref="I36" si="8">IF(SUM($F36)=0,"NA",L36*1000/$F36)</f>
        <v>2.5426812371869879E-4</v>
      </c>
      <c r="J36" s="3502" t="str">
        <f>IF(SUM(J37,J42)=0,"IE",SUM(J37,J42))</f>
        <v>IE</v>
      </c>
      <c r="K36" s="3503">
        <f>IF(SUM(K37,K42)=0,"NO",SUM(K37,K42))</f>
        <v>282.14195655377739</v>
      </c>
      <c r="L36" s="3504">
        <f>IF(SUM(L37,L42)=0,"NO",SUM(L37,L42))</f>
        <v>7.2470732708992083</v>
      </c>
      <c r="M36" s="482"/>
    </row>
    <row r="37" spans="2:13" ht="18" customHeight="1" x14ac:dyDescent="0.2">
      <c r="B37" s="903" t="s">
        <v>1876</v>
      </c>
      <c r="C37" s="4368"/>
      <c r="D37" s="298"/>
      <c r="E37" s="5" t="s">
        <v>2250</v>
      </c>
      <c r="F37" s="3680">
        <f>IF(SUM(F38,F40)=0,"NO",SUM(F38,F40))</f>
        <v>28016907.074581522</v>
      </c>
      <c r="G37" s="3666" t="str">
        <f t="shared" si="2"/>
        <v>NA</v>
      </c>
      <c r="H37" s="3664">
        <f t="shared" si="3"/>
        <v>6.9199366462085934E-3</v>
      </c>
      <c r="I37" s="3665">
        <f t="shared" si="4"/>
        <v>2.0033603497791782E-4</v>
      </c>
      <c r="J37" s="3505" t="str">
        <f>IF(SUM(J38,J40)=0,"IE",SUM(J38,J40))</f>
        <v>IE</v>
      </c>
      <c r="K37" s="3506">
        <f>IF(SUM(K38,K40)=0,"NO",SUM(K38,K40))</f>
        <v>193.87522197881748</v>
      </c>
      <c r="L37" s="3507">
        <f>IF(SUM(L38,L40)=0,"NO",SUM(L38,L40))</f>
        <v>5.612796075666437</v>
      </c>
    </row>
    <row r="38" spans="2:13" ht="18" customHeight="1" x14ac:dyDescent="0.2">
      <c r="B38" s="923" t="s">
        <v>1280</v>
      </c>
      <c r="C38" s="4368"/>
      <c r="D38" s="298"/>
      <c r="E38" s="5" t="s">
        <v>2250</v>
      </c>
      <c r="F38" s="3681">
        <f>F39</f>
        <v>28016907.074581522</v>
      </c>
      <c r="G38" s="3666" t="str">
        <f t="shared" si="2"/>
        <v>NA</v>
      </c>
      <c r="H38" s="3667">
        <f t="shared" si="3"/>
        <v>6.9199366462085934E-3</v>
      </c>
      <c r="I38" s="3668">
        <f t="shared" si="4"/>
        <v>2.0033603497791782E-4</v>
      </c>
      <c r="J38" s="3505" t="str">
        <f>J39</f>
        <v>IE</v>
      </c>
      <c r="K38" s="3505">
        <f>K39</f>
        <v>193.87522197881748</v>
      </c>
      <c r="L38" s="3508">
        <f>L39</f>
        <v>5.612796075666437</v>
      </c>
      <c r="M38" s="482"/>
    </row>
    <row r="39" spans="2:13" ht="18" customHeight="1" x14ac:dyDescent="0.2">
      <c r="B39" s="923"/>
      <c r="C39" s="4367" t="s">
        <v>2263</v>
      </c>
      <c r="D39" s="542" t="s">
        <v>940</v>
      </c>
      <c r="E39" s="543" t="s">
        <v>2250</v>
      </c>
      <c r="F39" s="3655">
        <v>28016907.074581522</v>
      </c>
      <c r="G39" s="3666" t="str">
        <f t="shared" si="2"/>
        <v>NA</v>
      </c>
      <c r="H39" s="3667">
        <f t="shared" ref="H39:H40" si="9">IF(SUM($F39)=0,"NA",K39*1000/$F39)</f>
        <v>6.9199366462085934E-3</v>
      </c>
      <c r="I39" s="3668">
        <f t="shared" ref="I39:I40" si="10">IF(SUM($F39)=0,"NA",L39*1000/$F39)</f>
        <v>2.0033603497791782E-4</v>
      </c>
      <c r="J39" s="3509" t="s">
        <v>2153</v>
      </c>
      <c r="K39" s="3510">
        <v>193.87522197881748</v>
      </c>
      <c r="L39" s="3512">
        <v>5.612796075666437</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484790.91614566185</v>
      </c>
      <c r="G42" s="3663" t="str">
        <f t="shared" si="2"/>
        <v>NA</v>
      </c>
      <c r="H42" s="3664">
        <f t="shared" si="11"/>
        <v>0.18207175843294679</v>
      </c>
      <c r="I42" s="3665">
        <f t="shared" si="12"/>
        <v>3.3710969838835246E-3</v>
      </c>
      <c r="J42" s="3505" t="str">
        <f>IF(SUM(J43,J46)=0,"IE",SUM(J43,J46))</f>
        <v>IE</v>
      </c>
      <c r="K42" s="3506">
        <f>IF(SUM(K43,K46)=0,"NO",SUM(K43,K46))</f>
        <v>88.266734574959898</v>
      </c>
      <c r="L42" s="3507">
        <f>IF(SUM(L43,L46)=0,"NO",SUM(L43,L46))</f>
        <v>1.6342771952327715</v>
      </c>
    </row>
    <row r="43" spans="2:13" ht="18" customHeight="1" x14ac:dyDescent="0.2">
      <c r="B43" s="923" t="s">
        <v>1283</v>
      </c>
      <c r="C43" s="4368"/>
      <c r="D43" s="298"/>
      <c r="E43" s="5" t="s">
        <v>2250</v>
      </c>
      <c r="F43" s="3681">
        <f>IF(SUM(F44:F45)=0,"NO",SUM(F44:F45))</f>
        <v>484790.91614566185</v>
      </c>
      <c r="G43" s="3666" t="str">
        <f t="shared" si="2"/>
        <v>NA</v>
      </c>
      <c r="H43" s="3667">
        <f t="shared" ref="H43" si="13">IF(SUM($F43)=0,"NA",K43*1000/$F43)</f>
        <v>0.18207175843294679</v>
      </c>
      <c r="I43" s="3668">
        <f t="shared" ref="I43" si="14">IF(SUM($F43)=0,"NA",L43*1000/$F43)</f>
        <v>3.3710969838835246E-3</v>
      </c>
      <c r="J43" s="3505" t="str">
        <f>IF(SUM(J44:J45)=0,"IE",SUM(J44:J45))</f>
        <v>IE</v>
      </c>
      <c r="K43" s="3505">
        <f>IF(SUM(K44:K45)=0,"NO",SUM(K44:K45))</f>
        <v>88.266734574959898</v>
      </c>
      <c r="L43" s="3508">
        <f>IF(SUM(L44:L45)=0,"NO",SUM(L44:L45))</f>
        <v>1.6342771952327715</v>
      </c>
      <c r="M43" s="482"/>
    </row>
    <row r="44" spans="2:13" ht="18" customHeight="1" x14ac:dyDescent="0.2">
      <c r="B44" s="923"/>
      <c r="C44" s="4367" t="s">
        <v>2252</v>
      </c>
      <c r="D44" s="542" t="s">
        <v>940</v>
      </c>
      <c r="E44" s="543" t="s">
        <v>2250</v>
      </c>
      <c r="F44" s="3655">
        <v>432426.78032774123</v>
      </c>
      <c r="G44" s="3666" t="str">
        <f t="shared" si="2"/>
        <v>NA</v>
      </c>
      <c r="H44" s="3667">
        <f t="shared" ref="H44:H46" si="15">IF(SUM($F44)=0,"NA",K44*1000/$F44)</f>
        <v>0.20246394696309852</v>
      </c>
      <c r="I44" s="3668">
        <f t="shared" ref="I44:I46" si="16">IF(SUM($F44)=0,"NA",L44*1000/$F44)</f>
        <v>3.7427710195539463E-3</v>
      </c>
      <c r="J44" s="3509" t="s">
        <v>2153</v>
      </c>
      <c r="K44" s="3510">
        <v>87.550832717699265</v>
      </c>
      <c r="L44" s="3512">
        <v>1.6184744214896905</v>
      </c>
      <c r="M44" s="482"/>
    </row>
    <row r="45" spans="2:13" ht="18" customHeight="1" x14ac:dyDescent="0.2">
      <c r="B45" s="923"/>
      <c r="C45" s="4367" t="s">
        <v>2263</v>
      </c>
      <c r="D45" s="542" t="s">
        <v>940</v>
      </c>
      <c r="E45" s="543" t="s">
        <v>2250</v>
      </c>
      <c r="F45" s="3655">
        <v>52364.1358179206</v>
      </c>
      <c r="G45" s="3666" t="str">
        <f t="shared" si="2"/>
        <v>NA</v>
      </c>
      <c r="H45" s="3667">
        <f t="shared" si="15"/>
        <v>1.3671606455035346E-2</v>
      </c>
      <c r="I45" s="3668">
        <f t="shared" si="16"/>
        <v>3.0178620340513558E-4</v>
      </c>
      <c r="J45" s="3509" t="s">
        <v>2153</v>
      </c>
      <c r="K45" s="3510">
        <v>0.71590185726063083</v>
      </c>
      <c r="L45" s="3512">
        <v>1.580277374308113E-2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460172.20058205642</v>
      </c>
      <c r="G48" s="3660" t="str">
        <f t="shared" si="2"/>
        <v>NA</v>
      </c>
      <c r="H48" s="3661">
        <f t="shared" si="17"/>
        <v>1.7921993423073275E-2</v>
      </c>
      <c r="I48" s="3662">
        <f t="shared" si="18"/>
        <v>4.0058677312472107E-4</v>
      </c>
      <c r="J48" s="3502" t="str">
        <f>IF(SUM(J49,J54)=0,"IE",SUM(J49,J54))</f>
        <v>IE</v>
      </c>
      <c r="K48" s="3503">
        <f>IF(SUM(K49,K54)=0,"NO",SUM(K49,K54))</f>
        <v>8.2472031523127711</v>
      </c>
      <c r="L48" s="3504">
        <f>IF(SUM(L49,L54)=0,"NO",SUM(L49,L54))</f>
        <v>0.18433889691286789</v>
      </c>
      <c r="M48" s="482"/>
    </row>
    <row r="49" spans="2:13" ht="18" customHeight="1" x14ac:dyDescent="0.2">
      <c r="B49" s="903" t="s">
        <v>1285</v>
      </c>
      <c r="C49" s="4368"/>
      <c r="D49" s="298"/>
      <c r="E49" s="5" t="s">
        <v>2250</v>
      </c>
      <c r="F49" s="3680">
        <f>IF(SUM(F50,F52)=0,"NO",SUM(F50,F52))</f>
        <v>460172.20058205642</v>
      </c>
      <c r="G49" s="3663" t="str">
        <f t="shared" si="2"/>
        <v>NA</v>
      </c>
      <c r="H49" s="3664">
        <f t="shared" si="17"/>
        <v>1.7921993423073275E-2</v>
      </c>
      <c r="I49" s="3665">
        <f t="shared" si="18"/>
        <v>4.0058677312472107E-4</v>
      </c>
      <c r="J49" s="3505" t="str">
        <f>IF(SUM(J50,J52)=0,"IE",SUM(J50,J52))</f>
        <v>IE</v>
      </c>
      <c r="K49" s="3506">
        <f>IF(SUM(K50,K52)=0,"NO",SUM(K50,K52))</f>
        <v>8.2472031523127711</v>
      </c>
      <c r="L49" s="3507">
        <f>IF(SUM(L50,L52)=0,"NO",SUM(L50,L52))</f>
        <v>0.18433889691286789</v>
      </c>
    </row>
    <row r="50" spans="2:13" ht="18" customHeight="1" x14ac:dyDescent="0.2">
      <c r="B50" s="923" t="s">
        <v>1286</v>
      </c>
      <c r="C50" s="4368"/>
      <c r="D50" s="298"/>
      <c r="E50" s="5" t="s">
        <v>2250</v>
      </c>
      <c r="F50" s="3681">
        <f>F51</f>
        <v>460172.20058205642</v>
      </c>
      <c r="G50" s="3666" t="str">
        <f t="shared" si="2"/>
        <v>NA</v>
      </c>
      <c r="H50" s="3667">
        <f t="shared" si="17"/>
        <v>1.7921993423073275E-2</v>
      </c>
      <c r="I50" s="3668">
        <f t="shared" si="18"/>
        <v>4.0058677312472107E-4</v>
      </c>
      <c r="J50" s="3505" t="str">
        <f>J51</f>
        <v>IE</v>
      </c>
      <c r="K50" s="3505">
        <f>K51</f>
        <v>8.2472031523127711</v>
      </c>
      <c r="L50" s="3508">
        <f>L51</f>
        <v>0.18433889691286789</v>
      </c>
      <c r="M50" s="482"/>
    </row>
    <row r="51" spans="2:13" ht="18" customHeight="1" x14ac:dyDescent="0.2">
      <c r="B51" s="923"/>
      <c r="C51" s="4367" t="s">
        <v>2263</v>
      </c>
      <c r="D51" s="542" t="s">
        <v>940</v>
      </c>
      <c r="E51" s="543" t="s">
        <v>2250</v>
      </c>
      <c r="F51" s="3655">
        <v>460172.20058205642</v>
      </c>
      <c r="G51" s="3666" t="str">
        <f t="shared" si="2"/>
        <v>NA</v>
      </c>
      <c r="H51" s="3667">
        <f t="shared" si="17"/>
        <v>1.7921993423073275E-2</v>
      </c>
      <c r="I51" s="3668">
        <f t="shared" si="18"/>
        <v>4.0058677312472107E-4</v>
      </c>
      <c r="J51" s="3509" t="s">
        <v>2153</v>
      </c>
      <c r="K51" s="3510">
        <v>8.2472031523127711</v>
      </c>
      <c r="L51" s="3512">
        <v>0.18433889691286789</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15542</v>
      </c>
      <c r="G59" s="3660" t="str">
        <f t="shared" si="2"/>
        <v>NA</v>
      </c>
      <c r="H59" s="3661">
        <f t="shared" si="3"/>
        <v>0.24160303693218377</v>
      </c>
      <c r="I59" s="3662">
        <f t="shared" si="4"/>
        <v>4.4663005855102309E-3</v>
      </c>
      <c r="J59" s="3502" t="str">
        <f>IF(SUM(J60,J65)=0,"IE",SUM(J60,J65))</f>
        <v>IE</v>
      </c>
      <c r="K59" s="3503">
        <f>IF(SUM(K60,K65)=0,"NO",SUM(K60,K65))</f>
        <v>3.7549944000000002</v>
      </c>
      <c r="L59" s="3504">
        <f>IF(SUM(L60,L65)=0,"NO",SUM(L60,L65))</f>
        <v>6.9415243700000004E-2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15542</v>
      </c>
      <c r="G65" s="3663" t="str">
        <f t="shared" si="2"/>
        <v>NA</v>
      </c>
      <c r="H65" s="3664">
        <f t="shared" si="3"/>
        <v>0.24160303693218377</v>
      </c>
      <c r="I65" s="3665">
        <f t="shared" si="4"/>
        <v>4.4663005855102309E-3</v>
      </c>
      <c r="J65" s="3505" t="str">
        <f>IF(SUM(J66,J68)=0,"IE",SUM(J66,J68))</f>
        <v>IE</v>
      </c>
      <c r="K65" s="3506">
        <f>IF(SUM(K66,K68)=0,"NO",SUM(K66,K68))</f>
        <v>3.7549944000000002</v>
      </c>
      <c r="L65" s="3507">
        <f>IF(SUM(L66,L68)=0,"NO",SUM(L66,L68))</f>
        <v>6.9415243700000004E-2</v>
      </c>
    </row>
    <row r="66" spans="2:13" ht="18" customHeight="1" x14ac:dyDescent="0.2">
      <c r="B66" s="923" t="s">
        <v>1294</v>
      </c>
      <c r="C66" s="4368"/>
      <c r="D66" s="298"/>
      <c r="E66" s="5" t="s">
        <v>2250</v>
      </c>
      <c r="F66" s="3681">
        <f>F67</f>
        <v>15542</v>
      </c>
      <c r="G66" s="3666" t="str">
        <f t="shared" si="2"/>
        <v>NA</v>
      </c>
      <c r="H66" s="3667">
        <f t="shared" si="3"/>
        <v>0.24160303693218377</v>
      </c>
      <c r="I66" s="3668">
        <f t="shared" si="4"/>
        <v>4.4663005855102309E-3</v>
      </c>
      <c r="J66" s="3505" t="str">
        <f>J67</f>
        <v>IE</v>
      </c>
      <c r="K66" s="3505">
        <f>K67</f>
        <v>3.7549944000000002</v>
      </c>
      <c r="L66" s="3508">
        <f>L67</f>
        <v>6.9415243700000004E-2</v>
      </c>
      <c r="M66" s="482"/>
    </row>
    <row r="67" spans="2:13" ht="18" customHeight="1" x14ac:dyDescent="0.2">
      <c r="B67" s="923"/>
      <c r="C67" s="4367" t="s">
        <v>2252</v>
      </c>
      <c r="D67" s="542" t="s">
        <v>940</v>
      </c>
      <c r="E67" s="543" t="s">
        <v>2250</v>
      </c>
      <c r="F67" s="3655">
        <v>15542</v>
      </c>
      <c r="G67" s="3666" t="str">
        <f t="shared" si="2"/>
        <v>NA</v>
      </c>
      <c r="H67" s="3667">
        <f t="shared" ref="H67:H68" si="23">IF(SUM($F67)=0,"NA",K67*1000/$F67)</f>
        <v>0.24160303693218377</v>
      </c>
      <c r="I67" s="3668">
        <f t="shared" ref="I67:I68" si="24">IF(SUM($F67)=0,"NA",L67*1000/$F67)</f>
        <v>4.4663005855102309E-3</v>
      </c>
      <c r="J67" s="3509" t="s">
        <v>2153</v>
      </c>
      <c r="K67" s="3510">
        <v>3.7549944000000002</v>
      </c>
      <c r="L67" s="3512">
        <v>6.9415243700000004E-2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4675.384892674293</v>
      </c>
      <c r="D10" s="3521">
        <f>IF(SUM(D11,D16:D17)=0,"NO",SUM(D11,D16:D17))</f>
        <v>-2627.0240461672474</v>
      </c>
      <c r="E10" s="3522"/>
      <c r="F10" s="3523">
        <f>IF(SUM(F11,F16:F17)=0,"NO",SUM(F11,F16:F17))</f>
        <v>2048.3608465070447</v>
      </c>
      <c r="G10" s="3524">
        <f>IF(SUM(G11,G16:G17)=0,"NO",SUM(G11,G16:G17))</f>
        <v>-7510.6564371924978</v>
      </c>
      <c r="H10" s="226"/>
      <c r="I10" s="2"/>
      <c r="J10" s="2"/>
    </row>
    <row r="11" spans="1:10" ht="18" customHeight="1" x14ac:dyDescent="0.2">
      <c r="B11" s="606" t="s">
        <v>1314</v>
      </c>
      <c r="C11" s="3525">
        <f>IF(SUM(C13:C15)=0,"NO",SUM(C13:C15))</f>
        <v>1596.1373529421028</v>
      </c>
      <c r="D11" s="3526">
        <f>IF(SUM(D13:D15)=0,"NO",SUM(D13:D15))</f>
        <v>-530.80846496419804</v>
      </c>
      <c r="E11" s="3527"/>
      <c r="F11" s="3528">
        <f>IF(SUM(F13:F15)=0,"NO",SUM(F13:F15))</f>
        <v>1065.3288879779047</v>
      </c>
      <c r="G11" s="3529">
        <f>IF(SUM(G13:G15)=0,"NO",SUM(G13:G15))</f>
        <v>-3906.2059225856506</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1157.1686285449566</v>
      </c>
      <c r="D13" s="3534">
        <f>F13-C13</f>
        <v>-332.70314707725151</v>
      </c>
      <c r="E13" s="3535" t="s">
        <v>2147</v>
      </c>
      <c r="F13" s="3536">
        <f>G13/(-44/12)</f>
        <v>824.4654814677051</v>
      </c>
      <c r="G13" s="3537">
        <v>-3023.0400987149187</v>
      </c>
      <c r="H13" s="226"/>
      <c r="I13" s="2"/>
      <c r="J13" s="2"/>
    </row>
    <row r="14" spans="1:10" ht="18" customHeight="1" x14ac:dyDescent="0.2">
      <c r="B14" s="1193" t="s">
        <v>1316</v>
      </c>
      <c r="C14" s="3538">
        <v>438.9687243971461</v>
      </c>
      <c r="D14" s="3539">
        <f>F14-C14</f>
        <v>-198.10531788694647</v>
      </c>
      <c r="E14" s="3235" t="s">
        <v>2147</v>
      </c>
      <c r="F14" s="3540">
        <f>G14/(-44/12)</f>
        <v>240.86340651019964</v>
      </c>
      <c r="G14" s="3537">
        <v>-883.16582387073197</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1712.1812079999995</v>
      </c>
      <c r="D16" s="3539">
        <f>F16-C16</f>
        <v>-1617.4535735398397</v>
      </c>
      <c r="E16" s="3235" t="s">
        <v>2147</v>
      </c>
      <c r="F16" s="3540">
        <f>G16/(-44/12)</f>
        <v>94.727634460159834</v>
      </c>
      <c r="G16" s="3537">
        <v>-347.33465968725272</v>
      </c>
      <c r="H16" s="226"/>
      <c r="I16" s="2"/>
      <c r="J16" s="2"/>
    </row>
    <row r="17" spans="2:10" ht="18" customHeight="1" x14ac:dyDescent="0.2">
      <c r="B17" s="1197" t="s">
        <v>1320</v>
      </c>
      <c r="C17" s="3542">
        <f>C18</f>
        <v>1367.0663317321903</v>
      </c>
      <c r="D17" s="3543">
        <f t="shared" ref="D17:F17" si="0">D18</f>
        <v>-478.76200766320994</v>
      </c>
      <c r="E17" s="3544"/>
      <c r="F17" s="3226">
        <f t="shared" si="0"/>
        <v>888.30432406898035</v>
      </c>
      <c r="G17" s="3537">
        <f>-F17*44/12</f>
        <v>-3257.1158549195948</v>
      </c>
      <c r="H17" s="226"/>
      <c r="I17" s="2"/>
      <c r="J17" s="2"/>
    </row>
    <row r="18" spans="2:10" ht="18" customHeight="1" thickBot="1" x14ac:dyDescent="0.25">
      <c r="B18" s="561" t="s">
        <v>2254</v>
      </c>
      <c r="C18" s="3545">
        <v>1367.0663317321903</v>
      </c>
      <c r="D18" s="3546">
        <f>F18-C18</f>
        <v>-478.76200766320994</v>
      </c>
      <c r="E18" s="3238" t="s">
        <v>2147</v>
      </c>
      <c r="F18" s="3547">
        <f>G18/(-44/12)</f>
        <v>888.30432406898035</v>
      </c>
      <c r="G18" s="3548">
        <v>-3257.1158549195943</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80.09327774765265</v>
      </c>
      <c r="D10" s="4371">
        <f t="shared" ref="D10:I10" si="0">IF(SUM(D11,D15,D18,D21)=0,"NO",SUM(D11,D15,D18,D21))</f>
        <v>780.05258915624881</v>
      </c>
      <c r="E10" s="4371">
        <f t="shared" si="0"/>
        <v>0.68677642061202049</v>
      </c>
      <c r="F10" s="4371" t="str">
        <f t="shared" si="0"/>
        <v>NO</v>
      </c>
      <c r="G10" s="4371" t="str">
        <f t="shared" si="0"/>
        <v>NO</v>
      </c>
      <c r="H10" s="4371">
        <f t="shared" si="0"/>
        <v>445.26365662211305</v>
      </c>
      <c r="I10" s="4372" t="str">
        <f t="shared" si="0"/>
        <v>NO</v>
      </c>
      <c r="J10" s="4373">
        <f>IF(SUM(C10:E10)=0,"NO",SUM(C10,IFERROR(28*D10,0),IFERROR(265*E10,0)))</f>
        <v>22103.561525584806</v>
      </c>
    </row>
    <row r="11" spans="1:10" ht="18" customHeight="1" x14ac:dyDescent="0.2">
      <c r="B11" s="1504" t="s">
        <v>1371</v>
      </c>
      <c r="C11" s="4374"/>
      <c r="D11" s="2883">
        <f>IF(SUM(D12:D14)=0,"NO",SUM(D12:D14))</f>
        <v>582.74333473000002</v>
      </c>
      <c r="E11" s="4374"/>
      <c r="F11" s="2883" t="str">
        <f>IF(SUM(F12:F14)=0,"NO",SUM(F12:F14))</f>
        <v>NO</v>
      </c>
      <c r="G11" s="2883" t="str">
        <f t="shared" ref="G11:H11" si="1">IF(SUM(G12:G14)=0,"NO",SUM(G12:G14))</f>
        <v>NO</v>
      </c>
      <c r="H11" s="2883">
        <f t="shared" si="1"/>
        <v>2.7160311856973256</v>
      </c>
      <c r="I11" s="2153"/>
      <c r="J11" s="2872">
        <f t="shared" ref="J11:J18" si="2">IF(SUM(C11:E11)=0,"NO",SUM(C11,IFERROR(28*D11,0),IFERROR(265*E11,0)))</f>
        <v>16316.81337244</v>
      </c>
    </row>
    <row r="12" spans="1:10" ht="18" customHeight="1" x14ac:dyDescent="0.2">
      <c r="B12" s="1270" t="s">
        <v>1372</v>
      </c>
      <c r="C12" s="4375"/>
      <c r="D12" s="4376">
        <f>IF(SUM(Table5.A!F10:H10)=0,"NO",SUM(Table5.A!F10))</f>
        <v>582.74333473000002</v>
      </c>
      <c r="E12" s="4375"/>
      <c r="F12" s="4377" t="s">
        <v>2147</v>
      </c>
      <c r="G12" s="4377" t="s">
        <v>2147</v>
      </c>
      <c r="H12" s="4377">
        <v>2.7160311856973256</v>
      </c>
      <c r="I12" s="4378"/>
      <c r="J12" s="4379">
        <f t="shared" si="2"/>
        <v>16316.81337244</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1.0144392586599897</v>
      </c>
      <c r="E15" s="2881">
        <f t="shared" ref="E15" si="3">IF(SUM(E16:E17)=0,"NO",SUM(E16:E17))</f>
        <v>0.12984822510847871</v>
      </c>
      <c r="F15" s="2881" t="s">
        <v>2256</v>
      </c>
      <c r="G15" s="2881" t="s">
        <v>2256</v>
      </c>
      <c r="H15" s="2881" t="s">
        <v>2256</v>
      </c>
      <c r="I15" s="4386"/>
      <c r="J15" s="2873">
        <f t="shared" si="2"/>
        <v>62.814078896226576</v>
      </c>
    </row>
    <row r="16" spans="1:10" ht="18" customHeight="1" x14ac:dyDescent="0.2">
      <c r="B16" s="1883" t="s">
        <v>1376</v>
      </c>
      <c r="C16" s="4387"/>
      <c r="D16" s="4376">
        <f>Table5.B!F10</f>
        <v>1.0144392586599897</v>
      </c>
      <c r="E16" s="4376">
        <f>Table5.B!G10</f>
        <v>0.12984822510847871</v>
      </c>
      <c r="F16" s="4388" t="s">
        <v>2147</v>
      </c>
      <c r="G16" s="4388" t="s">
        <v>2147</v>
      </c>
      <c r="H16" s="4388" t="s">
        <v>2147</v>
      </c>
      <c r="I16" s="4378"/>
      <c r="J16" s="4379">
        <f t="shared" si="2"/>
        <v>62.814078896226576</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80.09327774765265</v>
      </c>
      <c r="D18" s="2871">
        <f>IF(SUM(D19:D20)=0,"NO,NE",SUM(D19:D20))</f>
        <v>9.2671199999999995E-2</v>
      </c>
      <c r="E18" s="2871">
        <f>IF(SUM(E19:E20)=0,"NO,NE",SUM(E19:E20))</f>
        <v>3.7979999999999993E-2</v>
      </c>
      <c r="F18" s="2871" t="s">
        <v>2147</v>
      </c>
      <c r="G18" s="2871" t="s">
        <v>2147</v>
      </c>
      <c r="H18" s="2871" t="s">
        <v>2147</v>
      </c>
      <c r="I18" s="2871" t="s">
        <v>2147</v>
      </c>
      <c r="J18" s="2874">
        <f t="shared" si="2"/>
        <v>92.752771347652654</v>
      </c>
    </row>
    <row r="19" spans="2:12" ht="18" customHeight="1" x14ac:dyDescent="0.2">
      <c r="B19" s="1270" t="s">
        <v>1379</v>
      </c>
      <c r="C19" s="4376">
        <f>Table5.C!G10</f>
        <v>80.09327774765265</v>
      </c>
      <c r="D19" s="4376">
        <f>Table5.C!H10</f>
        <v>9.2671199999999995E-2</v>
      </c>
      <c r="E19" s="4376">
        <f>Table5.C!I10</f>
        <v>3.7979999999999993E-2</v>
      </c>
      <c r="F19" s="4391" t="s">
        <v>2147</v>
      </c>
      <c r="G19" s="4391" t="s">
        <v>2147</v>
      </c>
      <c r="H19" s="4391" t="s">
        <v>2147</v>
      </c>
      <c r="I19" s="4391" t="s">
        <v>2147</v>
      </c>
      <c r="J19" s="4379">
        <f>IF(SUM(C19:E19)=0,"NO",SUM(C19,IFERROR(28*D19,0),IFERROR(265*E19,0)))</f>
        <v>92.752771347652654</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196.20214396758877</v>
      </c>
      <c r="E21" s="2871">
        <f t="shared" ref="E21:H21" si="5">IF(SUM(E22:E24)=0,"NO",SUM(E22:E24))</f>
        <v>0.51894819550354176</v>
      </c>
      <c r="F21" s="2871" t="str">
        <f t="shared" si="5"/>
        <v>NO</v>
      </c>
      <c r="G21" s="2871" t="str">
        <f t="shared" si="5"/>
        <v>NO</v>
      </c>
      <c r="H21" s="2871">
        <f t="shared" si="5"/>
        <v>442.54762543641573</v>
      </c>
      <c r="I21" s="4393"/>
      <c r="J21" s="2874">
        <f t="shared" si="4"/>
        <v>5631.1813029009245</v>
      </c>
    </row>
    <row r="22" spans="2:12" ht="18" customHeight="1" x14ac:dyDescent="0.2">
      <c r="B22" s="1270" t="s">
        <v>1382</v>
      </c>
      <c r="C22" s="4394"/>
      <c r="D22" s="4376">
        <f>IF(SUM(Table5.D!H10)=0,"NO",SUM(Table5.D!H10))</f>
        <v>72.866856521286479</v>
      </c>
      <c r="E22" s="4376">
        <f>IF(SUM(Table5.D!I10:J10)=0,"NO",SUM(Table5.D!I10:J10))</f>
        <v>0.51894819550354176</v>
      </c>
      <c r="F22" s="4377" t="s">
        <v>2147</v>
      </c>
      <c r="G22" s="4377" t="s">
        <v>2147</v>
      </c>
      <c r="H22" s="4377">
        <v>11.38485666235243</v>
      </c>
      <c r="I22" s="4378"/>
      <c r="J22" s="4379">
        <f t="shared" si="4"/>
        <v>2177.7932544044602</v>
      </c>
    </row>
    <row r="23" spans="2:12" ht="18" customHeight="1" x14ac:dyDescent="0.2">
      <c r="B23" s="1270" t="s">
        <v>1383</v>
      </c>
      <c r="C23" s="4394"/>
      <c r="D23" s="4376">
        <f>IF(SUM(Table5.D!H11)=0,"NO",SUM(Table5.D!H11))</f>
        <v>123.33528744630229</v>
      </c>
      <c r="E23" s="4376" t="str">
        <f>IF(SUM(Table5.D!I11:J11)=0,"IE",SUM(Table5.D!I11:J11))</f>
        <v>IE</v>
      </c>
      <c r="F23" s="4377" t="s">
        <v>2147</v>
      </c>
      <c r="G23" s="4377" t="s">
        <v>2147</v>
      </c>
      <c r="H23" s="4377">
        <v>431.1627687740633</v>
      </c>
      <c r="I23" s="4378"/>
      <c r="J23" s="4379">
        <f t="shared" si="4"/>
        <v>3453.3880484964639</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-207830.41124779763</v>
      </c>
      <c r="D28" s="4404"/>
      <c r="E28" s="4404"/>
      <c r="F28" s="4404"/>
      <c r="G28" s="4404"/>
      <c r="H28" s="4404"/>
      <c r="I28" s="4405"/>
      <c r="J28" s="4406"/>
      <c r="K28"/>
      <c r="L28"/>
    </row>
    <row r="29" spans="2:12" ht="18" customHeight="1" x14ac:dyDescent="0.2">
      <c r="B29" s="2487" t="s">
        <v>2081</v>
      </c>
      <c r="C29" s="4407">
        <v>-4897.1183263634293</v>
      </c>
      <c r="D29" s="4408"/>
      <c r="E29" s="4408"/>
      <c r="F29" s="4408"/>
      <c r="G29" s="4408"/>
      <c r="H29" s="4408"/>
      <c r="I29" s="4406"/>
      <c r="J29" s="4406"/>
      <c r="K29"/>
      <c r="L29"/>
    </row>
    <row r="30" spans="2:12" ht="29.25" customHeight="1" thickBot="1" x14ac:dyDescent="0.25">
      <c r="B30" s="2488" t="s">
        <v>2082</v>
      </c>
      <c r="C30" s="4409">
        <v>-3257.1158549195943</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17549.853440135605</v>
      </c>
      <c r="D10" s="3752"/>
      <c r="E10" s="3751">
        <f>IF(SUM(C10)=0,"NA",(F10-SUM(G10:H10))/C10)</f>
        <v>3.4820993623367727E-2</v>
      </c>
      <c r="F10" s="3753">
        <f>F11</f>
        <v>582.74333473000002</v>
      </c>
      <c r="G10" s="3753" t="str">
        <f>G11</f>
        <v>IE</v>
      </c>
      <c r="H10" s="3754">
        <f>H11</f>
        <v>-28.36</v>
      </c>
      <c r="I10" s="44"/>
    </row>
    <row r="11" spans="1:13" ht="18" customHeight="1" x14ac:dyDescent="0.2">
      <c r="B11" s="1750" t="s">
        <v>1395</v>
      </c>
      <c r="C11" s="3755">
        <f>IF(SUM(C13:C16)=0,"NO",SUM(C13:C16))</f>
        <v>17549.853440135605</v>
      </c>
      <c r="D11" s="3755">
        <v>1</v>
      </c>
      <c r="E11" s="3755">
        <f>IF(SUM(C11)=0,"NA",(F11-SUM(G11:H11))/C11)</f>
        <v>3.4820993623367727E-2</v>
      </c>
      <c r="F11" s="3755">
        <f>IF(SUM(F13:F16)=0,"NO",SUM(F13:F16))</f>
        <v>582.74333473000002</v>
      </c>
      <c r="G11" s="3756" t="s">
        <v>2153</v>
      </c>
      <c r="H11" s="3757">
        <v>-28.36</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9826.252383059631</v>
      </c>
      <c r="D13" s="3762">
        <v>1</v>
      </c>
      <c r="E13" s="3755" t="s">
        <v>2153</v>
      </c>
      <c r="F13" s="3762">
        <v>20.294358429999999</v>
      </c>
      <c r="G13" s="3763"/>
      <c r="H13" s="3764"/>
      <c r="I13" s="44"/>
    </row>
    <row r="14" spans="1:13" ht="18" customHeight="1" x14ac:dyDescent="0.2">
      <c r="B14" s="1751" t="s">
        <v>1398</v>
      </c>
      <c r="C14" s="3762">
        <v>3167.3244369407639</v>
      </c>
      <c r="D14" s="3762">
        <v>1</v>
      </c>
      <c r="E14" s="3755" t="s">
        <v>2153</v>
      </c>
      <c r="F14" s="3762">
        <v>233.71400980000001</v>
      </c>
      <c r="G14" s="3763"/>
      <c r="H14" s="3764"/>
      <c r="I14" s="44"/>
    </row>
    <row r="15" spans="1:13" ht="18" customHeight="1" x14ac:dyDescent="0.2">
      <c r="B15" s="1751" t="s">
        <v>1399</v>
      </c>
      <c r="C15" s="3762">
        <v>4556.2766201352106</v>
      </c>
      <c r="D15" s="3762">
        <v>1</v>
      </c>
      <c r="E15" s="3755" t="s">
        <v>2153</v>
      </c>
      <c r="F15" s="3762">
        <v>328.73496649999998</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1352.5856782133201</v>
      </c>
      <c r="D10" s="1913">
        <f>IF(SUM($C10)=0,"NA",F10*1000/$C10)</f>
        <v>0.74999999999999978</v>
      </c>
      <c r="E10" s="1913">
        <f>IF(SUM($C10)=0,"NA",G10*1000/$C10)</f>
        <v>9.5999999999999988E-2</v>
      </c>
      <c r="F10" s="1909">
        <f>IF(SUM(F11:F12)=0,"NO",SUM(F11:F12))</f>
        <v>1.0144392586599897</v>
      </c>
      <c r="G10" s="1909">
        <f>IF(SUM(G11:G12)=0,"NO",SUM(G11:G12))</f>
        <v>0.12984822510847871</v>
      </c>
      <c r="H10" s="1910"/>
      <c r="I10" s="1911"/>
    </row>
    <row r="11" spans="1:9" ht="18" customHeight="1" x14ac:dyDescent="0.2">
      <c r="B11" s="1526" t="s">
        <v>1411</v>
      </c>
      <c r="C11" s="1912">
        <v>1352.5856782133201</v>
      </c>
      <c r="D11" s="1913">
        <f>IF(SUM($C11)=0,"NA",F11*1000/$C11)</f>
        <v>0.74999999999999978</v>
      </c>
      <c r="E11" s="1913">
        <f>IF(SUM($C11)=0,"NA",G11*1000/$C11)</f>
        <v>9.5999999999999988E-2</v>
      </c>
      <c r="F11" s="1912">
        <v>1.0144392586599897</v>
      </c>
      <c r="G11" s="1912">
        <v>0.12984822510847871</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11.990033671004792</v>
      </c>
      <c r="D10" s="2887">
        <f>IF(SUM(G10)=0,"NA",G10*1000/$C10)</f>
        <v>6679.9877252505376</v>
      </c>
      <c r="E10" s="2887">
        <f t="shared" ref="E10:E20" si="0">IF(SUM(H10)=0,"NA",H10*1000/$C10)</f>
        <v>7.7290191623151587</v>
      </c>
      <c r="F10" s="2887">
        <f t="shared" ref="F10:F20" si="1">IF(SUM(I10)=0,"NA",I10*1000/$C10)</f>
        <v>3.1676308042275232</v>
      </c>
      <c r="G10" s="2887">
        <f>IF(SUM(G11,G21)=0,"NO",SUM(G11,G21))</f>
        <v>80.09327774765265</v>
      </c>
      <c r="H10" s="2887">
        <f>IF(SUM(H11,H21)=0,"NO,NE",SUM(H11,H21))</f>
        <v>9.2671199999999995E-2</v>
      </c>
      <c r="I10" s="2888">
        <f>IF(SUM(I11,I21)=0,"NO,NE",SUM(I11,I21))</f>
        <v>3.7979999999999993E-2</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11.990033671004792</v>
      </c>
      <c r="D21" s="116">
        <f>IF(SUM(G21)=0,"NA",G21*1000/$C21)</f>
        <v>6679.9877252505376</v>
      </c>
      <c r="E21" s="116">
        <f t="shared" ref="E21:F21" si="3">IF(SUM(H21)=0,"NA",H21*1000/$C21)</f>
        <v>7.7290191623151587</v>
      </c>
      <c r="F21" s="116">
        <f t="shared" si="3"/>
        <v>3.1676308042275232</v>
      </c>
      <c r="G21" s="2889">
        <f>IF(SUM(G22:G23)=0,"NO",SUM(G22:G23))</f>
        <v>80.09327774765265</v>
      </c>
      <c r="H21" s="116">
        <f>IF(SUM(H22:H23)=0,"NO,NE",SUM(H22:H23))</f>
        <v>9.2671199999999995E-2</v>
      </c>
      <c r="I21" s="2890">
        <f>IF(SUM(I22:I23)=0,"NO,NE",SUM(I22:I23))</f>
        <v>3.7979999999999993E-2</v>
      </c>
    </row>
    <row r="22" spans="2:9" ht="18" customHeight="1" x14ac:dyDescent="0.2">
      <c r="B22" s="1526" t="s">
        <v>1434</v>
      </c>
      <c r="C22" s="143">
        <v>0.25319999999999998</v>
      </c>
      <c r="D22" s="116">
        <f t="shared" ref="D22:D38" si="4">IF(SUM(G22)=0,"NA",G22*1000/$C22)</f>
        <v>205333.33333333334</v>
      </c>
      <c r="E22" s="116">
        <f t="shared" ref="E22:E38" si="5">IF(SUM(H22)=0,"NA",H22*1000/$C22)</f>
        <v>366</v>
      </c>
      <c r="F22" s="116">
        <f t="shared" ref="F22:F38" si="6">IF(SUM(I22)=0,"NA",I22*1000/$C22)</f>
        <v>149.99999999999997</v>
      </c>
      <c r="G22" s="143">
        <v>51.990400000000001</v>
      </c>
      <c r="H22" s="143">
        <v>9.2671199999999995E-2</v>
      </c>
      <c r="I22" s="140">
        <v>3.7979999999999993E-2</v>
      </c>
    </row>
    <row r="23" spans="2:9" ht="18" customHeight="1" x14ac:dyDescent="0.2">
      <c r="B23" s="1526" t="s">
        <v>1435</v>
      </c>
      <c r="C23" s="2889">
        <f>IF(SUM(C25:C29)=0,"NO",SUM(C25:C29))</f>
        <v>11.736833671004792</v>
      </c>
      <c r="D23" s="116">
        <f t="shared" si="4"/>
        <v>2394.4173135109913</v>
      </c>
      <c r="E23" s="151" t="str">
        <f t="shared" si="5"/>
        <v>NA</v>
      </c>
      <c r="F23" s="151" t="str">
        <f t="shared" si="6"/>
        <v>NA</v>
      </c>
      <c r="G23" s="151">
        <f>IF(SUM(G25:G30)=0,"NO",SUM(G25:G30))</f>
        <v>28.102877747652641</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11.736833671004792</v>
      </c>
      <c r="D27" s="116">
        <f t="shared" si="4"/>
        <v>879.99999999999989</v>
      </c>
      <c r="E27" s="116" t="str">
        <f t="shared" si="5"/>
        <v>NA</v>
      </c>
      <c r="F27" s="116" t="str">
        <f t="shared" si="6"/>
        <v>NA</v>
      </c>
      <c r="G27" s="2897">
        <v>10.328413630484215</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5.7957689178193696</v>
      </c>
      <c r="D30" s="116">
        <f t="shared" si="4"/>
        <v>3066.7999999999965</v>
      </c>
      <c r="E30" s="153" t="str">
        <f t="shared" si="5"/>
        <v>NA</v>
      </c>
      <c r="F30" s="153" t="str">
        <f t="shared" si="6"/>
        <v>NA</v>
      </c>
      <c r="G30" s="1541">
        <f>G31</f>
        <v>17.774464117168424</v>
      </c>
      <c r="H30" s="1541" t="str">
        <f>H31</f>
        <v>NE</v>
      </c>
      <c r="I30" s="2894" t="str">
        <f>I31</f>
        <v>NE</v>
      </c>
    </row>
    <row r="31" spans="2:9" ht="18" customHeight="1" x14ac:dyDescent="0.2">
      <c r="B31" s="2891" t="s">
        <v>2257</v>
      </c>
      <c r="C31" s="162">
        <v>5.7957689178193696</v>
      </c>
      <c r="D31" s="116">
        <f t="shared" si="4"/>
        <v>3066.7999999999965</v>
      </c>
      <c r="E31" s="153" t="str">
        <f t="shared" si="5"/>
        <v>NA</v>
      </c>
      <c r="F31" s="153" t="str">
        <f t="shared" si="6"/>
        <v>NA</v>
      </c>
      <c r="G31" s="161">
        <v>17.774464117168424</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17961.246999999999</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35.259</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1991.5852901210501</v>
      </c>
      <c r="D10" s="3435">
        <v>1505.3796188665101</v>
      </c>
      <c r="E10" s="3435">
        <v>101.32729727568</v>
      </c>
      <c r="F10" s="3436">
        <f>(SUM(H10)-SUM(K10:L10))/C10</f>
        <v>5.0591203488460794E-2</v>
      </c>
      <c r="G10" s="3437">
        <f>SUM(I10:J10)/E10/(44/28)</f>
        <v>3.2591391426981583E-3</v>
      </c>
      <c r="H10" s="3434">
        <v>72.866856521286479</v>
      </c>
      <c r="I10" s="3223">
        <v>0.51894819550354176</v>
      </c>
      <c r="J10" s="3223" t="s">
        <v>2153</v>
      </c>
      <c r="K10" s="3438">
        <v>-27.889840155852795</v>
      </c>
      <c r="L10" s="2911" t="s">
        <v>2153</v>
      </c>
      <c r="M10"/>
      <c r="N10" s="1770" t="s">
        <v>1468</v>
      </c>
      <c r="O10" s="3440">
        <v>1</v>
      </c>
    </row>
    <row r="11" spans="1:15" ht="18" customHeight="1" x14ac:dyDescent="0.2">
      <c r="A11"/>
      <c r="B11" s="1749" t="s">
        <v>1383</v>
      </c>
      <c r="C11" s="3435">
        <v>1437.2092292468801</v>
      </c>
      <c r="D11" s="3435">
        <v>213.90957085717801</v>
      </c>
      <c r="E11" s="691" t="s">
        <v>2153</v>
      </c>
      <c r="F11" s="3162">
        <f>(SUM(H11)-SUM(K11:L11))/C11</f>
        <v>8.7435802681237837E-2</v>
      </c>
      <c r="G11" s="3162" t="s">
        <v>2147</v>
      </c>
      <c r="H11" s="691">
        <v>123.33528744630229</v>
      </c>
      <c r="I11" s="691" t="s">
        <v>2153</v>
      </c>
      <c r="J11" s="691" t="s">
        <v>2153</v>
      </c>
      <c r="K11" s="3147" t="s">
        <v>2153</v>
      </c>
      <c r="L11" s="2911">
        <v>-2.3282551337818442</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348075.40034182055</v>
      </c>
      <c r="D10" s="4213">
        <f t="shared" si="0"/>
        <v>5223.1347046389947</v>
      </c>
      <c r="E10" s="4213">
        <f t="shared" si="0"/>
        <v>65.372688299703469</v>
      </c>
      <c r="F10" s="4213">
        <f t="shared" si="0"/>
        <v>862.28099757385155</v>
      </c>
      <c r="G10" s="4213">
        <f t="shared" si="0"/>
        <v>1376.8283202008463</v>
      </c>
      <c r="H10" s="4213" t="str">
        <f>IF(SUM(H11,H22,H31,H42,H51)=0,"NO",SUM(H11,H22,H31,H42,H51))</f>
        <v>NO</v>
      </c>
      <c r="I10" s="4213">
        <f t="shared" ref="I10:N10" si="1">IF(SUM(I11,I22,I31,I42,I51)=0,"NO",SUM(I11,I22,I31,I42,I51))</f>
        <v>1.3869076742967539E-2</v>
      </c>
      <c r="J10" s="3834" t="str">
        <f t="shared" si="1"/>
        <v>NO</v>
      </c>
      <c r="K10" s="4213">
        <f t="shared" si="1"/>
        <v>2415.8479958636231</v>
      </c>
      <c r="L10" s="4213">
        <f t="shared" si="1"/>
        <v>25533.400643022367</v>
      </c>
      <c r="M10" s="4213">
        <f t="shared" si="1"/>
        <v>2179.9785258020406</v>
      </c>
      <c r="N10" s="4214">
        <f t="shared" si="1"/>
        <v>1673.3943705182146</v>
      </c>
      <c r="O10" s="3818">
        <f>IF(SUM(C10:J10)=0,"NO",SUM(C10,F10:H10)+28*SUM(D10)+265*SUM(E10)+23500*SUM(I10)+16100*SUM(J10))</f>
        <v>514211.96709236823</v>
      </c>
    </row>
    <row r="11" spans="1:15" ht="18" customHeight="1" x14ac:dyDescent="0.25">
      <c r="B11" s="1120" t="s">
        <v>1476</v>
      </c>
      <c r="C11" s="2552">
        <f>Table1!C10</f>
        <v>283311.20248621254</v>
      </c>
      <c r="D11" s="3810">
        <f>Table1!D10</f>
        <v>1306.6486982418119</v>
      </c>
      <c r="E11" s="3810">
        <f>Table1!E10</f>
        <v>8.0847487878292572</v>
      </c>
      <c r="F11" s="4215"/>
      <c r="G11" s="4215"/>
      <c r="H11" s="4216"/>
      <c r="I11" s="4215"/>
      <c r="J11" s="98"/>
      <c r="K11" s="3810">
        <f>Table1!F10</f>
        <v>1652.924535217124</v>
      </c>
      <c r="L11" s="3810">
        <f>Table1!G10</f>
        <v>5766.1930144113612</v>
      </c>
      <c r="M11" s="3810">
        <f>Table1!H10</f>
        <v>828.22109013997363</v>
      </c>
      <c r="N11" s="4217">
        <f>Table1!I10</f>
        <v>576.57997841780548</v>
      </c>
      <c r="O11" s="3781">
        <f t="shared" ref="O11:O58" si="2">IF(SUM(C11:J11)=0,"NO",SUM(C11,F11:H11)+28*SUM(D11)+265*SUM(E11)+23500*SUM(I11)+16100*SUM(J11))</f>
        <v>322039.82446575799</v>
      </c>
    </row>
    <row r="12" spans="1:15" ht="18" customHeight="1" x14ac:dyDescent="0.25">
      <c r="B12" s="1370" t="s">
        <v>1477</v>
      </c>
      <c r="C12" s="4218">
        <f>Table1!C11</f>
        <v>276250.48898081749</v>
      </c>
      <c r="D12" s="4219">
        <f>Table1!D11</f>
        <v>133.83324662665999</v>
      </c>
      <c r="E12" s="4219">
        <f>Table1!E11</f>
        <v>7.9688482584606941</v>
      </c>
      <c r="F12" s="69"/>
      <c r="G12" s="69"/>
      <c r="H12" s="69"/>
      <c r="I12" s="69"/>
      <c r="J12" s="69"/>
      <c r="K12" s="4219">
        <f>Table1!F11</f>
        <v>1649.3843202785431</v>
      </c>
      <c r="L12" s="4219">
        <f>Table1!G11</f>
        <v>5745.6591677675915</v>
      </c>
      <c r="M12" s="4219">
        <f>Table1!H11</f>
        <v>646.47806386988179</v>
      </c>
      <c r="N12" s="4220">
        <f>Table1!I11</f>
        <v>576.57997841780548</v>
      </c>
      <c r="O12" s="3782">
        <f t="shared" si="2"/>
        <v>282109.56467485608</v>
      </c>
    </row>
    <row r="13" spans="1:15" ht="18" customHeight="1" x14ac:dyDescent="0.25">
      <c r="B13" s="1371" t="s">
        <v>1478</v>
      </c>
      <c r="C13" s="4218">
        <f>Table1!C12</f>
        <v>157480.76333664168</v>
      </c>
      <c r="D13" s="4219">
        <f>Table1!D12</f>
        <v>6.537606403952398</v>
      </c>
      <c r="E13" s="4219">
        <f>Table1!E12</f>
        <v>1.7976662692551446</v>
      </c>
      <c r="F13" s="69"/>
      <c r="G13" s="69"/>
      <c r="H13" s="69"/>
      <c r="I13" s="69"/>
      <c r="J13" s="69"/>
      <c r="K13" s="4219">
        <f>Table1!F12</f>
        <v>515.26506912567743</v>
      </c>
      <c r="L13" s="4219">
        <f>Table1!G12</f>
        <v>80.333786283613918</v>
      </c>
      <c r="M13" s="4219">
        <f>Table1!H12</f>
        <v>12.040618818143038</v>
      </c>
      <c r="N13" s="4220">
        <f>Table1!I12</f>
        <v>441.12720574631055</v>
      </c>
      <c r="O13" s="3783">
        <f t="shared" si="2"/>
        <v>158140.19787730495</v>
      </c>
    </row>
    <row r="14" spans="1:15" ht="18" customHeight="1" x14ac:dyDescent="0.25">
      <c r="B14" s="1371" t="s">
        <v>1479</v>
      </c>
      <c r="C14" s="4218">
        <f>Table1!C16</f>
        <v>37242.617392116299</v>
      </c>
      <c r="D14" s="4221">
        <f>Table1!D16</f>
        <v>2.2323579497327772</v>
      </c>
      <c r="E14" s="4221">
        <f>Table1!E16</f>
        <v>1.2216233268319048</v>
      </c>
      <c r="F14" s="3784"/>
      <c r="G14" s="3784"/>
      <c r="H14" s="3784"/>
      <c r="I14" s="3784"/>
      <c r="J14" s="69"/>
      <c r="K14" s="4221">
        <f>Table1!F16</f>
        <v>492.02213159771236</v>
      </c>
      <c r="L14" s="4221">
        <f>Table1!G16</f>
        <v>167.68388390736553</v>
      </c>
      <c r="M14" s="4221">
        <f>Table1!H16</f>
        <v>73.259804850947958</v>
      </c>
      <c r="N14" s="4222">
        <f>Table1!I16</f>
        <v>96.50716325915495</v>
      </c>
      <c r="O14" s="3785">
        <f t="shared" si="2"/>
        <v>37628.85359631927</v>
      </c>
    </row>
    <row r="15" spans="1:15" ht="18" customHeight="1" x14ac:dyDescent="0.25">
      <c r="B15" s="1371" t="s">
        <v>1480</v>
      </c>
      <c r="C15" s="4218">
        <f>Table1!C24</f>
        <v>66233.065766620843</v>
      </c>
      <c r="D15" s="4219">
        <f>Table1!D24</f>
        <v>29.66892980636533</v>
      </c>
      <c r="E15" s="4219">
        <f>Table1!E24</f>
        <v>4.3475660104684701</v>
      </c>
      <c r="F15" s="69"/>
      <c r="G15" s="69"/>
      <c r="H15" s="69"/>
      <c r="I15" s="69"/>
      <c r="J15" s="69"/>
      <c r="K15" s="4219">
        <f>Table1!F24</f>
        <v>411.56417918837553</v>
      </c>
      <c r="L15" s="4219">
        <f>Table1!G24</f>
        <v>4382.9482761333502</v>
      </c>
      <c r="M15" s="4219">
        <f>Table1!H24</f>
        <v>398.89178688717482</v>
      </c>
      <c r="N15" s="4220">
        <f>Table1!I24</f>
        <v>31.913869123791272</v>
      </c>
      <c r="O15" s="3783">
        <f t="shared" si="2"/>
        <v>68215.900793973211</v>
      </c>
    </row>
    <row r="16" spans="1:15" ht="18" customHeight="1" x14ac:dyDescent="0.25">
      <c r="B16" s="1371" t="s">
        <v>1481</v>
      </c>
      <c r="C16" s="4218">
        <f>Table1!C30</f>
        <v>14604.090964802335</v>
      </c>
      <c r="D16" s="4219">
        <f>Table1!D30</f>
        <v>95.358090135267915</v>
      </c>
      <c r="E16" s="4219">
        <f>Table1!E30</f>
        <v>0.58303768417451862</v>
      </c>
      <c r="F16" s="69"/>
      <c r="G16" s="69"/>
      <c r="H16" s="69"/>
      <c r="I16" s="69"/>
      <c r="J16" s="69"/>
      <c r="K16" s="4219">
        <f>Table1!F30</f>
        <v>223.41227401516471</v>
      </c>
      <c r="L16" s="4219">
        <f>Table1!G30</f>
        <v>1108.8283097201702</v>
      </c>
      <c r="M16" s="4219">
        <f>Table1!H30</f>
        <v>161.68519135883366</v>
      </c>
      <c r="N16" s="4220">
        <f>Table1!I30</f>
        <v>6.7450949728672569</v>
      </c>
      <c r="O16" s="3783">
        <f t="shared" si="2"/>
        <v>17428.622474896085</v>
      </c>
    </row>
    <row r="17" spans="2:15" ht="18" customHeight="1" x14ac:dyDescent="0.25">
      <c r="B17" s="1371" t="s">
        <v>1482</v>
      </c>
      <c r="C17" s="4218">
        <f>Table1!C34</f>
        <v>689.95152063630871</v>
      </c>
      <c r="D17" s="4219">
        <f>Table1!D34</f>
        <v>3.6262331341550436E-2</v>
      </c>
      <c r="E17" s="4219">
        <f>Table1!E34</f>
        <v>1.8954967730655532E-2</v>
      </c>
      <c r="F17" s="69"/>
      <c r="G17" s="69"/>
      <c r="H17" s="69"/>
      <c r="I17" s="69"/>
      <c r="J17" s="69"/>
      <c r="K17" s="4219">
        <f>Table1!F34</f>
        <v>7.1206663516129032</v>
      </c>
      <c r="L17" s="4219">
        <f>Table1!G34</f>
        <v>5.8649117230914944</v>
      </c>
      <c r="M17" s="4219">
        <f>Table1!H34</f>
        <v>0.60066195478236784</v>
      </c>
      <c r="N17" s="4220">
        <f>Table1!I34</f>
        <v>0.28664531568146356</v>
      </c>
      <c r="O17" s="3783">
        <f t="shared" si="2"/>
        <v>695.98993236249578</v>
      </c>
    </row>
    <row r="18" spans="2:15" ht="18" customHeight="1" x14ac:dyDescent="0.25">
      <c r="B18" s="1370" t="s">
        <v>99</v>
      </c>
      <c r="C18" s="4223">
        <f>Table1!C37</f>
        <v>7060.7135053950406</v>
      </c>
      <c r="D18" s="4224">
        <f>Table1!D37</f>
        <v>1172.8154516151519</v>
      </c>
      <c r="E18" s="4224">
        <f>Table1!E37</f>
        <v>0.11590052936856374</v>
      </c>
      <c r="F18" s="69"/>
      <c r="G18" s="69"/>
      <c r="H18" s="69"/>
      <c r="I18" s="69"/>
      <c r="J18" s="69"/>
      <c r="K18" s="4224">
        <f>Table1!F37</f>
        <v>3.5402149385809434</v>
      </c>
      <c r="L18" s="4219">
        <f>Table1!G37</f>
        <v>20.533846643769468</v>
      </c>
      <c r="M18" s="4219">
        <f>Table1!H37</f>
        <v>181.74302627009183</v>
      </c>
      <c r="N18" s="4220" t="str">
        <f>Table1!I37</f>
        <v>NO</v>
      </c>
      <c r="O18" s="3783">
        <f t="shared" si="2"/>
        <v>39930.259790901968</v>
      </c>
    </row>
    <row r="19" spans="2:15" ht="18" customHeight="1" x14ac:dyDescent="0.25">
      <c r="B19" s="1371" t="s">
        <v>1483</v>
      </c>
      <c r="C19" s="4225">
        <f>Table1!C38</f>
        <v>1111.5267994507171</v>
      </c>
      <c r="D19" s="4226">
        <f>Table1!D38</f>
        <v>857.13278009731766</v>
      </c>
      <c r="E19" s="4224">
        <f>Table1!E38</f>
        <v>4.869435864353228E-6</v>
      </c>
      <c r="F19" s="69"/>
      <c r="G19" s="69"/>
      <c r="H19" s="69"/>
      <c r="I19" s="69"/>
      <c r="J19" s="69"/>
      <c r="K19" s="4224" t="str">
        <f>Table1!F38</f>
        <v>NO</v>
      </c>
      <c r="L19" s="4219" t="str">
        <f>Table1!G38</f>
        <v>NO</v>
      </c>
      <c r="M19" s="4219" t="str">
        <f>Table1!H38</f>
        <v>NO</v>
      </c>
      <c r="N19" s="4220" t="str">
        <f>Table1!I38</f>
        <v>NO</v>
      </c>
      <c r="O19" s="3783">
        <f t="shared" si="2"/>
        <v>25111.245932576116</v>
      </c>
    </row>
    <row r="20" spans="2:15" ht="18" customHeight="1" x14ac:dyDescent="0.25">
      <c r="B20" s="1372" t="s">
        <v>1484</v>
      </c>
      <c r="C20" s="4225">
        <f>Table1!C42</f>
        <v>5949.1867059443239</v>
      </c>
      <c r="D20" s="4227">
        <f>Table1!D42</f>
        <v>315.68267151783425</v>
      </c>
      <c r="E20" s="4224">
        <f>Table1!E42</f>
        <v>0.11589565993269939</v>
      </c>
      <c r="F20" s="3784"/>
      <c r="G20" s="3784"/>
      <c r="H20" s="3784"/>
      <c r="I20" s="3784"/>
      <c r="J20" s="69"/>
      <c r="K20" s="4224">
        <f>Table1!F42</f>
        <v>3.5402149385809434</v>
      </c>
      <c r="L20" s="4221">
        <f>Table1!G42</f>
        <v>20.533846643769468</v>
      </c>
      <c r="M20" s="4221">
        <f>Table1!H42</f>
        <v>181.74302627009183</v>
      </c>
      <c r="N20" s="4222" t="str">
        <f>Table1!I42</f>
        <v>NO</v>
      </c>
      <c r="O20" s="3785">
        <f t="shared" si="2"/>
        <v>14819.01385832585</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20744.892915963468</v>
      </c>
      <c r="D22" s="4230">
        <f>'Table2(I)'!D10</f>
        <v>3.9338473991294824</v>
      </c>
      <c r="E22" s="4231">
        <f>'Table2(I)'!E10</f>
        <v>4.6579253291241027</v>
      </c>
      <c r="F22" s="3810">
        <f>'Table2(I)'!F10</f>
        <v>862.28099757385155</v>
      </c>
      <c r="G22" s="3810">
        <f>'Table2(I)'!G10</f>
        <v>1376.8283202008463</v>
      </c>
      <c r="H22" s="3810" t="str">
        <f>'Table2(I)'!H10</f>
        <v>NO</v>
      </c>
      <c r="I22" s="3810">
        <f>'Table2(I)'!I10</f>
        <v>1.3869076742967539E-2</v>
      </c>
      <c r="J22" s="3810" t="str">
        <f>'Table2(I)'!J10</f>
        <v>NO</v>
      </c>
      <c r="K22" s="3810">
        <f>'Table2(I)'!K10</f>
        <v>20.379696415737317</v>
      </c>
      <c r="L22" s="3810">
        <f>'Table2(I)'!L10</f>
        <v>9.4490947036275976</v>
      </c>
      <c r="M22" s="3810">
        <f>'Table2(I)'!M10</f>
        <v>229.91726007503567</v>
      </c>
      <c r="N22" s="4217">
        <f>'Table2(I)'!N10</f>
        <v>1096.8143921004091</v>
      </c>
      <c r="O22" s="3781">
        <f t="shared" si="2"/>
        <v>24654.423476591419</v>
      </c>
    </row>
    <row r="23" spans="2:15" ht="18" customHeight="1" x14ac:dyDescent="0.25">
      <c r="B23" s="1133" t="s">
        <v>1487</v>
      </c>
      <c r="C23" s="4232">
        <f>'Table2(I)'!C11</f>
        <v>5826.2709371596793</v>
      </c>
      <c r="D23" s="3789"/>
      <c r="E23" s="98"/>
      <c r="F23" s="98"/>
      <c r="G23" s="98"/>
      <c r="H23" s="98"/>
      <c r="I23" s="98"/>
      <c r="J23" s="69"/>
      <c r="K23" s="4233" t="str">
        <f>'Table2(I)'!K11</f>
        <v>NO</v>
      </c>
      <c r="L23" s="4233" t="str">
        <f>'Table2(I)'!L11</f>
        <v>NO</v>
      </c>
      <c r="M23" s="4233" t="str">
        <f>'Table2(I)'!M11</f>
        <v>NO</v>
      </c>
      <c r="N23" s="4234" t="str">
        <f>'Table2(I)'!N11</f>
        <v>NO</v>
      </c>
      <c r="O23" s="3782">
        <f t="shared" si="2"/>
        <v>5826.2709371596793</v>
      </c>
    </row>
    <row r="24" spans="2:15" ht="18" customHeight="1" x14ac:dyDescent="0.25">
      <c r="B24" s="1133" t="s">
        <v>621</v>
      </c>
      <c r="C24" s="4232">
        <f>'Table2(I)'!C16</f>
        <v>1426.6149132761363</v>
      </c>
      <c r="D24" s="4235">
        <f>'Table2(I)'!D16</f>
        <v>0.52038379999999995</v>
      </c>
      <c r="E24" s="4236">
        <f>'Table2(I)'!E16</f>
        <v>4.5844841264516134</v>
      </c>
      <c r="F24" s="4219">
        <f>'Table2(I)'!F16</f>
        <v>761.85600000000011</v>
      </c>
      <c r="G24" s="4219" t="str">
        <f>'Table2(I)'!G16</f>
        <v>NO</v>
      </c>
      <c r="H24" s="4219" t="str">
        <f>'Table2(I)'!H16</f>
        <v>NO</v>
      </c>
      <c r="I24" s="4219" t="str">
        <f>'Table2(I)'!I16</f>
        <v>NO</v>
      </c>
      <c r="J24" s="616" t="str">
        <f>'Table2(I)'!J16</f>
        <v>NO</v>
      </c>
      <c r="K24" s="4219" t="str">
        <f>'Table2(I)'!K16</f>
        <v>NO</v>
      </c>
      <c r="L24" s="4219" t="str">
        <f>'Table2(I)'!L16</f>
        <v>NO</v>
      </c>
      <c r="M24" s="4219">
        <f>'Table2(I)'!M16</f>
        <v>4.9241375539999996</v>
      </c>
      <c r="N24" s="4220" t="str">
        <f>'Table2(I)'!N16</f>
        <v>NO</v>
      </c>
      <c r="O24" s="3783">
        <f t="shared" si="2"/>
        <v>3417.9299531858142</v>
      </c>
    </row>
    <row r="25" spans="2:15" ht="18" customHeight="1" x14ac:dyDescent="0.25">
      <c r="B25" s="1133" t="s">
        <v>459</v>
      </c>
      <c r="C25" s="4232">
        <f>'Table2(I)'!C27</f>
        <v>13085.711804528275</v>
      </c>
      <c r="D25" s="4235">
        <f>'Table2(I)'!D27</f>
        <v>3.4134635991294826</v>
      </c>
      <c r="E25" s="4236">
        <f>'Table2(I)'!E27</f>
        <v>7.3441202672488951E-2</v>
      </c>
      <c r="F25" s="4219" t="str">
        <f>'Table2(I)'!F27</f>
        <v>NO</v>
      </c>
      <c r="G25" s="4219">
        <f>'Table2(I)'!G27</f>
        <v>1376.8283202008463</v>
      </c>
      <c r="H25" s="4219" t="str">
        <f>'Table2(I)'!H27</f>
        <v>NO</v>
      </c>
      <c r="I25" s="4219" t="str">
        <f>'Table2(I)'!I27</f>
        <v>NO</v>
      </c>
      <c r="J25" s="4219" t="str">
        <f>'Table2(I)'!J27</f>
        <v>NO</v>
      </c>
      <c r="K25" s="4219">
        <f>'Table2(I)'!K27</f>
        <v>20.379696415737317</v>
      </c>
      <c r="L25" s="4219">
        <f>'Table2(I)'!L27</f>
        <v>9.4490947036275976</v>
      </c>
      <c r="M25" s="4219">
        <f>'Table2(I)'!M27</f>
        <v>9.042125179274664E-2</v>
      </c>
      <c r="N25" s="4220">
        <f>'Table2(I)'!N27</f>
        <v>1096.8143921004091</v>
      </c>
      <c r="O25" s="3783">
        <f t="shared" si="2"/>
        <v>14577.579024212957</v>
      </c>
    </row>
    <row r="26" spans="2:15" ht="18" customHeight="1" x14ac:dyDescent="0.25">
      <c r="B26" s="1133" t="s">
        <v>1488</v>
      </c>
      <c r="C26" s="4232">
        <f>'Table2(I)'!C35</f>
        <v>267.44714449999998</v>
      </c>
      <c r="D26" s="3790" t="str">
        <f>'Table2(I)'!D35</f>
        <v>NO</v>
      </c>
      <c r="E26" s="616" t="str">
        <f>'Table2(I)'!E35</f>
        <v>NO</v>
      </c>
      <c r="F26" s="69"/>
      <c r="G26" s="69"/>
      <c r="H26" s="69"/>
      <c r="I26" s="69"/>
      <c r="J26" s="69"/>
      <c r="K26" s="616" t="str">
        <f>'Table2(I)'!K35</f>
        <v>NO</v>
      </c>
      <c r="L26" s="4236" t="str">
        <f>'Table2(I)'!L35</f>
        <v>NO</v>
      </c>
      <c r="M26" s="4236">
        <f>'Table2(I)'!M35</f>
        <v>172.18476326924292</v>
      </c>
      <c r="N26" s="4237" t="str">
        <f>'Table2(I)'!N35</f>
        <v>NO</v>
      </c>
      <c r="O26" s="3783">
        <f t="shared" si="2"/>
        <v>267.44714449999998</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100.42499757385144</v>
      </c>
      <c r="G28" s="4221" t="str">
        <f>'Table2(I)'!G45</f>
        <v>NO</v>
      </c>
      <c r="H28" s="4221" t="str">
        <f>'Table2(I)'!H45</f>
        <v>NO</v>
      </c>
      <c r="I28" s="4221" t="str">
        <f>'Table2(I)'!I45</f>
        <v>NO</v>
      </c>
      <c r="J28" s="4221" t="str">
        <f>'Table2(I)'!J45</f>
        <v>NO</v>
      </c>
      <c r="K28" s="3784"/>
      <c r="L28" s="3784"/>
      <c r="M28" s="3784"/>
      <c r="N28" s="3793"/>
      <c r="O28" s="3785">
        <f t="shared" si="2"/>
        <v>100.42499757385144</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1.3869076742967539E-2</v>
      </c>
      <c r="J29" s="616" t="str">
        <f>'Table2(I)'!J52</f>
        <v>NO</v>
      </c>
      <c r="K29" s="3796" t="str">
        <f>'Table2(I)'!K52</f>
        <v>NO</v>
      </c>
      <c r="L29" s="3796" t="str">
        <f>'Table2(I)'!L52</f>
        <v>NO</v>
      </c>
      <c r="M29" s="3796" t="str">
        <f>'Table2(I)'!M52</f>
        <v>NO</v>
      </c>
      <c r="N29" s="3797" t="str">
        <f>'Table2(I)'!N52</f>
        <v>NO</v>
      </c>
      <c r="O29" s="3785">
        <f t="shared" si="2"/>
        <v>325.92330345973716</v>
      </c>
    </row>
    <row r="30" spans="2:15" ht="18" customHeight="1" thickBot="1" x14ac:dyDescent="0.3">
      <c r="B30" s="1375" t="s">
        <v>2040</v>
      </c>
      <c r="C30" s="4239">
        <f>'Table2(I)'!C57</f>
        <v>138.84811649937512</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52.717937999999997</v>
      </c>
      <c r="N30" s="4242" t="str">
        <f>'Table2(I)'!N57</f>
        <v>NA</v>
      </c>
      <c r="O30" s="3798">
        <f t="shared" si="2"/>
        <v>138.84811649937512</v>
      </c>
    </row>
    <row r="31" spans="2:15" ht="18" customHeight="1" x14ac:dyDescent="0.25">
      <c r="B31" s="1134" t="s">
        <v>1491</v>
      </c>
      <c r="C31" s="3817">
        <f>Table3!C10</f>
        <v>919.39740653519459</v>
      </c>
      <c r="D31" s="3799">
        <f>Table3!D10</f>
        <v>2542.8701821792915</v>
      </c>
      <c r="E31" s="3800">
        <f>Table3!E10</f>
        <v>38.335436661842564</v>
      </c>
      <c r="F31" s="3801"/>
      <c r="G31" s="3801"/>
      <c r="H31" s="3801"/>
      <c r="I31" s="3801"/>
      <c r="J31" s="3801"/>
      <c r="K31" s="4243">
        <f>Table3!F10</f>
        <v>19.75023552987069</v>
      </c>
      <c r="L31" s="4243">
        <f>Table3!G10</f>
        <v>332.18476505861963</v>
      </c>
      <c r="M31" s="4243">
        <f>Table3!H10</f>
        <v>19.377444628419475</v>
      </c>
      <c r="N31" s="4244" t="str">
        <f>Table3!I10</f>
        <v>NO</v>
      </c>
      <c r="O31" s="3782">
        <f t="shared" si="2"/>
        <v>82278.653222943627</v>
      </c>
    </row>
    <row r="32" spans="2:15" ht="18" customHeight="1" x14ac:dyDescent="0.25">
      <c r="B32" s="4245" t="s">
        <v>1492</v>
      </c>
      <c r="C32" s="3791"/>
      <c r="D32" s="4246">
        <f>Table3!D11</f>
        <v>2289.6462764881235</v>
      </c>
      <c r="E32" s="98"/>
      <c r="F32" s="3802"/>
      <c r="G32" s="3802"/>
      <c r="H32" s="3789"/>
      <c r="I32" s="3802"/>
      <c r="J32" s="3789"/>
      <c r="K32" s="98"/>
      <c r="L32" s="98"/>
      <c r="M32" s="98"/>
      <c r="N32" s="3803"/>
      <c r="O32" s="3782">
        <f t="shared" si="2"/>
        <v>64110.095741667457</v>
      </c>
    </row>
    <row r="33" spans="2:15" ht="18" customHeight="1" x14ac:dyDescent="0.25">
      <c r="B33" s="4245" t="s">
        <v>1493</v>
      </c>
      <c r="C33" s="3791"/>
      <c r="D33" s="4226">
        <f>Table3!D20</f>
        <v>223.31824091348565</v>
      </c>
      <c r="E33" s="4226">
        <f>Table3!E20</f>
        <v>0.9623384755779818</v>
      </c>
      <c r="F33" s="3802"/>
      <c r="G33" s="3802"/>
      <c r="H33" s="3802"/>
      <c r="I33" s="3802"/>
      <c r="J33" s="3802"/>
      <c r="K33" s="69"/>
      <c r="L33" s="69"/>
      <c r="M33" s="4247" t="str">
        <f>Table3!H20</f>
        <v>NE</v>
      </c>
      <c r="N33" s="3804"/>
      <c r="O33" s="3783">
        <f t="shared" si="2"/>
        <v>6507.9304416057639</v>
      </c>
    </row>
    <row r="34" spans="2:15" ht="18" customHeight="1" x14ac:dyDescent="0.25">
      <c r="B34" s="4245" t="s">
        <v>1494</v>
      </c>
      <c r="C34" s="3791"/>
      <c r="D34" s="4226">
        <f>Table3!D31</f>
        <v>21.388106699256326</v>
      </c>
      <c r="E34" s="69"/>
      <c r="F34" s="3802"/>
      <c r="G34" s="3802"/>
      <c r="H34" s="3802"/>
      <c r="I34" s="3802"/>
      <c r="J34" s="3802"/>
      <c r="K34" s="69"/>
      <c r="L34" s="69"/>
      <c r="M34" s="4247" t="str">
        <f>Table3!H31</f>
        <v>NE</v>
      </c>
      <c r="N34" s="3804"/>
      <c r="O34" s="3783">
        <f t="shared" si="2"/>
        <v>598.86698757917713</v>
      </c>
    </row>
    <row r="35" spans="2:15" ht="18" customHeight="1" x14ac:dyDescent="0.25">
      <c r="B35" s="4245" t="s">
        <v>1495</v>
      </c>
      <c r="C35" s="4248"/>
      <c r="D35" s="4226" t="str">
        <f>Table3!D32</f>
        <v>NE</v>
      </c>
      <c r="E35" s="4226">
        <f>Table3!E32</f>
        <v>37.031251459494982</v>
      </c>
      <c r="F35" s="3802"/>
      <c r="G35" s="3802"/>
      <c r="H35" s="3802"/>
      <c r="I35" s="3802"/>
      <c r="J35" s="3802"/>
      <c r="K35" s="4247" t="str">
        <f>Table3!F32</f>
        <v>NO</v>
      </c>
      <c r="L35" s="4247" t="str">
        <f>Table3!G32</f>
        <v>NO</v>
      </c>
      <c r="M35" s="4247" t="str">
        <f>Table3!H32</f>
        <v>NO</v>
      </c>
      <c r="N35" s="3804"/>
      <c r="O35" s="3783">
        <f t="shared" si="2"/>
        <v>9813.2816367661708</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8.5175580784261431</v>
      </c>
      <c r="E37" s="4226">
        <f>Table3!E43</f>
        <v>0.34184672676960448</v>
      </c>
      <c r="F37" s="3802"/>
      <c r="G37" s="3802"/>
      <c r="H37" s="3802"/>
      <c r="I37" s="3802"/>
      <c r="J37" s="3802"/>
      <c r="K37" s="4247">
        <f>Table3!F43</f>
        <v>19.75023552987069</v>
      </c>
      <c r="L37" s="4247">
        <f>Table3!G43</f>
        <v>332.18476505861963</v>
      </c>
      <c r="M37" s="4247">
        <f>Table3!H43</f>
        <v>19.377444628419475</v>
      </c>
      <c r="N37" s="4247" t="str">
        <f>Table3!I43</f>
        <v>NO</v>
      </c>
      <c r="O37" s="3783">
        <f t="shared" si="2"/>
        <v>329.08100878987722</v>
      </c>
    </row>
    <row r="38" spans="2:15" ht="18" customHeight="1" x14ac:dyDescent="0.25">
      <c r="B38" s="4249" t="s">
        <v>721</v>
      </c>
      <c r="C38" s="3794">
        <f>Table3!C44</f>
        <v>439.54233407142647</v>
      </c>
      <c r="D38" s="4250"/>
      <c r="E38" s="4250"/>
      <c r="F38" s="3792"/>
      <c r="G38" s="3792"/>
      <c r="H38" s="3792"/>
      <c r="I38" s="3792"/>
      <c r="J38" s="3792"/>
      <c r="K38" s="3805"/>
      <c r="L38" s="3805"/>
      <c r="M38" s="3805"/>
      <c r="N38" s="3793"/>
      <c r="O38" s="3785">
        <f t="shared" si="2"/>
        <v>439.54233407142647</v>
      </c>
    </row>
    <row r="39" spans="2:15" ht="18" customHeight="1" x14ac:dyDescent="0.25">
      <c r="B39" s="4249" t="s">
        <v>722</v>
      </c>
      <c r="C39" s="3806">
        <f>Table3!C45</f>
        <v>479.85507246376812</v>
      </c>
      <c r="D39" s="4250"/>
      <c r="E39" s="4250"/>
      <c r="F39" s="3792"/>
      <c r="G39" s="3792"/>
      <c r="H39" s="3792"/>
      <c r="I39" s="3792"/>
      <c r="J39" s="3792"/>
      <c r="K39" s="3805"/>
      <c r="L39" s="3805"/>
      <c r="M39" s="3805"/>
      <c r="N39" s="3793"/>
      <c r="O39" s="3785">
        <f t="shared" si="2"/>
        <v>479.85507246376812</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43019.814255361678</v>
      </c>
      <c r="D42" s="3809">
        <f>Table4!D10</f>
        <v>589.62938766251364</v>
      </c>
      <c r="E42" s="3810">
        <f>Table4!E10</f>
        <v>13.607801100295523</v>
      </c>
      <c r="F42" s="3801"/>
      <c r="G42" s="3801"/>
      <c r="H42" s="3801"/>
      <c r="I42" s="3801"/>
      <c r="J42" s="3801"/>
      <c r="K42" s="4253">
        <f>Table4!F10</f>
        <v>722.79352870089099</v>
      </c>
      <c r="L42" s="4253">
        <f>Table4!G10</f>
        <v>19425.573768848761</v>
      </c>
      <c r="M42" s="4253">
        <f>Table4!H10</f>
        <v>657.19907433649882</v>
      </c>
      <c r="N42" s="4254" t="str">
        <f>N50</f>
        <v>NO</v>
      </c>
      <c r="O42" s="3781">
        <f t="shared" si="2"/>
        <v>63135.504401490376</v>
      </c>
    </row>
    <row r="43" spans="2:15" ht="18" customHeight="1" x14ac:dyDescent="0.25">
      <c r="B43" s="4245" t="s">
        <v>2042</v>
      </c>
      <c r="C43" s="4255">
        <f>Table4!C11</f>
        <v>-20875.51926770695</v>
      </c>
      <c r="D43" s="4256">
        <f>Table4!D11</f>
        <v>222.64323922745271</v>
      </c>
      <c r="E43" s="4257">
        <f>Table4!E11</f>
        <v>4.531344016077635</v>
      </c>
      <c r="F43" s="3792"/>
      <c r="G43" s="3792"/>
      <c r="H43" s="3792"/>
      <c r="I43" s="3792"/>
      <c r="J43" s="3792"/>
      <c r="K43" s="4247">
        <f>Table4!F11</f>
        <v>220.64661926123219</v>
      </c>
      <c r="L43" s="4247">
        <f>Table4!G11</f>
        <v>6099.1398103653446</v>
      </c>
      <c r="M43" s="4247">
        <f>Table4!H11</f>
        <v>254.54758024513916</v>
      </c>
      <c r="N43" s="3811"/>
      <c r="O43" s="3812">
        <f t="shared" si="2"/>
        <v>-13440.702405077702</v>
      </c>
    </row>
    <row r="44" spans="2:15" ht="18" customHeight="1" x14ac:dyDescent="0.25">
      <c r="B44" s="4245" t="s">
        <v>2043</v>
      </c>
      <c r="C44" s="4255">
        <f>Table4!C14</f>
        <v>12887.613706553717</v>
      </c>
      <c r="D44" s="4258">
        <f>Table4!D14</f>
        <v>6.0704136000000002</v>
      </c>
      <c r="E44" s="4258">
        <f>Table4!E14</f>
        <v>0.25520864831611695</v>
      </c>
      <c r="F44" s="3802"/>
      <c r="G44" s="3802"/>
      <c r="H44" s="3802"/>
      <c r="I44" s="3802"/>
      <c r="J44" s="3802"/>
      <c r="K44" s="4247">
        <f>Table4!F14</f>
        <v>4.5708769071428579</v>
      </c>
      <c r="L44" s="4247">
        <f>Table4!G14</f>
        <v>179.02099366666667</v>
      </c>
      <c r="M44" s="4247">
        <f>Table4!H14</f>
        <v>21.639900333333333</v>
      </c>
      <c r="N44" s="4259"/>
      <c r="O44" s="3783">
        <f t="shared" si="2"/>
        <v>13125.215579157488</v>
      </c>
    </row>
    <row r="45" spans="2:15" ht="18" customHeight="1" x14ac:dyDescent="0.25">
      <c r="B45" s="4245" t="s">
        <v>2044</v>
      </c>
      <c r="C45" s="4255">
        <f>Table4!C17</f>
        <v>52838.478964578324</v>
      </c>
      <c r="D45" s="4258">
        <f>Table4!D17</f>
        <v>282.14195655377739</v>
      </c>
      <c r="E45" s="4258">
        <f>Table4!E17</f>
        <v>8.5114766360509773</v>
      </c>
      <c r="F45" s="3802"/>
      <c r="G45" s="3802"/>
      <c r="H45" s="3802"/>
      <c r="I45" s="3802"/>
      <c r="J45" s="3802"/>
      <c r="K45" s="4247">
        <f>Table4!F17</f>
        <v>481.41721287741592</v>
      </c>
      <c r="L45" s="4247">
        <f>Table4!G17</f>
        <v>12717.002870640434</v>
      </c>
      <c r="M45" s="4247">
        <f>Table4!H17</f>
        <v>367.42061088599371</v>
      </c>
      <c r="N45" s="4259"/>
      <c r="O45" s="3783">
        <f t="shared" si="2"/>
        <v>62993.995056637599</v>
      </c>
    </row>
    <row r="46" spans="2:15" ht="18" customHeight="1" x14ac:dyDescent="0.25">
      <c r="B46" s="4245" t="s">
        <v>2045</v>
      </c>
      <c r="C46" s="4255">
        <f>Table4!C20</f>
        <v>420.85388622961864</v>
      </c>
      <c r="D46" s="4258">
        <f>Table4!D20</f>
        <v>75.018783881283582</v>
      </c>
      <c r="E46" s="4258">
        <f>Table4!E20</f>
        <v>0.18433889691286789</v>
      </c>
      <c r="F46" s="3802"/>
      <c r="G46" s="3802"/>
      <c r="H46" s="3802"/>
      <c r="I46" s="3802"/>
      <c r="J46" s="3802"/>
      <c r="K46" s="4247">
        <f>Table4!F20</f>
        <v>13.331398276528654</v>
      </c>
      <c r="L46" s="4247">
        <f>Table4!G20</f>
        <v>319.67252784297966</v>
      </c>
      <c r="M46" s="4247">
        <f>Table4!H20</f>
        <v>0.20512320536591189</v>
      </c>
      <c r="N46" s="4259"/>
      <c r="O46" s="3783">
        <f t="shared" si="2"/>
        <v>2570.2296425874692</v>
      </c>
    </row>
    <row r="47" spans="2:15" ht="18" customHeight="1" x14ac:dyDescent="0.25">
      <c r="B47" s="4245" t="s">
        <v>2046</v>
      </c>
      <c r="C47" s="4255">
        <f>Table4!C23</f>
        <v>5259.0434028994623</v>
      </c>
      <c r="D47" s="4258">
        <f>Table4!D23</f>
        <v>3.7549944000000002</v>
      </c>
      <c r="E47" s="4260">
        <f>Table4!E23</f>
        <v>9.1346810080783714E-2</v>
      </c>
      <c r="F47" s="3802"/>
      <c r="G47" s="3802"/>
      <c r="H47" s="3802"/>
      <c r="I47" s="3802"/>
      <c r="J47" s="3802"/>
      <c r="K47" s="4247">
        <f>Table4!F23</f>
        <v>2.8274213785714286</v>
      </c>
      <c r="L47" s="4247">
        <f>Table4!G23</f>
        <v>110.73756633333332</v>
      </c>
      <c r="M47" s="4247">
        <f>Table4!H23</f>
        <v>13.385859666666668</v>
      </c>
      <c r="N47" s="1838"/>
      <c r="O47" s="3783">
        <f t="shared" si="2"/>
        <v>5388.3901507708697</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-7510.6564371924978</v>
      </c>
      <c r="D49" s="3792"/>
      <c r="E49" s="3792"/>
      <c r="F49" s="3792"/>
      <c r="G49" s="3792"/>
      <c r="H49" s="3792"/>
      <c r="I49" s="3792"/>
      <c r="J49" s="3792"/>
      <c r="K49" s="3792"/>
      <c r="L49" s="3792"/>
      <c r="M49" s="3792"/>
      <c r="N49" s="3814"/>
      <c r="O49" s="3785">
        <f t="shared" si="2"/>
        <v>-7510.6564371924978</v>
      </c>
    </row>
    <row r="50" spans="2:15" ht="18" customHeight="1" thickBot="1" x14ac:dyDescent="0.3">
      <c r="B50" s="4251" t="s">
        <v>2049</v>
      </c>
      <c r="C50" s="4264" t="str">
        <f>Table4!C30</f>
        <v>NO</v>
      </c>
      <c r="D50" s="4265" t="str">
        <f>Table4!D30</f>
        <v>NO</v>
      </c>
      <c r="E50" s="4265">
        <f>Table4!E30</f>
        <v>3.4086092857142862E-2</v>
      </c>
      <c r="F50" s="3807"/>
      <c r="G50" s="3807"/>
      <c r="H50" s="3807"/>
      <c r="I50" s="3807"/>
      <c r="J50" s="3807"/>
      <c r="K50" s="4266" t="str">
        <f>Table4!F30</f>
        <v>NO</v>
      </c>
      <c r="L50" s="4266" t="str">
        <f>Table4!G30</f>
        <v>NO</v>
      </c>
      <c r="M50" s="4266" t="str">
        <f>Table4!H30</f>
        <v>NO</v>
      </c>
      <c r="N50" s="4266" t="s">
        <v>2146</v>
      </c>
      <c r="O50" s="3798">
        <f t="shared" si="2"/>
        <v>9.0328146071428588</v>
      </c>
    </row>
    <row r="51" spans="2:15" ht="18" customHeight="1" x14ac:dyDescent="0.25">
      <c r="B51" s="1377" t="s">
        <v>1500</v>
      </c>
      <c r="C51" s="3815">
        <f>Table5!C10</f>
        <v>80.09327774765265</v>
      </c>
      <c r="D51" s="3799">
        <f>Table5!D10</f>
        <v>780.05258915624881</v>
      </c>
      <c r="E51" s="3800">
        <f>Table5!E10</f>
        <v>0.68677642061202049</v>
      </c>
      <c r="F51" s="3801"/>
      <c r="G51" s="3801"/>
      <c r="H51" s="3801"/>
      <c r="I51" s="3801"/>
      <c r="J51" s="3801"/>
      <c r="K51" s="4243" t="str">
        <f>Table5!F10</f>
        <v>NO</v>
      </c>
      <c r="L51" s="4243" t="str">
        <f>Table5!G10</f>
        <v>NO</v>
      </c>
      <c r="M51" s="4243">
        <f>Table5!H10</f>
        <v>445.26365662211305</v>
      </c>
      <c r="N51" s="4244" t="str">
        <f>Table5!I10</f>
        <v>NO</v>
      </c>
      <c r="O51" s="4267">
        <f t="shared" si="2"/>
        <v>22103.561525584806</v>
      </c>
    </row>
    <row r="52" spans="2:15" ht="18" customHeight="1" x14ac:dyDescent="0.25">
      <c r="B52" s="4245" t="s">
        <v>2050</v>
      </c>
      <c r="C52" s="4248"/>
      <c r="D52" s="4246">
        <f>Table5!D11</f>
        <v>582.74333473000002</v>
      </c>
      <c r="E52" s="3816"/>
      <c r="F52" s="3801"/>
      <c r="G52" s="3801"/>
      <c r="H52" s="3801"/>
      <c r="I52" s="3801"/>
      <c r="J52" s="3801"/>
      <c r="K52" s="4247" t="str">
        <f>Table5!F11</f>
        <v>NO</v>
      </c>
      <c r="L52" s="4247" t="str">
        <f>Table5!G11</f>
        <v>NO</v>
      </c>
      <c r="M52" s="4247">
        <f>Table5!H11</f>
        <v>2.7160311856973256</v>
      </c>
      <c r="N52" s="3803"/>
      <c r="O52" s="4267">
        <f t="shared" si="2"/>
        <v>16316.81337244</v>
      </c>
    </row>
    <row r="53" spans="2:15" ht="18" customHeight="1" x14ac:dyDescent="0.25">
      <c r="B53" s="4245" t="s">
        <v>1501</v>
      </c>
      <c r="C53" s="4248"/>
      <c r="D53" s="4246">
        <f>Table5!D15</f>
        <v>1.0144392586599897</v>
      </c>
      <c r="E53" s="4246">
        <f>Table5!E15</f>
        <v>0.12984822510847871</v>
      </c>
      <c r="F53" s="3802"/>
      <c r="G53" s="3802"/>
      <c r="H53" s="3802"/>
      <c r="I53" s="3802"/>
      <c r="J53" s="3802"/>
      <c r="K53" s="4247" t="str">
        <f>Table5!F15</f>
        <v>NA,NE</v>
      </c>
      <c r="L53" s="4247" t="str">
        <f>Table5!G15</f>
        <v>NA,NE</v>
      </c>
      <c r="M53" s="4247" t="str">
        <f>Table5!H15</f>
        <v>NA,NE</v>
      </c>
      <c r="N53" s="3803"/>
      <c r="O53" s="3782">
        <f t="shared" si="2"/>
        <v>62.814078896226576</v>
      </c>
    </row>
    <row r="54" spans="2:15" ht="18" customHeight="1" x14ac:dyDescent="0.25">
      <c r="B54" s="4245" t="s">
        <v>2051</v>
      </c>
      <c r="C54" s="4268">
        <f>Table5!C18</f>
        <v>80.09327774765265</v>
      </c>
      <c r="D54" s="4226">
        <f>Table5!D18</f>
        <v>9.2671199999999995E-2</v>
      </c>
      <c r="E54" s="4226">
        <f>Table5!E18</f>
        <v>3.7979999999999993E-2</v>
      </c>
      <c r="F54" s="3802"/>
      <c r="G54" s="3802"/>
      <c r="H54" s="3802"/>
      <c r="I54" s="3802"/>
      <c r="J54" s="3802"/>
      <c r="K54" s="4247" t="str">
        <f>Table5!F18</f>
        <v>NA</v>
      </c>
      <c r="L54" s="4247" t="str">
        <f>Table5!G18</f>
        <v>NA</v>
      </c>
      <c r="M54" s="4247" t="str">
        <f>Table5!H18</f>
        <v>NA</v>
      </c>
      <c r="N54" s="4269" t="str">
        <f>Table5!I18</f>
        <v>NA</v>
      </c>
      <c r="O54" s="4270">
        <f t="shared" si="2"/>
        <v>92.752771347652654</v>
      </c>
    </row>
    <row r="55" spans="2:15" ht="18" customHeight="1" x14ac:dyDescent="0.25">
      <c r="B55" s="4245" t="s">
        <v>1502</v>
      </c>
      <c r="C55" s="3791"/>
      <c r="D55" s="4226">
        <f>Table5!D21</f>
        <v>196.20214396758877</v>
      </c>
      <c r="E55" s="4226">
        <f>Table5!E21</f>
        <v>0.51894819550354176</v>
      </c>
      <c r="F55" s="3802"/>
      <c r="G55" s="3802"/>
      <c r="H55" s="3802"/>
      <c r="I55" s="3802"/>
      <c r="J55" s="3802"/>
      <c r="K55" s="4247" t="str">
        <f>Table5!F21</f>
        <v>NO</v>
      </c>
      <c r="L55" s="4247" t="str">
        <f>Table5!G21</f>
        <v>NO</v>
      </c>
      <c r="M55" s="4247">
        <f>Table5!H21</f>
        <v>442.54762543641573</v>
      </c>
      <c r="N55" s="3803"/>
      <c r="O55" s="4270">
        <f t="shared" si="2"/>
        <v>5631.1813029009245</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8613.7479999999996</v>
      </c>
      <c r="D61" s="3820">
        <f>Table1!D52</f>
        <v>0.26991230666666666</v>
      </c>
      <c r="E61" s="3820">
        <f>Table1!E52</f>
        <v>0.10483241108070175</v>
      </c>
      <c r="F61" s="628"/>
      <c r="G61" s="628"/>
      <c r="H61" s="628"/>
      <c r="I61" s="628"/>
      <c r="J61" s="628"/>
      <c r="K61" s="3820">
        <f>Table1!F52</f>
        <v>101.37186230385964</v>
      </c>
      <c r="L61" s="3820">
        <f>Table1!G52</f>
        <v>11.750106553684212</v>
      </c>
      <c r="M61" s="3820">
        <f>Table1!H52</f>
        <v>6.7446519784561403</v>
      </c>
      <c r="N61" s="3821">
        <f>Table1!I52</f>
        <v>40.162157379217277</v>
      </c>
      <c r="O61" s="4267">
        <f t="shared" ref="O61:O67" si="4">IF(SUM(C61:J61)=0,"NO",SUM(C61,F61:H61)+28*SUM(D61)+265*SUM(E61)+23500*SUM(I61)+16100*SUM(J61))</f>
        <v>8649.0861335230529</v>
      </c>
    </row>
    <row r="62" spans="2:15" ht="18" customHeight="1" x14ac:dyDescent="0.25">
      <c r="B62" s="1371" t="s">
        <v>111</v>
      </c>
      <c r="C62" s="4279">
        <f>Table1!C53</f>
        <v>5908.3440000000001</v>
      </c>
      <c r="D62" s="4233">
        <f>Table1!D53</f>
        <v>1.0282306666666668E-2</v>
      </c>
      <c r="E62" s="4233">
        <f>Table1!E53</f>
        <v>3.0652411080701755E-2</v>
      </c>
      <c r="F62" s="628"/>
      <c r="G62" s="628"/>
      <c r="H62" s="628"/>
      <c r="I62" s="628"/>
      <c r="J62" s="2135"/>
      <c r="K62" s="4233">
        <f>Table1!F53</f>
        <v>29.963862303859646</v>
      </c>
      <c r="L62" s="4233">
        <f>Table1!G53</f>
        <v>9.3327465536842116</v>
      </c>
      <c r="M62" s="4233">
        <f>Table1!H53</f>
        <v>4.5201819784561401</v>
      </c>
      <c r="N62" s="4234">
        <f>Table1!I53</f>
        <v>0.69609800000000011</v>
      </c>
      <c r="O62" s="3782">
        <f t="shared" si="4"/>
        <v>5916.7547935230523</v>
      </c>
    </row>
    <row r="63" spans="2:15" ht="18" customHeight="1" x14ac:dyDescent="0.25">
      <c r="B63" s="1380" t="s">
        <v>1503</v>
      </c>
      <c r="C63" s="4279">
        <f>Table1!C54</f>
        <v>2705.404</v>
      </c>
      <c r="D63" s="4219">
        <f>Table1!D54</f>
        <v>0.25962999999999997</v>
      </c>
      <c r="E63" s="4219">
        <f>Table1!E54</f>
        <v>7.4179999999999996E-2</v>
      </c>
      <c r="F63" s="628"/>
      <c r="G63" s="628"/>
      <c r="H63" s="628"/>
      <c r="I63" s="628"/>
      <c r="J63" s="628"/>
      <c r="K63" s="4219">
        <f>Table1!F54</f>
        <v>71.408000000000001</v>
      </c>
      <c r="L63" s="4219">
        <f>Table1!G54</f>
        <v>2.41736</v>
      </c>
      <c r="M63" s="4219">
        <f>Table1!H54</f>
        <v>2.2244699999999997</v>
      </c>
      <c r="N63" s="4220">
        <f>Table1!I54</f>
        <v>39.466059379217278</v>
      </c>
      <c r="O63" s="3783">
        <f t="shared" si="4"/>
        <v>2732.3313400000002</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17109.553750000003</v>
      </c>
      <c r="D65" s="3823"/>
      <c r="E65" s="3823"/>
      <c r="F65" s="3824"/>
      <c r="G65" s="3824"/>
      <c r="H65" s="3824"/>
      <c r="I65" s="3824"/>
      <c r="J65" s="3823"/>
      <c r="K65" s="3823"/>
      <c r="L65" s="3823"/>
      <c r="M65" s="3823"/>
      <c r="N65" s="3825"/>
      <c r="O65" s="3812">
        <f t="shared" si="4"/>
        <v>17109.553750000003</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-207830.41124779763</v>
      </c>
      <c r="D67" s="3824"/>
      <c r="E67" s="3824"/>
      <c r="F67" s="3828"/>
      <c r="G67" s="3824"/>
      <c r="H67" s="3824"/>
      <c r="I67" s="3824"/>
      <c r="J67" s="3824"/>
      <c r="K67" s="3824"/>
      <c r="L67" s="3824"/>
      <c r="M67" s="3824"/>
      <c r="N67" s="3829"/>
      <c r="O67" s="3785">
        <f t="shared" si="4"/>
        <v>-207830.41124779763</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348075.40034182055</v>
      </c>
      <c r="D10" s="4213">
        <f>IFERROR(Summary1!D10*28,Summary1!D10)</f>
        <v>146247.77172989186</v>
      </c>
      <c r="E10" s="4213">
        <f>IFERROR(Summary1!E10*265,Summary1!E10)</f>
        <v>17323.762399421419</v>
      </c>
      <c r="F10" s="4213">
        <f>Summary1!F10</f>
        <v>862.28099757385155</v>
      </c>
      <c r="G10" s="4213">
        <f>Summary1!G10</f>
        <v>1376.8283202008463</v>
      </c>
      <c r="H10" s="4213" t="str">
        <f>Summary1!H10</f>
        <v>NO</v>
      </c>
      <c r="I10" s="4288">
        <f>IFERROR(Summary1!I10*23500,Summary1!I10)</f>
        <v>325.92330345973716</v>
      </c>
      <c r="J10" s="4289" t="str">
        <f>IFERROR(Summary1!J10*16100,Summary1!J10)</f>
        <v>NO</v>
      </c>
      <c r="K10" s="4214">
        <f>IF(SUM(C10:J10)=0,"NO",SUM(C10:J10))</f>
        <v>514211.96709236829</v>
      </c>
    </row>
    <row r="11" spans="2:12" ht="18" customHeight="1" x14ac:dyDescent="0.2">
      <c r="B11" s="1550" t="s">
        <v>1476</v>
      </c>
      <c r="C11" s="4253">
        <f>Summary1!C11</f>
        <v>283311.20248621254</v>
      </c>
      <c r="D11" s="4253">
        <f>IFERROR(Summary1!D11*28,Summary1!D11)</f>
        <v>36586.163550770732</v>
      </c>
      <c r="E11" s="4253">
        <f>IFERROR(Summary1!E11*265,Summary1!E11)</f>
        <v>2142.458428774753</v>
      </c>
      <c r="F11" s="1929"/>
      <c r="G11" s="1929"/>
      <c r="H11" s="1930"/>
      <c r="I11" s="1930"/>
      <c r="J11" s="627"/>
      <c r="K11" s="4290">
        <f t="shared" ref="K11:K55" si="0">IF(SUM(C11:J11)=0,"NO",SUM(C11:J11))</f>
        <v>322039.82446575799</v>
      </c>
      <c r="L11" s="19"/>
    </row>
    <row r="12" spans="2:12" ht="18" customHeight="1" x14ac:dyDescent="0.2">
      <c r="B12" s="620" t="s">
        <v>131</v>
      </c>
      <c r="C12" s="4247">
        <f>Summary1!C12</f>
        <v>276250.48898081749</v>
      </c>
      <c r="D12" s="4247">
        <f>IFERROR(Summary1!D12*28,Summary1!D12)</f>
        <v>3747.3309055464797</v>
      </c>
      <c r="E12" s="4247">
        <f>IFERROR(Summary1!E12*265,Summary1!E12)</f>
        <v>2111.7447884920839</v>
      </c>
      <c r="F12" s="628"/>
      <c r="G12" s="628"/>
      <c r="H12" s="628"/>
      <c r="I12" s="69"/>
      <c r="J12" s="69"/>
      <c r="K12" s="4291">
        <f t="shared" si="0"/>
        <v>282109.56467485608</v>
      </c>
      <c r="L12" s="19"/>
    </row>
    <row r="13" spans="2:12" ht="18" customHeight="1" x14ac:dyDescent="0.2">
      <c r="B13" s="1392" t="s">
        <v>1478</v>
      </c>
      <c r="C13" s="4247">
        <f>Summary1!C13</f>
        <v>157480.76333664168</v>
      </c>
      <c r="D13" s="4247">
        <f>IFERROR(Summary1!D13*28,Summary1!D13)</f>
        <v>183.05297931066715</v>
      </c>
      <c r="E13" s="4247">
        <f>IFERROR(Summary1!E13*265,Summary1!E13)</f>
        <v>476.38156135261335</v>
      </c>
      <c r="F13" s="628"/>
      <c r="G13" s="628"/>
      <c r="H13" s="628"/>
      <c r="I13" s="69"/>
      <c r="J13" s="69"/>
      <c r="K13" s="4291">
        <f t="shared" si="0"/>
        <v>158140.19787730495</v>
      </c>
      <c r="L13" s="19"/>
    </row>
    <row r="14" spans="2:12" ht="18" customHeight="1" x14ac:dyDescent="0.2">
      <c r="B14" s="1392" t="s">
        <v>1517</v>
      </c>
      <c r="C14" s="4247">
        <f>Summary1!C14</f>
        <v>37242.617392116299</v>
      </c>
      <c r="D14" s="4247">
        <f>IFERROR(Summary1!D14*28,Summary1!D14)</f>
        <v>62.506022592517766</v>
      </c>
      <c r="E14" s="4247">
        <f>IFERROR(Summary1!E14*265,Summary1!E14)</f>
        <v>323.73018161045479</v>
      </c>
      <c r="F14" s="628"/>
      <c r="G14" s="628"/>
      <c r="H14" s="628"/>
      <c r="I14" s="69"/>
      <c r="J14" s="69"/>
      <c r="K14" s="4291">
        <f t="shared" si="0"/>
        <v>37628.85359631927</v>
      </c>
      <c r="L14" s="19"/>
    </row>
    <row r="15" spans="2:12" ht="18" customHeight="1" x14ac:dyDescent="0.2">
      <c r="B15" s="1392" t="s">
        <v>1480</v>
      </c>
      <c r="C15" s="4247">
        <f>Summary1!C15</f>
        <v>66233.065766620843</v>
      </c>
      <c r="D15" s="4247">
        <f>IFERROR(Summary1!D15*28,Summary1!D15)</f>
        <v>830.73003457822927</v>
      </c>
      <c r="E15" s="4247">
        <f>IFERROR(Summary1!E15*265,Summary1!E15)</f>
        <v>1152.1049927741446</v>
      </c>
      <c r="F15" s="628"/>
      <c r="G15" s="628"/>
      <c r="H15" s="628"/>
      <c r="I15" s="69"/>
      <c r="J15" s="69"/>
      <c r="K15" s="4291">
        <f t="shared" si="0"/>
        <v>68215.900793973211</v>
      </c>
      <c r="L15" s="19"/>
    </row>
    <row r="16" spans="2:12" ht="18" customHeight="1" x14ac:dyDescent="0.2">
      <c r="B16" s="1392" t="s">
        <v>1481</v>
      </c>
      <c r="C16" s="4247">
        <f>Summary1!C16</f>
        <v>14604.090964802335</v>
      </c>
      <c r="D16" s="4247">
        <f>IFERROR(Summary1!D16*28,Summary1!D16)</f>
        <v>2670.0265237875014</v>
      </c>
      <c r="E16" s="4247">
        <f>IFERROR(Summary1!E16*265,Summary1!E16)</f>
        <v>154.50498630624745</v>
      </c>
      <c r="F16" s="628"/>
      <c r="G16" s="628"/>
      <c r="H16" s="628"/>
      <c r="I16" s="69"/>
      <c r="J16" s="69"/>
      <c r="K16" s="4291">
        <f t="shared" si="0"/>
        <v>17428.622474896085</v>
      </c>
      <c r="L16" s="19"/>
    </row>
    <row r="17" spans="2:12" ht="18" customHeight="1" x14ac:dyDescent="0.2">
      <c r="B17" s="1392" t="s">
        <v>1482</v>
      </c>
      <c r="C17" s="4247">
        <f>Summary1!C17</f>
        <v>689.95152063630871</v>
      </c>
      <c r="D17" s="4247">
        <f>IFERROR(Summary1!D17*28,Summary1!D17)</f>
        <v>1.0153452775634122</v>
      </c>
      <c r="E17" s="4247">
        <f>IFERROR(Summary1!E17*265,Summary1!E17)</f>
        <v>5.023066448623716</v>
      </c>
      <c r="F17" s="628"/>
      <c r="G17" s="628"/>
      <c r="H17" s="628"/>
      <c r="I17" s="69"/>
      <c r="J17" s="69"/>
      <c r="K17" s="4291">
        <f t="shared" si="0"/>
        <v>695.98993236249578</v>
      </c>
      <c r="L17" s="19"/>
    </row>
    <row r="18" spans="2:12" ht="18" customHeight="1" x14ac:dyDescent="0.2">
      <c r="B18" s="620" t="s">
        <v>99</v>
      </c>
      <c r="C18" s="4247">
        <f>Summary1!C18</f>
        <v>7060.7135053950406</v>
      </c>
      <c r="D18" s="4247">
        <f>IFERROR(Summary1!D18*28,Summary1!D18)</f>
        <v>32838.832645224255</v>
      </c>
      <c r="E18" s="4247">
        <f>IFERROR(Summary1!E18*265,Summary1!E18)</f>
        <v>30.713640282669392</v>
      </c>
      <c r="F18" s="628"/>
      <c r="G18" s="628"/>
      <c r="H18" s="628"/>
      <c r="I18" s="69"/>
      <c r="J18" s="69"/>
      <c r="K18" s="4291">
        <f t="shared" si="0"/>
        <v>39930.259790901968</v>
      </c>
      <c r="L18" s="19"/>
    </row>
    <row r="19" spans="2:12" ht="18" customHeight="1" x14ac:dyDescent="0.2">
      <c r="B19" s="1392" t="s">
        <v>1483</v>
      </c>
      <c r="C19" s="4247">
        <f>Summary1!C19</f>
        <v>1111.5267994507171</v>
      </c>
      <c r="D19" s="4247">
        <f>IFERROR(Summary1!D19*28,Summary1!D19)</f>
        <v>23999.717842724895</v>
      </c>
      <c r="E19" s="4247">
        <f>IFERROR(Summary1!E19*265,Summary1!E19)</f>
        <v>1.2904005040536054E-3</v>
      </c>
      <c r="F19" s="628"/>
      <c r="G19" s="628"/>
      <c r="H19" s="628"/>
      <c r="I19" s="69"/>
      <c r="J19" s="69"/>
      <c r="K19" s="4291">
        <f t="shared" si="0"/>
        <v>25111.245932576116</v>
      </c>
      <c r="L19" s="19"/>
    </row>
    <row r="20" spans="2:12" ht="18" customHeight="1" x14ac:dyDescent="0.2">
      <c r="B20" s="1393" t="s">
        <v>1484</v>
      </c>
      <c r="C20" s="4247">
        <f>Summary1!C20</f>
        <v>5949.1867059443239</v>
      </c>
      <c r="D20" s="4247">
        <f>IFERROR(Summary1!D20*28,Summary1!D20)</f>
        <v>8839.1148024993599</v>
      </c>
      <c r="E20" s="4247">
        <f>IFERROR(Summary1!E20*265,Summary1!E20)</f>
        <v>30.712349882165338</v>
      </c>
      <c r="F20" s="628"/>
      <c r="G20" s="628"/>
      <c r="H20" s="628"/>
      <c r="I20" s="69"/>
      <c r="J20" s="69"/>
      <c r="K20" s="4291">
        <f t="shared" si="0"/>
        <v>14819.01385832585</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20744.892915963468</v>
      </c>
      <c r="D22" s="4253">
        <f>IFERROR(Summary1!D22*28,Summary1!D22)</f>
        <v>110.1477271756255</v>
      </c>
      <c r="E22" s="4253">
        <f>IFERROR(Summary1!E22*265,Summary1!E22)</f>
        <v>1234.3502122178872</v>
      </c>
      <c r="F22" s="4253">
        <f>Summary1!F22</f>
        <v>862.28099757385155</v>
      </c>
      <c r="G22" s="4253">
        <f>Summary1!G22</f>
        <v>1376.8283202008463</v>
      </c>
      <c r="H22" s="4253" t="str">
        <f>Summary1!H22</f>
        <v>NO</v>
      </c>
      <c r="I22" s="4253">
        <f>IFERROR(Summary1!I22*23500,Summary1!I22)</f>
        <v>325.92330345973716</v>
      </c>
      <c r="J22" s="4293" t="str">
        <f>IFERROR(Summary1!J22*16100,Summary1!J22)</f>
        <v>NO</v>
      </c>
      <c r="K22" s="4290">
        <f t="shared" si="0"/>
        <v>24654.423476591419</v>
      </c>
      <c r="L22" s="19"/>
    </row>
    <row r="23" spans="2:12" ht="18" customHeight="1" x14ac:dyDescent="0.2">
      <c r="B23" s="1394" t="s">
        <v>1487</v>
      </c>
      <c r="C23" s="4247">
        <f>Summary1!C23</f>
        <v>5826.2709371596793</v>
      </c>
      <c r="D23" s="628"/>
      <c r="E23" s="628"/>
      <c r="F23" s="628"/>
      <c r="G23" s="628"/>
      <c r="H23" s="628"/>
      <c r="I23" s="69"/>
      <c r="J23" s="69"/>
      <c r="K23" s="4291">
        <f t="shared" si="0"/>
        <v>5826.2709371596793</v>
      </c>
      <c r="L23" s="19"/>
    </row>
    <row r="24" spans="2:12" ht="18" customHeight="1" x14ac:dyDescent="0.2">
      <c r="B24" s="1394" t="s">
        <v>621</v>
      </c>
      <c r="C24" s="4247">
        <f>Summary1!C24</f>
        <v>1426.6149132761363</v>
      </c>
      <c r="D24" s="4247">
        <f>IFERROR(Summary1!D24*28,Summary1!D24)</f>
        <v>14.570746399999999</v>
      </c>
      <c r="E24" s="4247">
        <f>IFERROR(Summary1!E24*265,Summary1!E24)</f>
        <v>1214.8882935096776</v>
      </c>
      <c r="F24" s="1924">
        <f>Summary1!F24</f>
        <v>761.85600000000011</v>
      </c>
      <c r="G24" s="1924" t="str">
        <f>Summary1!G24</f>
        <v>NO</v>
      </c>
      <c r="H24" s="1924" t="str">
        <f>Summary1!H24</f>
        <v>NO</v>
      </c>
      <c r="I24" s="616" t="str">
        <f>IFERROR(Summary1!I24*23500,Summary1!I24)</f>
        <v>NO</v>
      </c>
      <c r="J24" s="616" t="str">
        <f>IFERROR(Summary1!J24*16100,Summary1!J24)</f>
        <v>NO</v>
      </c>
      <c r="K24" s="4291">
        <f t="shared" si="0"/>
        <v>3417.9299531858142</v>
      </c>
      <c r="L24" s="19"/>
    </row>
    <row r="25" spans="2:12" ht="18" customHeight="1" x14ac:dyDescent="0.2">
      <c r="B25" s="1394" t="s">
        <v>459</v>
      </c>
      <c r="C25" s="4247">
        <f>Summary1!C25</f>
        <v>13085.711804528275</v>
      </c>
      <c r="D25" s="4247">
        <f>IFERROR(Summary1!D25*28,Summary1!D25)</f>
        <v>95.576980775625515</v>
      </c>
      <c r="E25" s="4247">
        <f>IFERROR(Summary1!E25*265,Summary1!E25)</f>
        <v>19.461918708209573</v>
      </c>
      <c r="F25" s="1924" t="str">
        <f>Summary1!F25</f>
        <v>NO</v>
      </c>
      <c r="G25" s="4247">
        <f>Summary1!G25</f>
        <v>1376.8283202008463</v>
      </c>
      <c r="H25" s="4247" t="str">
        <f>Summary1!H25</f>
        <v>NO</v>
      </c>
      <c r="I25" s="4247" t="str">
        <f>IFERROR(Summary1!I25*23500,Summary1!I25)</f>
        <v>NO</v>
      </c>
      <c r="J25" s="4247" t="str">
        <f>IFERROR(Summary1!J25*16100,Summary1!J25)</f>
        <v>NO</v>
      </c>
      <c r="K25" s="4291">
        <f t="shared" si="0"/>
        <v>14577.579024212957</v>
      </c>
      <c r="L25" s="19"/>
    </row>
    <row r="26" spans="2:12" ht="18" customHeight="1" x14ac:dyDescent="0.2">
      <c r="B26" s="1395" t="s">
        <v>1519</v>
      </c>
      <c r="C26" s="4247">
        <f>Summary1!C26</f>
        <v>267.44714449999998</v>
      </c>
      <c r="D26" s="4247" t="str">
        <f>IFERROR(Summary1!D26*28,Summary1!D26)</f>
        <v>NO</v>
      </c>
      <c r="E26" s="4247" t="str">
        <f>IFERROR(Summary1!E26*265,Summary1!E26)</f>
        <v>NO</v>
      </c>
      <c r="F26" s="628"/>
      <c r="G26" s="628"/>
      <c r="H26" s="628"/>
      <c r="I26" s="69"/>
      <c r="J26" s="69"/>
      <c r="K26" s="4291">
        <f t="shared" si="0"/>
        <v>267.44714449999998</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100.42499757385144</v>
      </c>
      <c r="G28" s="4247" t="str">
        <f>Summary1!G28</f>
        <v>NO</v>
      </c>
      <c r="H28" s="4247" t="str">
        <f>Summary1!H28</f>
        <v>NO</v>
      </c>
      <c r="I28" s="4247" t="str">
        <f>IFERROR(Summary1!I28*23500,Summary1!I28)</f>
        <v>NO</v>
      </c>
      <c r="J28" s="4247" t="str">
        <f>IFERROR(Summary1!J28*16100,Summary1!J28)</f>
        <v>NO</v>
      </c>
      <c r="K28" s="4291">
        <f t="shared" si="0"/>
        <v>100.42499757385144</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325.92330345973716</v>
      </c>
      <c r="J29" s="4247" t="str">
        <f>IFERROR(Summary1!J29*16100,Summary1!J29)</f>
        <v>NO</v>
      </c>
      <c r="K29" s="4291">
        <f t="shared" si="0"/>
        <v>325.92330345973716</v>
      </c>
      <c r="L29" s="19"/>
    </row>
    <row r="30" spans="2:12" ht="18" customHeight="1" thickBot="1" x14ac:dyDescent="0.25">
      <c r="B30" s="1407" t="s">
        <v>1523</v>
      </c>
      <c r="C30" s="4266">
        <f>Summary1!C30</f>
        <v>138.84811649937512</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138.84811649937512</v>
      </c>
      <c r="L30" s="19"/>
    </row>
    <row r="31" spans="2:12" ht="18" customHeight="1" x14ac:dyDescent="0.2">
      <c r="B31" s="772" t="s">
        <v>1491</v>
      </c>
      <c r="C31" s="4253">
        <f>Summary1!C31</f>
        <v>919.39740653519459</v>
      </c>
      <c r="D31" s="4253">
        <f>IFERROR(Summary1!D31*28,Summary1!D31)</f>
        <v>71200.365101020157</v>
      </c>
      <c r="E31" s="4253">
        <f>IFERROR(Summary1!E31*265,Summary1!E31)</f>
        <v>10158.890715388279</v>
      </c>
      <c r="F31" s="1929"/>
      <c r="G31" s="1929"/>
      <c r="H31" s="1929"/>
      <c r="I31" s="4215"/>
      <c r="J31" s="627"/>
      <c r="K31" s="4290">
        <f t="shared" si="0"/>
        <v>82278.653222943627</v>
      </c>
      <c r="L31" s="19"/>
    </row>
    <row r="32" spans="2:12" ht="18" customHeight="1" x14ac:dyDescent="0.2">
      <c r="B32" s="620" t="s">
        <v>1492</v>
      </c>
      <c r="C32" s="628"/>
      <c r="D32" s="4247">
        <f>IFERROR(Summary1!D32*28,Summary1!D32)</f>
        <v>64110.095741667457</v>
      </c>
      <c r="E32" s="628"/>
      <c r="F32" s="628"/>
      <c r="G32" s="628"/>
      <c r="H32" s="628"/>
      <c r="I32" s="69"/>
      <c r="J32" s="69"/>
      <c r="K32" s="4291">
        <f t="shared" si="0"/>
        <v>64110.095741667457</v>
      </c>
      <c r="L32" s="19"/>
    </row>
    <row r="33" spans="2:12" ht="18" customHeight="1" x14ac:dyDescent="0.2">
      <c r="B33" s="620" t="s">
        <v>1493</v>
      </c>
      <c r="C33" s="628"/>
      <c r="D33" s="4247">
        <f>IFERROR(Summary1!D33*28,Summary1!D33)</f>
        <v>6252.9107455775984</v>
      </c>
      <c r="E33" s="4247">
        <f>IFERROR(Summary1!E33*265,Summary1!E33)</f>
        <v>255.01969602816519</v>
      </c>
      <c r="F33" s="628"/>
      <c r="G33" s="628"/>
      <c r="H33" s="628"/>
      <c r="I33" s="69"/>
      <c r="J33" s="69"/>
      <c r="K33" s="4291">
        <f t="shared" si="0"/>
        <v>6507.9304416057639</v>
      </c>
      <c r="L33" s="19"/>
    </row>
    <row r="34" spans="2:12" ht="18" customHeight="1" x14ac:dyDescent="0.2">
      <c r="B34" s="620" t="s">
        <v>1494</v>
      </c>
      <c r="C34" s="628"/>
      <c r="D34" s="4247">
        <f>IFERROR(Summary1!D34*28,Summary1!D34)</f>
        <v>598.86698757917713</v>
      </c>
      <c r="E34" s="628"/>
      <c r="F34" s="628"/>
      <c r="G34" s="628"/>
      <c r="H34" s="628"/>
      <c r="I34" s="69"/>
      <c r="J34" s="69"/>
      <c r="K34" s="4291">
        <f t="shared" si="0"/>
        <v>598.86698757917713</v>
      </c>
      <c r="L34" s="19"/>
    </row>
    <row r="35" spans="2:12" ht="18" customHeight="1" x14ac:dyDescent="0.2">
      <c r="B35" s="620" t="s">
        <v>1495</v>
      </c>
      <c r="C35" s="4294"/>
      <c r="D35" s="4247" t="str">
        <f>IFERROR(Summary1!D35*28,Summary1!D35)</f>
        <v>NE</v>
      </c>
      <c r="E35" s="4247">
        <f>IFERROR(Summary1!E35*265,Summary1!E35)</f>
        <v>9813.2816367661708</v>
      </c>
      <c r="F35" s="628"/>
      <c r="G35" s="628"/>
      <c r="H35" s="628"/>
      <c r="I35" s="69"/>
      <c r="J35" s="69"/>
      <c r="K35" s="4291">
        <f t="shared" si="0"/>
        <v>9813.2816367661708</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238.49162619593201</v>
      </c>
      <c r="E37" s="4247">
        <f>IFERROR(Summary1!E37*265,Summary1!E37)</f>
        <v>90.589382593945189</v>
      </c>
      <c r="F37" s="628"/>
      <c r="G37" s="628"/>
      <c r="H37" s="628"/>
      <c r="I37" s="69"/>
      <c r="J37" s="69"/>
      <c r="K37" s="4291">
        <f t="shared" si="0"/>
        <v>329.08100878987722</v>
      </c>
      <c r="L37" s="19"/>
    </row>
    <row r="38" spans="2:12" ht="18" customHeight="1" x14ac:dyDescent="0.2">
      <c r="B38" s="620" t="s">
        <v>721</v>
      </c>
      <c r="C38" s="1924">
        <f>Summary1!C38</f>
        <v>439.54233407142647</v>
      </c>
      <c r="D38" s="4295"/>
      <c r="E38" s="4295"/>
      <c r="F38" s="628"/>
      <c r="G38" s="628"/>
      <c r="H38" s="628"/>
      <c r="I38" s="69"/>
      <c r="J38" s="69"/>
      <c r="K38" s="4291">
        <f t="shared" si="0"/>
        <v>439.54233407142647</v>
      </c>
      <c r="L38" s="19"/>
    </row>
    <row r="39" spans="2:12" ht="18" customHeight="1" x14ac:dyDescent="0.2">
      <c r="B39" s="620" t="s">
        <v>722</v>
      </c>
      <c r="C39" s="1924">
        <f>Summary1!C39</f>
        <v>479.85507246376812</v>
      </c>
      <c r="D39" s="4295"/>
      <c r="E39" s="4295"/>
      <c r="F39" s="628"/>
      <c r="G39" s="628"/>
      <c r="H39" s="628"/>
      <c r="I39" s="69"/>
      <c r="J39" s="69"/>
      <c r="K39" s="4291">
        <f t="shared" si="0"/>
        <v>479.85507246376812</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43019.814255361678</v>
      </c>
      <c r="D42" s="1927">
        <f>IFERROR(Summary1!D42*28,Summary1!D42)</f>
        <v>16509.622854550384</v>
      </c>
      <c r="E42" s="1927">
        <f>IFERROR(Summary1!E42*265,Summary1!E42)</f>
        <v>3606.0672915783139</v>
      </c>
      <c r="F42" s="1929"/>
      <c r="G42" s="1929"/>
      <c r="H42" s="1929"/>
      <c r="I42" s="4215"/>
      <c r="J42" s="627"/>
      <c r="K42" s="4290">
        <f t="shared" si="0"/>
        <v>63135.504401490376</v>
      </c>
      <c r="L42" s="19"/>
    </row>
    <row r="43" spans="2:12" ht="18" customHeight="1" x14ac:dyDescent="0.2">
      <c r="B43" s="620" t="s">
        <v>981</v>
      </c>
      <c r="C43" s="1924">
        <f>Summary1!C43</f>
        <v>-20875.51926770695</v>
      </c>
      <c r="D43" s="1924">
        <f>IFERROR(Summary1!D43*28,Summary1!D43)</f>
        <v>6234.0106983686755</v>
      </c>
      <c r="E43" s="1924">
        <f>IFERROR(Summary1!E43*265,Summary1!E43)</f>
        <v>1200.8061642605733</v>
      </c>
      <c r="F43" s="1931"/>
      <c r="G43" s="1931"/>
      <c r="H43" s="1931"/>
      <c r="I43" s="3352"/>
      <c r="J43" s="69"/>
      <c r="K43" s="4291">
        <f t="shared" si="0"/>
        <v>-13440.702405077702</v>
      </c>
      <c r="L43" s="19"/>
    </row>
    <row r="44" spans="2:12" ht="18" customHeight="1" x14ac:dyDescent="0.2">
      <c r="B44" s="620" t="s">
        <v>984</v>
      </c>
      <c r="C44" s="1924">
        <f>Summary1!C44</f>
        <v>12887.613706553717</v>
      </c>
      <c r="D44" s="1924">
        <f>IFERROR(Summary1!D44*28,Summary1!D44)</f>
        <v>169.9715808</v>
      </c>
      <c r="E44" s="1924">
        <f>IFERROR(Summary1!E44*265,Summary1!E44)</f>
        <v>67.630291803770987</v>
      </c>
      <c r="F44" s="1931"/>
      <c r="G44" s="1931"/>
      <c r="H44" s="1931"/>
      <c r="I44" s="3352"/>
      <c r="J44" s="69"/>
      <c r="K44" s="4291">
        <f t="shared" si="0"/>
        <v>13125.215579157488</v>
      </c>
      <c r="L44" s="19"/>
    </row>
    <row r="45" spans="2:12" ht="18" customHeight="1" x14ac:dyDescent="0.2">
      <c r="B45" s="620" t="s">
        <v>987</v>
      </c>
      <c r="C45" s="1924">
        <f>Summary1!C45</f>
        <v>52838.478964578324</v>
      </c>
      <c r="D45" s="1924">
        <f>IFERROR(Summary1!D45*28,Summary1!D45)</f>
        <v>7899.9747835057669</v>
      </c>
      <c r="E45" s="1924">
        <f>IFERROR(Summary1!E45*265,Summary1!E45)</f>
        <v>2255.5413085535088</v>
      </c>
      <c r="F45" s="1931"/>
      <c r="G45" s="1931"/>
      <c r="H45" s="1931"/>
      <c r="I45" s="3352"/>
      <c r="J45" s="69"/>
      <c r="K45" s="4291">
        <f t="shared" si="0"/>
        <v>62993.995056637599</v>
      </c>
      <c r="L45" s="19"/>
    </row>
    <row r="46" spans="2:12" ht="18" customHeight="1" x14ac:dyDescent="0.2">
      <c r="B46" s="620" t="s">
        <v>1525</v>
      </c>
      <c r="C46" s="1924">
        <f>Summary1!C46</f>
        <v>420.85388622961864</v>
      </c>
      <c r="D46" s="1924">
        <f>IFERROR(Summary1!D46*28,Summary1!D46)</f>
        <v>2100.5259486759405</v>
      </c>
      <c r="E46" s="1924">
        <f>IFERROR(Summary1!E46*265,Summary1!E46)</f>
        <v>48.849807681909994</v>
      </c>
      <c r="F46" s="1931"/>
      <c r="G46" s="1931"/>
      <c r="H46" s="1931"/>
      <c r="I46" s="3352"/>
      <c r="J46" s="69"/>
      <c r="K46" s="4291">
        <f t="shared" si="0"/>
        <v>2570.2296425874692</v>
      </c>
      <c r="L46" s="19"/>
    </row>
    <row r="47" spans="2:12" ht="18" customHeight="1" x14ac:dyDescent="0.2">
      <c r="B47" s="620" t="s">
        <v>1526</v>
      </c>
      <c r="C47" s="1924">
        <f>Summary1!C47</f>
        <v>5259.0434028994623</v>
      </c>
      <c r="D47" s="1924">
        <f>IFERROR(Summary1!D47*28,Summary1!D47)</f>
        <v>105.1398432</v>
      </c>
      <c r="E47" s="1924">
        <f>IFERROR(Summary1!E47*265,Summary1!E47)</f>
        <v>24.206904671407685</v>
      </c>
      <c r="F47" s="1931"/>
      <c r="G47" s="1931"/>
      <c r="H47" s="1931"/>
      <c r="I47" s="3352"/>
      <c r="J47" s="69"/>
      <c r="K47" s="4291">
        <f t="shared" si="0"/>
        <v>5388.3901507708697</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-7510.6564371924978</v>
      </c>
      <c r="D49" s="3835"/>
      <c r="E49" s="3835"/>
      <c r="F49" s="1931"/>
      <c r="G49" s="1931"/>
      <c r="H49" s="1931"/>
      <c r="I49" s="3352"/>
      <c r="J49" s="69"/>
      <c r="K49" s="4291">
        <f t="shared" si="0"/>
        <v>-7510.6564371924978</v>
      </c>
      <c r="L49" s="19"/>
    </row>
    <row r="50" spans="2:12" ht="18" customHeight="1" thickBot="1" x14ac:dyDescent="0.25">
      <c r="B50" s="1552" t="s">
        <v>1529</v>
      </c>
      <c r="C50" s="1926" t="str">
        <f>Summary1!C50</f>
        <v>NO</v>
      </c>
      <c r="D50" s="1926" t="str">
        <f>IFERROR(Summary1!D50*28,Summary1!D50)</f>
        <v>NO</v>
      </c>
      <c r="E50" s="1926">
        <f>IFERROR(Summary1!E50*265,Summary1!E50)</f>
        <v>9.0328146071428588</v>
      </c>
      <c r="F50" s="3024"/>
      <c r="G50" s="3024"/>
      <c r="H50" s="3024"/>
      <c r="I50" s="3828"/>
      <c r="J50" s="87"/>
      <c r="K50" s="4292">
        <f t="shared" si="0"/>
        <v>9.0328146071428588</v>
      </c>
      <c r="L50" s="19"/>
    </row>
    <row r="51" spans="2:12" ht="18" customHeight="1" x14ac:dyDescent="0.2">
      <c r="B51" s="1550" t="s">
        <v>1500</v>
      </c>
      <c r="C51" s="1927">
        <f>Summary1!C51</f>
        <v>80.09327774765265</v>
      </c>
      <c r="D51" s="1927">
        <f>IFERROR(Summary1!D51*28,Summary1!D51)</f>
        <v>21841.472496374969</v>
      </c>
      <c r="E51" s="1927">
        <f>IFERROR(Summary1!E51*265,Summary1!E51)</f>
        <v>181.99575146218544</v>
      </c>
      <c r="F51" s="1929"/>
      <c r="G51" s="1929"/>
      <c r="H51" s="1929"/>
      <c r="I51" s="4215"/>
      <c r="J51" s="627"/>
      <c r="K51" s="4290">
        <f t="shared" si="0"/>
        <v>22103.561525584806</v>
      </c>
      <c r="L51" s="19"/>
    </row>
    <row r="52" spans="2:12" ht="18" customHeight="1" x14ac:dyDescent="0.2">
      <c r="B52" s="620" t="s">
        <v>1530</v>
      </c>
      <c r="C52" s="628"/>
      <c r="D52" s="1924">
        <f>IFERROR(Summary1!D52*28,Summary1!D52)</f>
        <v>16316.81337244</v>
      </c>
      <c r="E52" s="1931"/>
      <c r="F52" s="628"/>
      <c r="G52" s="628"/>
      <c r="H52" s="628"/>
      <c r="I52" s="69"/>
      <c r="J52" s="69"/>
      <c r="K52" s="4291">
        <f t="shared" si="0"/>
        <v>16316.81337244</v>
      </c>
      <c r="L52" s="19"/>
    </row>
    <row r="53" spans="2:12" ht="18" customHeight="1" x14ac:dyDescent="0.2">
      <c r="B53" s="1396" t="s">
        <v>1531</v>
      </c>
      <c r="C53" s="628"/>
      <c r="D53" s="1924">
        <f>IFERROR(Summary1!D53*28,Summary1!D53)</f>
        <v>28.404299242479713</v>
      </c>
      <c r="E53" s="1924">
        <f>IFERROR(Summary1!E53*265,Summary1!E53)</f>
        <v>34.40977965374686</v>
      </c>
      <c r="F53" s="628"/>
      <c r="G53" s="628"/>
      <c r="H53" s="628"/>
      <c r="I53" s="69"/>
      <c r="J53" s="69"/>
      <c r="K53" s="4291">
        <f t="shared" si="0"/>
        <v>62.814078896226576</v>
      </c>
      <c r="L53" s="19"/>
    </row>
    <row r="54" spans="2:12" ht="18" customHeight="1" x14ac:dyDescent="0.2">
      <c r="B54" s="1397" t="s">
        <v>1532</v>
      </c>
      <c r="C54" s="1924">
        <f>Summary1!C54</f>
        <v>80.09327774765265</v>
      </c>
      <c r="D54" s="1924">
        <f>IFERROR(Summary1!D54*28,Summary1!D54)</f>
        <v>2.5947936</v>
      </c>
      <c r="E54" s="1924">
        <f>IFERROR(Summary1!E54*265,Summary1!E54)</f>
        <v>10.064699999999998</v>
      </c>
      <c r="F54" s="628"/>
      <c r="G54" s="628"/>
      <c r="H54" s="628"/>
      <c r="I54" s="69"/>
      <c r="J54" s="69"/>
      <c r="K54" s="4291">
        <f t="shared" si="0"/>
        <v>92.752771347652654</v>
      </c>
      <c r="L54" s="19"/>
    </row>
    <row r="55" spans="2:12" ht="18" customHeight="1" x14ac:dyDescent="0.2">
      <c r="B55" s="620" t="s">
        <v>1533</v>
      </c>
      <c r="C55" s="628"/>
      <c r="D55" s="1924">
        <f>IFERROR(Summary1!D55*28,Summary1!D55)</f>
        <v>5493.660031092486</v>
      </c>
      <c r="E55" s="1924">
        <f>IFERROR(Summary1!E55*265,Summary1!E55)</f>
        <v>137.52127180843857</v>
      </c>
      <c r="F55" s="628"/>
      <c r="G55" s="628"/>
      <c r="H55" s="628"/>
      <c r="I55" s="69"/>
      <c r="J55" s="69"/>
      <c r="K55" s="4291">
        <f t="shared" si="0"/>
        <v>5631.1813029009245</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8613.7479999999996</v>
      </c>
      <c r="D60" s="4219">
        <f>IFERROR(Summary1!D61*28,Summary1!D61)</f>
        <v>7.5575445866666664</v>
      </c>
      <c r="E60" s="4219">
        <f>IFERROR(Summary1!E61*265,Summary1!E61)</f>
        <v>27.780588936385964</v>
      </c>
      <c r="F60" s="1931"/>
      <c r="G60" s="1931"/>
      <c r="H60" s="1932"/>
      <c r="I60" s="630"/>
      <c r="J60" s="630"/>
      <c r="K60" s="4220">
        <f t="shared" ref="K60:K66" si="2">IF(SUM(C60:J60)=0,"NO",SUM(C60:J60))</f>
        <v>8649.0861335230529</v>
      </c>
    </row>
    <row r="61" spans="2:12" ht="18" customHeight="1" x14ac:dyDescent="0.2">
      <c r="B61" s="1386" t="s">
        <v>111</v>
      </c>
      <c r="C61" s="4219">
        <f>Summary1!C62</f>
        <v>5908.3440000000001</v>
      </c>
      <c r="D61" s="4219">
        <f>IFERROR(Summary1!D62*28,Summary1!D62)</f>
        <v>0.28790458666666668</v>
      </c>
      <c r="E61" s="4219">
        <f>IFERROR(Summary1!E62*265,Summary1!E62)</f>
        <v>8.1228889363859658</v>
      </c>
      <c r="F61" s="628"/>
      <c r="G61" s="628"/>
      <c r="H61" s="628"/>
      <c r="I61" s="631"/>
      <c r="J61" s="631"/>
      <c r="K61" s="4234">
        <f t="shared" si="2"/>
        <v>5916.7547935230523</v>
      </c>
    </row>
    <row r="62" spans="2:12" ht="18" customHeight="1" x14ac:dyDescent="0.2">
      <c r="B62" s="1387" t="s">
        <v>1503</v>
      </c>
      <c r="C62" s="4219">
        <f>Summary1!C63</f>
        <v>2705.404</v>
      </c>
      <c r="D62" s="4219">
        <f>IFERROR(Summary1!D63*28,Summary1!D63)</f>
        <v>7.269639999999999</v>
      </c>
      <c r="E62" s="4219">
        <f>IFERROR(Summary1!E63*265,Summary1!E63)</f>
        <v>19.657699999999998</v>
      </c>
      <c r="F62" s="628"/>
      <c r="G62" s="628"/>
      <c r="H62" s="628"/>
      <c r="I62" s="632"/>
      <c r="J62" s="632"/>
      <c r="K62" s="4220">
        <f t="shared" si="2"/>
        <v>2732.3313400000002</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17109.553750000003</v>
      </c>
      <c r="D64" s="1931"/>
      <c r="E64" s="1931"/>
      <c r="F64" s="1931"/>
      <c r="G64" s="1931"/>
      <c r="H64" s="1931"/>
      <c r="I64" s="3352"/>
      <c r="J64" s="3352"/>
      <c r="K64" s="3821">
        <f t="shared" si="2"/>
        <v>17109.553750000003</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-207830.41124779763</v>
      </c>
      <c r="D66" s="4301"/>
      <c r="E66" s="4301"/>
      <c r="F66" s="4301"/>
      <c r="G66" s="4301"/>
      <c r="H66" s="4301"/>
      <c r="I66" s="3824"/>
      <c r="J66" s="3824"/>
      <c r="K66" s="4302">
        <f t="shared" si="2"/>
        <v>-207830.41124779763</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451076.4626908779</v>
      </c>
      <c r="N71" s="1126"/>
    </row>
    <row r="72" spans="2:14" s="634" customFormat="1" ht="18" customHeight="1" x14ac:dyDescent="0.25">
      <c r="B72" s="637"/>
      <c r="C72" s="638"/>
      <c r="D72" s="638"/>
      <c r="E72" s="638"/>
      <c r="F72" s="638"/>
      <c r="G72" s="638"/>
      <c r="H72" s="638"/>
      <c r="I72" s="638"/>
      <c r="J72" s="2553" t="s">
        <v>2122</v>
      </c>
      <c r="K72" s="3821">
        <f>K10</f>
        <v>514211.96709236829</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699892.41848920891</v>
      </c>
      <c r="D10" s="3076" t="s">
        <v>1814</v>
      </c>
      <c r="E10" s="628"/>
      <c r="F10" s="628"/>
      <c r="G10" s="628"/>
      <c r="H10" s="1913">
        <f>IF(SUM(H11:H15)=0,"NO",SUM(H11:H15))</f>
        <v>37242.617392116299</v>
      </c>
      <c r="I10" s="1913">
        <f t="shared" ref="I10:K10" si="0">IF(SUM(I11:I16)=0,"NO",SUM(I11:I16))</f>
        <v>2.2323579497327777</v>
      </c>
      <c r="J10" s="1847">
        <f t="shared" si="0"/>
        <v>1.2216233268319048</v>
      </c>
      <c r="K10" s="3065" t="str">
        <f t="shared" si="0"/>
        <v>NO</v>
      </c>
    </row>
    <row r="11" spans="2:11" ht="18" customHeight="1" x14ac:dyDescent="0.2">
      <c r="B11" s="282" t="s">
        <v>132</v>
      </c>
      <c r="C11" s="1913">
        <f>IF(SUM(C18,C25,C32,C39,C46,C53,C62,C69,C76,C83,C90,C97,C114,C104:C107)=0,"NO",SUM(C18,C25,C32,C39,C46,C53,C62,C69,C76,C83,C90,C97,C114,C104:C107))</f>
        <v>167883.95849934247</v>
      </c>
      <c r="D11" s="3077" t="s">
        <v>1814</v>
      </c>
      <c r="E11" s="1913">
        <f>IFERROR(H11*1000/$C11,"NA")</f>
        <v>67.778007825729773</v>
      </c>
      <c r="F11" s="1913">
        <f t="shared" ref="F11:G16" si="1">IFERROR(I11*1000000/$C11,"NA")</f>
        <v>5.1059320884323434</v>
      </c>
      <c r="G11" s="1913">
        <f t="shared" si="1"/>
        <v>2.1136104981449049</v>
      </c>
      <c r="H11" s="1913">
        <f>IF(SUM(H18,H25,H32,H39,H46,H53,H62,H69,H76,H83,H90,H97,H114,H104:H107)=0,"NO",SUM(H18,H25,H32,H39,H46,H53,H62,H69,H76,H83,H90,H97,H114,H104:H107))</f>
        <v>11378.840252982925</v>
      </c>
      <c r="I11" s="1913">
        <f>IF(SUM(I18,I25,I32,I39,I46,I53,I62,I69,I76,I83,I90,I97,I114,I104:I107)=0,"NO",SUM(I18,I25,I32,I39,I46,I53,I62,I69,I76,I83,I90,I97,I114,I104:I107))</f>
        <v>0.85720409083483662</v>
      </c>
      <c r="J11" s="1913">
        <f>IF(SUM(J18,J25,J32,J39,J46,J53,J62,J69,J76,J83,J90,J97,J114,J104:J107)=0,"NO",SUM(J18,J25,J32,J39,J46,J53,J62,J69,J76,J83,J90,J97,J114,J104:J107))</f>
        <v>0.35484129715433371</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137415.85593023253</v>
      </c>
      <c r="D12" s="3077" t="s">
        <v>1814</v>
      </c>
      <c r="E12" s="1913">
        <f t="shared" ref="E12:E16" si="2">IFERROR(H12*1000/$C12,"NA")</f>
        <v>79.93296305405957</v>
      </c>
      <c r="F12" s="1913">
        <f t="shared" si="1"/>
        <v>0.96766159383260963</v>
      </c>
      <c r="G12" s="1913">
        <f t="shared" si="1"/>
        <v>0.69944581375103065</v>
      </c>
      <c r="H12" s="1913">
        <f>IF(SUM(H19,H26,H33,H40,H47,H54,H63,H70,H77,H84,H91,H98,H115)=0,"NO",SUM(H19,H26,H33,H40,H47,H54,H63,H70,H77,H84,H91,H98,H115))</f>
        <v>10984.056535113248</v>
      </c>
      <c r="I12" s="1913">
        <f>IF(SUM(I19,I26,I33,I40,I47,I54,I63,I70,I77,I84,I91,I98,I115)=0,"NO",SUM(I19,I26,I33,I40,I47,I54,I63,I70,I77,I84,I91,I98,I115))</f>
        <v>0.13297204616732106</v>
      </c>
      <c r="J12" s="1913">
        <f>IF(SUM(J19,J26,J33,J40,J47,J54,J63,J70,J77,J84,J91,J98,J115)=0,"NO",SUM(J19,J26,J33,J40,J47,J54,J63,J70,J77,J84,J91,J98,J115))</f>
        <v>9.6114945173415886E-2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289421.61826815136</v>
      </c>
      <c r="D13" s="3077" t="s">
        <v>1814</v>
      </c>
      <c r="E13" s="1913">
        <f t="shared" si="2"/>
        <v>51.411918339265007</v>
      </c>
      <c r="F13" s="1913">
        <f t="shared" si="1"/>
        <v>0.96093182202335714</v>
      </c>
      <c r="G13" s="1913">
        <f t="shared" si="1"/>
        <v>0.54304743483797036</v>
      </c>
      <c r="H13" s="1913">
        <f t="shared" ref="H13:K14" si="3">IF(SUM(H20,H27,H34,H41,H48,H55,H64,H71,H78,H85,H92,H99,H116,H109)=0,"NO",SUM(H20,H27,H34,H41,H48,H55,H64,H71,H78,H85,H92,H99,H116,H109))</f>
        <v>14879.720604020125</v>
      </c>
      <c r="I13" s="1913">
        <f t="shared" si="3"/>
        <v>0.27811444297536325</v>
      </c>
      <c r="J13" s="1913">
        <f t="shared" si="3"/>
        <v>0.15716966738717386</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105170.98579148251</v>
      </c>
      <c r="D16" s="3092" t="s">
        <v>1814</v>
      </c>
      <c r="E16" s="1913">
        <f t="shared" si="2"/>
        <v>94.748029365698457</v>
      </c>
      <c r="F16" s="1913">
        <f t="shared" si="1"/>
        <v>9.1666666666666679</v>
      </c>
      <c r="G16" s="1913">
        <f t="shared" si="1"/>
        <v>5.8333333333333348</v>
      </c>
      <c r="H16" s="1913">
        <f>IF(SUM(H23,H30,H37,H44,H51,H58,H67,H74,H81,H88,H95,H102,H119,H111)=0,"NO",SUM(H23,H30,H37,H44,H51,H58,H67,H74,H81,H88,H95,H102,H119,H111))</f>
        <v>9964.7436501908396</v>
      </c>
      <c r="I16" s="1913">
        <f>IF(SUM(I23,I30,I37,I44,I51,I58,I67,I74,I81,I88,I95,I102,I119,I111)=0,"NO",SUM(I23,I30,I37,I44,I51,I58,I67,I74,I81,I88,I95,I102,I119,I111))</f>
        <v>0.96406736975525653</v>
      </c>
      <c r="J16" s="1913">
        <f>IF(SUM(J23,J30,J37,J44,J51,J58,J67,J74,J81,J88,J95,J102,J119,J111)=0,"NO",SUM(J23,J30,J37,J44,J51,J58,J67,J74,J81,J88,J95,J102,J119,J111))</f>
        <v>0.61349741711698147</v>
      </c>
      <c r="K16" s="3065" t="str">
        <f>IF(SUM(K23,K30,K37,K44,K51,K58,K67,K74,K81,K88,K95,K102,K119,K111)=0,"NO",SUM(K23,K30,K37,K44,K51,K58,K67,K74,K81,K88,K95,K102,K119,K111))</f>
        <v>NO</v>
      </c>
    </row>
    <row r="17" spans="2:11" ht="18" customHeight="1" x14ac:dyDescent="0.2">
      <c r="B17" s="1241" t="s">
        <v>151</v>
      </c>
      <c r="C17" s="1913">
        <f>IF(SUM(C18:C23)=0,"NO",SUM(C18:C23))</f>
        <v>60960.7</v>
      </c>
      <c r="D17" s="3076" t="s">
        <v>1814</v>
      </c>
      <c r="E17" s="628"/>
      <c r="F17" s="628"/>
      <c r="G17" s="628"/>
      <c r="H17" s="1913">
        <f>IF(SUM(H18:H22)=0,"NO",SUM(H18:H22))</f>
        <v>2909.2218591743908</v>
      </c>
      <c r="I17" s="1913">
        <f t="shared" ref="I17:K17" si="4">IF(SUM(I18:I23)=0,"NO",SUM(I18:I23))</f>
        <v>0.10659636394511149</v>
      </c>
      <c r="J17" s="1913">
        <f t="shared" si="4"/>
        <v>3.6481106301266025E-2</v>
      </c>
      <c r="K17" s="3065" t="str">
        <f t="shared" si="4"/>
        <v>NO</v>
      </c>
    </row>
    <row r="18" spans="2:11" ht="18" customHeight="1" x14ac:dyDescent="0.2">
      <c r="B18" s="282" t="s">
        <v>132</v>
      </c>
      <c r="C18" s="691">
        <v>2700</v>
      </c>
      <c r="D18" s="3077" t="s">
        <v>1814</v>
      </c>
      <c r="E18" s="1913">
        <f>IFERROR(H18*1000/$C18,"NA")</f>
        <v>68.088888888888903</v>
      </c>
      <c r="F18" s="1913">
        <f t="shared" ref="F18:G23" si="5">IFERROR(I18*1000000/$C18,"NA")</f>
        <v>18.873871751356027</v>
      </c>
      <c r="G18" s="1913">
        <f t="shared" si="5"/>
        <v>1.2229756081328409</v>
      </c>
      <c r="H18" s="691">
        <v>183.84000000000003</v>
      </c>
      <c r="I18" s="691">
        <v>5.0959453728661279E-2</v>
      </c>
      <c r="J18" s="691">
        <v>3.3020341419586702E-3</v>
      </c>
      <c r="K18" s="3093" t="s">
        <v>2146</v>
      </c>
    </row>
    <row r="19" spans="2:11" ht="18" customHeight="1" x14ac:dyDescent="0.2">
      <c r="B19" s="282" t="s">
        <v>133</v>
      </c>
      <c r="C19" s="691">
        <v>28860.7</v>
      </c>
      <c r="D19" s="3077" t="s">
        <v>1814</v>
      </c>
      <c r="E19" s="1913">
        <f t="shared" ref="E19:E23" si="6">IFERROR(H19*1000/$C19,"NA")</f>
        <v>42.059667991420859</v>
      </c>
      <c r="F19" s="1913">
        <f t="shared" si="5"/>
        <v>0.95530352341656288</v>
      </c>
      <c r="G19" s="1913">
        <f t="shared" si="5"/>
        <v>0.58201257561755404</v>
      </c>
      <c r="H19" s="691">
        <v>1213.8714600000001</v>
      </c>
      <c r="I19" s="691">
        <v>2.75707283982684E-2</v>
      </c>
      <c r="J19" s="691">
        <v>1.6797290341125544E-2</v>
      </c>
      <c r="K19" s="3093" t="s">
        <v>2146</v>
      </c>
    </row>
    <row r="20" spans="2:11" ht="18" customHeight="1" x14ac:dyDescent="0.2">
      <c r="B20" s="282" t="s">
        <v>134</v>
      </c>
      <c r="C20" s="691">
        <v>29399.999999999996</v>
      </c>
      <c r="D20" s="3077" t="s">
        <v>1814</v>
      </c>
      <c r="E20" s="1913">
        <f t="shared" si="6"/>
        <v>51.411918339265</v>
      </c>
      <c r="F20" s="1913">
        <f t="shared" si="5"/>
        <v>0.95463203463203461</v>
      </c>
      <c r="G20" s="1913">
        <f t="shared" si="5"/>
        <v>0.55720346320346303</v>
      </c>
      <c r="H20" s="691">
        <v>1511.5103991743908</v>
      </c>
      <c r="I20" s="691">
        <v>2.8066181818181813E-2</v>
      </c>
      <c r="J20" s="691">
        <v>1.6381781818181812E-2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193483.97507546446</v>
      </c>
      <c r="D24" s="3077" t="s">
        <v>1814</v>
      </c>
      <c r="E24" s="628"/>
      <c r="F24" s="628"/>
      <c r="G24" s="628"/>
      <c r="H24" s="1913">
        <f>IF(SUM(H25:H29)=0,"NO",SUM(H25:H29))</f>
        <v>12432.580682776943</v>
      </c>
      <c r="I24" s="1913">
        <f t="shared" ref="I24:K24" si="7">IF(SUM(I25:I30)=0,"NO",SUM(I25:I30))</f>
        <v>0.2262209757462284</v>
      </c>
      <c r="J24" s="1913">
        <f t="shared" si="7"/>
        <v>0.13506962228602629</v>
      </c>
      <c r="K24" s="3065" t="str">
        <f t="shared" si="7"/>
        <v>NO</v>
      </c>
    </row>
    <row r="25" spans="2:11" ht="18" customHeight="1" x14ac:dyDescent="0.2">
      <c r="B25" s="282" t="s">
        <v>132</v>
      </c>
      <c r="C25" s="691">
        <v>29950.04007546448</v>
      </c>
      <c r="D25" s="3077" t="s">
        <v>1814</v>
      </c>
      <c r="E25" s="1913">
        <f>IFERROR(H25*1000/$C25,"NA")</f>
        <v>72.015361051924572</v>
      </c>
      <c r="F25" s="1913">
        <f t="shared" ref="F25:G30" si="8">IFERROR(I25*1000000/$C25,"NA")</f>
        <v>1.7313691172656283</v>
      </c>
      <c r="G25" s="1913">
        <f t="shared" si="8"/>
        <v>0.78613815239993867</v>
      </c>
      <c r="H25" s="691">
        <v>2156.862949554185</v>
      </c>
      <c r="I25" s="691">
        <v>5.1854574447527127E-2</v>
      </c>
      <c r="J25" s="691">
        <v>2.3544869169229765E-2</v>
      </c>
      <c r="K25" s="3093" t="s">
        <v>2146</v>
      </c>
    </row>
    <row r="26" spans="2:11" ht="18" customHeight="1" x14ac:dyDescent="0.2">
      <c r="B26" s="282" t="s">
        <v>133</v>
      </c>
      <c r="C26" s="691">
        <v>49233.934999999998</v>
      </c>
      <c r="D26" s="3077" t="s">
        <v>1814</v>
      </c>
      <c r="E26" s="1913">
        <f t="shared" ref="E26:E30" si="9">IFERROR(H26*1000/$C26,"NA")</f>
        <v>91.653078052590203</v>
      </c>
      <c r="F26" s="1913">
        <f t="shared" si="8"/>
        <v>0.95238095238095244</v>
      </c>
      <c r="G26" s="1913">
        <f t="shared" si="8"/>
        <v>0.70609523809523811</v>
      </c>
      <c r="H26" s="691">
        <v>4512.4416873911523</v>
      </c>
      <c r="I26" s="691">
        <v>4.6889461904761905E-2</v>
      </c>
      <c r="J26" s="691">
        <v>3.4763847056190476E-2</v>
      </c>
      <c r="K26" s="3093" t="s">
        <v>2146</v>
      </c>
    </row>
    <row r="27" spans="2:11" ht="18" customHeight="1" x14ac:dyDescent="0.2">
      <c r="B27" s="282" t="s">
        <v>134</v>
      </c>
      <c r="C27" s="691">
        <v>112100</v>
      </c>
      <c r="D27" s="3077" t="s">
        <v>1814</v>
      </c>
      <c r="E27" s="1913">
        <f t="shared" si="9"/>
        <v>51.411918339264993</v>
      </c>
      <c r="F27" s="1913">
        <f t="shared" si="8"/>
        <v>0.95727272727272705</v>
      </c>
      <c r="G27" s="1913">
        <f t="shared" si="8"/>
        <v>0.57027272727272715</v>
      </c>
      <c r="H27" s="691">
        <v>5763.2760458316061</v>
      </c>
      <c r="I27" s="691">
        <v>0.10731027272727271</v>
      </c>
      <c r="J27" s="691">
        <v>6.3927572727272716E-2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2200.0000000000009</v>
      </c>
      <c r="D30" s="3077" t="s">
        <v>1814</v>
      </c>
      <c r="E30" s="1913">
        <f t="shared" si="9"/>
        <v>94</v>
      </c>
      <c r="F30" s="1913">
        <f t="shared" si="8"/>
        <v>9.1666666666666661</v>
      </c>
      <c r="G30" s="1913">
        <f t="shared" si="8"/>
        <v>5.8333333333333348</v>
      </c>
      <c r="H30" s="691">
        <v>206.8000000000001</v>
      </c>
      <c r="I30" s="691">
        <v>2.0166666666666676E-2</v>
      </c>
      <c r="J30" s="691">
        <v>1.2833333333333341E-2</v>
      </c>
      <c r="K30" s="3093" t="s">
        <v>2146</v>
      </c>
    </row>
    <row r="31" spans="2:11" ht="18" customHeight="1" x14ac:dyDescent="0.2">
      <c r="B31" s="1241" t="s">
        <v>153</v>
      </c>
      <c r="C31" s="1913">
        <f>IF(SUM(C32:C37)=0,"NO",SUM(C32:C37))</f>
        <v>89376.13741526645</v>
      </c>
      <c r="D31" s="3077" t="s">
        <v>1814</v>
      </c>
      <c r="E31" s="628"/>
      <c r="F31" s="628"/>
      <c r="G31" s="628"/>
      <c r="H31" s="1913">
        <f>IF(SUM(H32:H36)=0,"NO",SUM(H32:H36))</f>
        <v>5578.8596201984037</v>
      </c>
      <c r="I31" s="1913">
        <f t="shared" ref="I31:K31" si="10">IF(SUM(I32:I37)=0,"NO",SUM(I32:I37))</f>
        <v>0.40150245370125781</v>
      </c>
      <c r="J31" s="1913">
        <f t="shared" si="10"/>
        <v>8.9275725305946699E-2</v>
      </c>
      <c r="K31" s="3065" t="str">
        <f t="shared" si="10"/>
        <v>NO</v>
      </c>
    </row>
    <row r="32" spans="2:11" ht="18" customHeight="1" x14ac:dyDescent="0.2">
      <c r="B32" s="282" t="s">
        <v>132</v>
      </c>
      <c r="C32" s="691">
        <v>56002.309844789525</v>
      </c>
      <c r="D32" s="3077" t="s">
        <v>1814</v>
      </c>
      <c r="E32" s="1913">
        <f>IFERROR(H32*1000/$C32,"NA")</f>
        <v>63.677881898318489</v>
      </c>
      <c r="F32" s="1913">
        <f t="shared" ref="F32:G37" si="11">IFERROR(I32*1000000/$C32,"NA")</f>
        <v>6.5991937671605516</v>
      </c>
      <c r="G32" s="1913">
        <f t="shared" si="11"/>
        <v>1.2856682341796384</v>
      </c>
      <c r="H32" s="691">
        <v>3566.1084723295462</v>
      </c>
      <c r="I32" s="691">
        <v>0.369570094074329</v>
      </c>
      <c r="J32" s="691">
        <v>7.2000390808131531E-2</v>
      </c>
      <c r="K32" s="3093" t="s">
        <v>2146</v>
      </c>
    </row>
    <row r="33" spans="2:11" ht="18" customHeight="1" x14ac:dyDescent="0.2">
      <c r="B33" s="282" t="s">
        <v>133</v>
      </c>
      <c r="C33" s="691">
        <v>7762.2093023255802</v>
      </c>
      <c r="D33" s="3077" t="s">
        <v>1814</v>
      </c>
      <c r="E33" s="1913">
        <f t="shared" ref="E33:E37" si="12">IFERROR(H33*1000/$C33,"NA")</f>
        <v>89.666317129803005</v>
      </c>
      <c r="F33" s="1913">
        <f t="shared" si="11"/>
        <v>0.95238095238095244</v>
      </c>
      <c r="G33" s="1913">
        <f t="shared" si="11"/>
        <v>0.66666666666666674</v>
      </c>
      <c r="H33" s="691">
        <v>696.00872093023247</v>
      </c>
      <c r="I33" s="691">
        <v>7.3925802879291243E-3</v>
      </c>
      <c r="J33" s="691">
        <v>5.1748062015503872E-3</v>
      </c>
      <c r="K33" s="3093" t="s">
        <v>2146</v>
      </c>
    </row>
    <row r="34" spans="2:11" ht="18" customHeight="1" x14ac:dyDescent="0.2">
      <c r="B34" s="282" t="s">
        <v>134</v>
      </c>
      <c r="C34" s="691">
        <v>25611.618268151342</v>
      </c>
      <c r="D34" s="3077" t="s">
        <v>1814</v>
      </c>
      <c r="E34" s="1913">
        <f t="shared" si="12"/>
        <v>51.411918339265007</v>
      </c>
      <c r="F34" s="1913">
        <f t="shared" si="11"/>
        <v>0.95815028484613551</v>
      </c>
      <c r="G34" s="1913">
        <f t="shared" si="11"/>
        <v>0.47246246486939381</v>
      </c>
      <c r="H34" s="691">
        <v>1316.7424269386245</v>
      </c>
      <c r="I34" s="691">
        <v>2.4539779338999694E-2</v>
      </c>
      <c r="J34" s="691">
        <v>1.2100528296264778E-2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42700</v>
      </c>
      <c r="D38" s="3077" t="s">
        <v>1814</v>
      </c>
      <c r="E38" s="628"/>
      <c r="F38" s="628"/>
      <c r="G38" s="628"/>
      <c r="H38" s="1913">
        <f>IF(SUM(H39:H43)=0,"NO",SUM(H39:H43))</f>
        <v>1328.1812200004454</v>
      </c>
      <c r="I38" s="1913">
        <f t="shared" ref="I38:K38" si="13">IF(SUM(I39:I44)=0,"NO",SUM(I39:I44))</f>
        <v>0.19981280952380956</v>
      </c>
      <c r="J38" s="1913">
        <f t="shared" si="13"/>
        <v>0.13368713809523808</v>
      </c>
      <c r="K38" s="3065" t="str">
        <f t="shared" si="13"/>
        <v>NO</v>
      </c>
    </row>
    <row r="39" spans="2:11" ht="18" customHeight="1" x14ac:dyDescent="0.2">
      <c r="B39" s="282" t="s">
        <v>132</v>
      </c>
      <c r="C39" s="691">
        <v>1800</v>
      </c>
      <c r="D39" s="3077" t="s">
        <v>1814</v>
      </c>
      <c r="E39" s="1913">
        <f>IFERROR(H39*1000/$C39,"NA")</f>
        <v>67.611111111111128</v>
      </c>
      <c r="F39" s="1913">
        <f t="shared" ref="F39:G44" si="14">IFERROR(I39*1000000/$C39,"NA")</f>
        <v>0.78132275132275131</v>
      </c>
      <c r="G39" s="1913">
        <f t="shared" si="14"/>
        <v>1.0520211640211641</v>
      </c>
      <c r="H39" s="691">
        <v>121.70000000000003</v>
      </c>
      <c r="I39" s="691">
        <v>1.4063809523809524E-3</v>
      </c>
      <c r="J39" s="691">
        <v>1.8936380952380952E-3</v>
      </c>
      <c r="K39" s="3093" t="s">
        <v>2146</v>
      </c>
    </row>
    <row r="40" spans="2:11" ht="18" customHeight="1" x14ac:dyDescent="0.2">
      <c r="B40" s="282" t="s">
        <v>133</v>
      </c>
      <c r="C40" s="691">
        <v>2699.9999999999995</v>
      </c>
      <c r="D40" s="3077" t="s">
        <v>1814</v>
      </c>
      <c r="E40" s="1913">
        <f t="shared" ref="E40:E44" si="15">IFERROR(H40*1000/$C40,"NA")</f>
        <v>90.769758168959257</v>
      </c>
      <c r="F40" s="1913">
        <f t="shared" si="14"/>
        <v>0.95238095238095222</v>
      </c>
      <c r="G40" s="1913">
        <f t="shared" si="14"/>
        <v>0.66666666666666674</v>
      </c>
      <c r="H40" s="691">
        <v>245.07834705618995</v>
      </c>
      <c r="I40" s="691">
        <v>2.5714285714285709E-3</v>
      </c>
      <c r="J40" s="691">
        <v>1.7999999999999997E-3</v>
      </c>
      <c r="K40" s="3093" t="s">
        <v>2146</v>
      </c>
    </row>
    <row r="41" spans="2:11" ht="18" customHeight="1" x14ac:dyDescent="0.2">
      <c r="B41" s="282" t="s">
        <v>134</v>
      </c>
      <c r="C41" s="691">
        <v>18699.999999999996</v>
      </c>
      <c r="D41" s="3077" t="s">
        <v>1814</v>
      </c>
      <c r="E41" s="1913">
        <f t="shared" si="15"/>
        <v>51.411918339265</v>
      </c>
      <c r="F41" s="1913">
        <f t="shared" si="14"/>
        <v>0.91363636363636358</v>
      </c>
      <c r="G41" s="1913">
        <f t="shared" si="14"/>
        <v>0.86863636363636354</v>
      </c>
      <c r="H41" s="691">
        <v>961.40287294425536</v>
      </c>
      <c r="I41" s="691">
        <v>1.7084999999999996E-2</v>
      </c>
      <c r="J41" s="691">
        <v>1.6243499999999994E-2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19500</v>
      </c>
      <c r="D44" s="3076" t="s">
        <v>1814</v>
      </c>
      <c r="E44" s="1913">
        <f t="shared" si="15"/>
        <v>93.999999999999986</v>
      </c>
      <c r="F44" s="1913">
        <f t="shared" si="14"/>
        <v>9.1666666666666696</v>
      </c>
      <c r="G44" s="1913">
        <f t="shared" si="14"/>
        <v>5.833333333333333</v>
      </c>
      <c r="H44" s="691">
        <v>1832.9999999999998</v>
      </c>
      <c r="I44" s="691">
        <v>0.17875000000000005</v>
      </c>
      <c r="J44" s="691">
        <v>0.11375</v>
      </c>
      <c r="K44" s="3093" t="s">
        <v>2146</v>
      </c>
    </row>
    <row r="45" spans="2:11" ht="18" customHeight="1" x14ac:dyDescent="0.2">
      <c r="B45" s="1241" t="s">
        <v>155</v>
      </c>
      <c r="C45" s="1913">
        <f>IF(SUM(C46:C51)=0,"NO",SUM(C46:C51))</f>
        <v>132379.99741938949</v>
      </c>
      <c r="D45" s="3076" t="s">
        <v>1814</v>
      </c>
      <c r="E45" s="628"/>
      <c r="F45" s="628"/>
      <c r="G45" s="628"/>
      <c r="H45" s="1913">
        <f>IF(SUM(H46:H50)=0,"NO",SUM(H46:H50))</f>
        <v>3214.9080156657701</v>
      </c>
      <c r="I45" s="1913">
        <f t="shared" ref="I45:K45" si="16">IF(SUM(I46:I51)=0,"NO",SUM(I46:I51))</f>
        <v>0.80937387102553204</v>
      </c>
      <c r="J45" s="1913">
        <f t="shared" si="16"/>
        <v>0.53333493740556193</v>
      </c>
      <c r="K45" s="3065" t="str">
        <f t="shared" si="16"/>
        <v>NO</v>
      </c>
    </row>
    <row r="46" spans="2:11" ht="18" customHeight="1" x14ac:dyDescent="0.2">
      <c r="B46" s="282" t="s">
        <v>132</v>
      </c>
      <c r="C46" s="691">
        <v>7000.0000000000009</v>
      </c>
      <c r="D46" s="3076" t="s">
        <v>1814</v>
      </c>
      <c r="E46" s="1913">
        <f>IFERROR(H46*1000/$C46,"NA")</f>
        <v>65.658571428571435</v>
      </c>
      <c r="F46" s="1913">
        <f t="shared" ref="F46:G51" si="17">IFERROR(I46*1000000/$C46,"NA")</f>
        <v>1.710906762705082</v>
      </c>
      <c r="G46" s="1913">
        <f t="shared" si="17"/>
        <v>2.4047540216086429</v>
      </c>
      <c r="H46" s="691">
        <v>459.61000000000007</v>
      </c>
      <c r="I46" s="691">
        <v>1.1976347338935576E-2</v>
      </c>
      <c r="J46" s="691">
        <v>1.6833278151260504E-2</v>
      </c>
      <c r="K46" s="3093" t="s">
        <v>2146</v>
      </c>
    </row>
    <row r="47" spans="2:11" ht="18" customHeight="1" x14ac:dyDescent="0.2">
      <c r="B47" s="282" t="s">
        <v>133</v>
      </c>
      <c r="C47" s="691">
        <v>14109.011627906977</v>
      </c>
      <c r="D47" s="3076" t="s">
        <v>1814</v>
      </c>
      <c r="E47" s="1913">
        <f t="shared" ref="E47:E51" si="18">IFERROR(H47*1000/$C47,"NA")</f>
        <v>91.070670650046367</v>
      </c>
      <c r="F47" s="1913">
        <f t="shared" si="17"/>
        <v>0.95238095238095233</v>
      </c>
      <c r="G47" s="1913">
        <f t="shared" si="17"/>
        <v>0.67523809523809519</v>
      </c>
      <c r="H47" s="691">
        <v>1284.9171511627908</v>
      </c>
      <c r="I47" s="691">
        <v>1.3437153931339978E-2</v>
      </c>
      <c r="J47" s="691">
        <v>9.5269421373200443E-3</v>
      </c>
      <c r="K47" s="3093" t="s">
        <v>2146</v>
      </c>
    </row>
    <row r="48" spans="2:11" ht="18" customHeight="1" x14ac:dyDescent="0.2">
      <c r="B48" s="282" t="s">
        <v>134</v>
      </c>
      <c r="C48" s="691">
        <v>28600</v>
      </c>
      <c r="D48" s="3076" t="s">
        <v>1814</v>
      </c>
      <c r="E48" s="1913">
        <f t="shared" si="18"/>
        <v>51.411918339265</v>
      </c>
      <c r="F48" s="1913">
        <f t="shared" si="17"/>
        <v>0.91409090909090918</v>
      </c>
      <c r="G48" s="1913">
        <f t="shared" si="17"/>
        <v>0.86459090909090897</v>
      </c>
      <c r="H48" s="691">
        <v>1470.380864502979</v>
      </c>
      <c r="I48" s="691">
        <v>2.6143000000000003E-2</v>
      </c>
      <c r="J48" s="691">
        <v>2.4727299999999997E-2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82670.985791482512</v>
      </c>
      <c r="D51" s="3076" t="s">
        <v>1814</v>
      </c>
      <c r="E51" s="1913">
        <f t="shared" si="18"/>
        <v>94.951615431197482</v>
      </c>
      <c r="F51" s="1913">
        <f t="shared" si="17"/>
        <v>9.1666666666666679</v>
      </c>
      <c r="G51" s="1913">
        <f t="shared" si="17"/>
        <v>5.8333333333333348</v>
      </c>
      <c r="H51" s="691">
        <v>7849.7436501908387</v>
      </c>
      <c r="I51" s="691">
        <v>0.75781736975525649</v>
      </c>
      <c r="J51" s="691">
        <v>0.48224741711698138</v>
      </c>
      <c r="K51" s="3093" t="s">
        <v>2146</v>
      </c>
    </row>
    <row r="52" spans="2:11" ht="18" customHeight="1" x14ac:dyDescent="0.2">
      <c r="B52" s="1241" t="s">
        <v>156</v>
      </c>
      <c r="C52" s="3094">
        <f>IF(SUM(C53:C58)=0,"NO",SUM(C53:C58))</f>
        <v>83000.000000000015</v>
      </c>
      <c r="D52" s="3076" t="s">
        <v>1814</v>
      </c>
      <c r="E52" s="628"/>
      <c r="F52" s="628"/>
      <c r="G52" s="628"/>
      <c r="H52" s="1913">
        <f>IF(SUM(H53:H57)=0,"NO",SUM(H53:H57))</f>
        <v>5196.6071658220899</v>
      </c>
      <c r="I52" s="1913">
        <f t="shared" ref="I52:K52" si="19">IF(SUM(I53:I58)=0,"NO",SUM(I53:I58))</f>
        <v>0.15026174629525188</v>
      </c>
      <c r="J52" s="1913">
        <f t="shared" si="19"/>
        <v>3.758863987929692E-2</v>
      </c>
      <c r="K52" s="3065" t="str">
        <f t="shared" si="19"/>
        <v>NO</v>
      </c>
    </row>
    <row r="53" spans="2:11" ht="18" customHeight="1" x14ac:dyDescent="0.2">
      <c r="B53" s="282" t="s">
        <v>132</v>
      </c>
      <c r="C53" s="2147">
        <v>4600</v>
      </c>
      <c r="D53" s="3076" t="s">
        <v>1814</v>
      </c>
      <c r="E53" s="1913">
        <f>IFERROR(H53*1000/$C53,"NA")</f>
        <v>66.72608695652174</v>
      </c>
      <c r="F53" s="1913">
        <f t="shared" ref="F53:G58" si="20">IFERROR(I53*1000000/$C53,"NA")</f>
        <v>14.46227874477996</v>
      </c>
      <c r="G53" s="1913">
        <f t="shared" si="20"/>
        <v>1.6223756936924409</v>
      </c>
      <c r="H53" s="691">
        <v>306.94</v>
      </c>
      <c r="I53" s="691">
        <v>6.652648222598781E-2</v>
      </c>
      <c r="J53" s="691">
        <v>7.4629281909852282E-3</v>
      </c>
      <c r="K53" s="3093" t="s">
        <v>2146</v>
      </c>
    </row>
    <row r="54" spans="2:11" ht="18" customHeight="1" x14ac:dyDescent="0.2">
      <c r="B54" s="282" t="s">
        <v>133</v>
      </c>
      <c r="C54" s="691">
        <v>23300</v>
      </c>
      <c r="D54" s="3076" t="s">
        <v>1814</v>
      </c>
      <c r="E54" s="1913">
        <f t="shared" ref="E54:E58" si="21">IFERROR(H54*1000/$C54,"NA")</f>
        <v>90.042918454935645</v>
      </c>
      <c r="F54" s="1913">
        <f t="shared" si="20"/>
        <v>0.95238095238095244</v>
      </c>
      <c r="G54" s="1913">
        <f t="shared" si="20"/>
        <v>0.82579358266911929</v>
      </c>
      <c r="H54" s="691">
        <v>2098.0000000000005</v>
      </c>
      <c r="I54" s="691">
        <v>2.2190476190476191E-2</v>
      </c>
      <c r="J54" s="691">
        <v>1.9240990476190479E-2</v>
      </c>
      <c r="K54" s="3093" t="s">
        <v>2146</v>
      </c>
    </row>
    <row r="55" spans="2:11" ht="18" customHeight="1" x14ac:dyDescent="0.2">
      <c r="B55" s="282" t="s">
        <v>134</v>
      </c>
      <c r="C55" s="691">
        <v>54300.000000000015</v>
      </c>
      <c r="D55" s="3076" t="s">
        <v>1814</v>
      </c>
      <c r="E55" s="1913">
        <f t="shared" si="21"/>
        <v>51.411918339264979</v>
      </c>
      <c r="F55" s="1913">
        <f t="shared" si="20"/>
        <v>0.99836932864557149</v>
      </c>
      <c r="G55" s="1913">
        <f t="shared" si="20"/>
        <v>0.11451297505441151</v>
      </c>
      <c r="H55" s="691">
        <v>2791.6671658220894</v>
      </c>
      <c r="I55" s="691">
        <v>5.4211454545454542E-2</v>
      </c>
      <c r="J55" s="691">
        <v>6.2180545454545459E-3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800.00000000000011</v>
      </c>
      <c r="D58" s="3076" t="s">
        <v>1814</v>
      </c>
      <c r="E58" s="3095">
        <f t="shared" si="21"/>
        <v>94</v>
      </c>
      <c r="F58" s="3095">
        <f t="shared" si="20"/>
        <v>9.1666666666666679</v>
      </c>
      <c r="G58" s="3095">
        <f t="shared" si="20"/>
        <v>5.8333333333333339</v>
      </c>
      <c r="H58" s="2190">
        <v>75.200000000000017</v>
      </c>
      <c r="I58" s="691">
        <v>7.3333333333333358E-3</v>
      </c>
      <c r="J58" s="691">
        <v>4.6666666666666679E-3</v>
      </c>
      <c r="K58" s="3093" t="s">
        <v>2146</v>
      </c>
    </row>
    <row r="59" spans="2:11" ht="18" customHeight="1" x14ac:dyDescent="0.2">
      <c r="B59" s="1241" t="s">
        <v>157</v>
      </c>
      <c r="C59" s="3094">
        <f>IF(SUM(C61,C68,C75,C82,C89,C96,C103,C112)=0,"NO",SUM(C61,C68,C75,C82,C89,C96,C103,C112))</f>
        <v>97991.608579088468</v>
      </c>
      <c r="D59" s="3076" t="s">
        <v>1814</v>
      </c>
      <c r="E59" s="1914"/>
      <c r="F59" s="1914"/>
      <c r="G59" s="1914"/>
      <c r="H59" s="1913">
        <f>IF(SUM(H61,H68,H75,H82,H89,H96,H103,H112)=0,"NO",SUM(H61,H68,H75,H82,H89,H96,H103,H112))</f>
        <v>6582.2588284782569</v>
      </c>
      <c r="I59" s="1913">
        <f>IF(SUM(I61,I68,I75,I82,I89,I96,I103,I112)=0,"NO",SUM(I61,I68,I75,I82,I89,I96,I103,I112))</f>
        <v>0.3385897294955863</v>
      </c>
      <c r="J59" s="1913">
        <f>IF(SUM(J61,J68,J75,J82,J89,J96,J103,J112)=0,"NO",SUM(J61,J68,J75,J82,J89,J96,J103,J112))</f>
        <v>0.25618615755856888</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8500</v>
      </c>
      <c r="D61" s="3076" t="s">
        <v>1814</v>
      </c>
      <c r="E61" s="628"/>
      <c r="F61" s="628"/>
      <c r="G61" s="628"/>
      <c r="H61" s="1913">
        <f>IF(SUM(H62:H66)=0,"NO",SUM(H62:H66))</f>
        <v>447.63819571056098</v>
      </c>
      <c r="I61" s="1913">
        <f t="shared" ref="I61:K61" si="22">IF(SUM(I62:I67)=0,"NO",SUM(I62:I67))</f>
        <v>5.4872476190476187E-2</v>
      </c>
      <c r="J61" s="1913">
        <f t="shared" si="22"/>
        <v>8.2923904761904761E-3</v>
      </c>
      <c r="K61" s="3065" t="str">
        <f t="shared" si="22"/>
        <v>NO</v>
      </c>
    </row>
    <row r="62" spans="2:11" ht="18" customHeight="1" x14ac:dyDescent="0.2">
      <c r="B62" s="158" t="s">
        <v>132</v>
      </c>
      <c r="C62" s="691">
        <v>1099.9999999999998</v>
      </c>
      <c r="D62" s="3076" t="s">
        <v>1814</v>
      </c>
      <c r="E62" s="1913">
        <f>IFERROR(H62*1000/$C62,"NA")</f>
        <v>61.081818181818193</v>
      </c>
      <c r="F62" s="1913">
        <f t="shared" ref="F62:G67" si="23">IFERROR(I62*1000000/$C62,"NA")</f>
        <v>43.627705627705637</v>
      </c>
      <c r="G62" s="1913">
        <f t="shared" si="23"/>
        <v>2.0692640692640696</v>
      </c>
      <c r="H62" s="691">
        <v>67.19</v>
      </c>
      <c r="I62" s="691">
        <v>4.7990476190476188E-2</v>
      </c>
      <c r="J62" s="691">
        <v>2.2761904761904759E-3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7400</v>
      </c>
      <c r="D64" s="3076" t="s">
        <v>1814</v>
      </c>
      <c r="E64" s="1913">
        <f t="shared" si="24"/>
        <v>51.411918339265</v>
      </c>
      <c r="F64" s="1913">
        <f t="shared" si="23"/>
        <v>0.92999999999999983</v>
      </c>
      <c r="G64" s="1913">
        <f t="shared" si="23"/>
        <v>0.81299999999999983</v>
      </c>
      <c r="H64" s="691">
        <v>380.44819571056098</v>
      </c>
      <c r="I64" s="691">
        <v>6.8819999999999992E-3</v>
      </c>
      <c r="J64" s="691">
        <v>6.0161999999999993E-3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42889.999999999985</v>
      </c>
      <c r="D75" s="3077" t="s">
        <v>1814</v>
      </c>
      <c r="E75" s="628"/>
      <c r="F75" s="628"/>
      <c r="G75" s="628"/>
      <c r="H75" s="1913">
        <f>IF(SUM(H76:H80)=0,"NO",SUM(H76:H80))</f>
        <v>3071.3303570990984</v>
      </c>
      <c r="I75" s="1913">
        <f t="shared" ref="I75:K75" si="28">IF(SUM(I76:I81)=0,"NO",SUM(I76:I81))</f>
        <v>0.12357846255966252</v>
      </c>
      <c r="J75" s="1913">
        <f t="shared" si="28"/>
        <v>0.11694244313242308</v>
      </c>
      <c r="K75" s="3065" t="str">
        <f t="shared" si="28"/>
        <v>NO</v>
      </c>
    </row>
    <row r="76" spans="2:11" ht="18" customHeight="1" x14ac:dyDescent="0.2">
      <c r="B76" s="158" t="s">
        <v>132</v>
      </c>
      <c r="C76" s="691">
        <v>31229.999999999993</v>
      </c>
      <c r="D76" s="3077" t="s">
        <v>1814</v>
      </c>
      <c r="E76" s="1913">
        <f>IFERROR(H76*1000/$C76,"NA")</f>
        <v>69.942939481268013</v>
      </c>
      <c r="F76" s="1913">
        <f t="shared" ref="F76:G81" si="29">IFERROR(I76*1000000/$C76,"NA")</f>
        <v>3.4841849885269673</v>
      </c>
      <c r="G76" s="1913">
        <f t="shared" si="29"/>
        <v>3.4466906894649441</v>
      </c>
      <c r="H76" s="691">
        <v>2184.3179999999998</v>
      </c>
      <c r="I76" s="691">
        <v>0.10881109719169717</v>
      </c>
      <c r="J76" s="691">
        <v>0.10764015023199018</v>
      </c>
      <c r="K76" s="3093" t="s">
        <v>2146</v>
      </c>
    </row>
    <row r="77" spans="2:11" ht="18" customHeight="1" x14ac:dyDescent="0.2">
      <c r="B77" s="158" t="s">
        <v>133</v>
      </c>
      <c r="C77" s="691">
        <v>10049.999999999996</v>
      </c>
      <c r="D77" s="3077" t="s">
        <v>1814</v>
      </c>
      <c r="E77" s="1913">
        <f t="shared" ref="E77:E81" si="30">IFERROR(H77*1000/$C77,"NA")</f>
        <v>80.023797867948502</v>
      </c>
      <c r="F77" s="1913">
        <f t="shared" si="29"/>
        <v>1.1529237362968709</v>
      </c>
      <c r="G77" s="1913">
        <f t="shared" si="29"/>
        <v>0.78385429131399298</v>
      </c>
      <c r="H77" s="691">
        <v>804.23916857288214</v>
      </c>
      <c r="I77" s="691">
        <v>1.1586883549783548E-2</v>
      </c>
      <c r="J77" s="691">
        <v>7.8777356277056274E-3</v>
      </c>
      <c r="K77" s="3093" t="s">
        <v>2146</v>
      </c>
    </row>
    <row r="78" spans="2:11" ht="18" customHeight="1" x14ac:dyDescent="0.2">
      <c r="B78" s="158" t="s">
        <v>134</v>
      </c>
      <c r="C78" s="691">
        <v>1610.0000000000002</v>
      </c>
      <c r="D78" s="3077" t="s">
        <v>1814</v>
      </c>
      <c r="E78" s="1913">
        <f t="shared" si="30"/>
        <v>51.411918339264993</v>
      </c>
      <c r="F78" s="1913">
        <f t="shared" si="29"/>
        <v>1.9754545454545458</v>
      </c>
      <c r="G78" s="1913">
        <f t="shared" si="29"/>
        <v>0.8848181818181815</v>
      </c>
      <c r="H78" s="691">
        <v>82.773188526216643</v>
      </c>
      <c r="I78" s="691">
        <v>3.1804818181818189E-3</v>
      </c>
      <c r="J78" s="691">
        <v>1.4245572727272725E-3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32301.608579088475</v>
      </c>
      <c r="D89" s="3077" t="s">
        <v>1814</v>
      </c>
      <c r="E89" s="628"/>
      <c r="F89" s="628"/>
      <c r="G89" s="628"/>
      <c r="H89" s="1913">
        <f>IF(SUM(H90:H94)=0,"NO",SUM(H90:H94))</f>
        <v>2251.4344066009762</v>
      </c>
      <c r="I89" s="1913">
        <f t="shared" ref="I89:K89" si="36">IF(SUM(I90:I95)=0,"NO",SUM(I90:I95))</f>
        <v>0.11851541845107531</v>
      </c>
      <c r="J89" s="1913">
        <f t="shared" si="36"/>
        <v>0.11751174169887306</v>
      </c>
      <c r="K89" s="3065" t="str">
        <f t="shared" si="36"/>
        <v>NO</v>
      </c>
    </row>
    <row r="90" spans="2:11" ht="18" customHeight="1" x14ac:dyDescent="0.2">
      <c r="B90" s="158" t="s">
        <v>132</v>
      </c>
      <c r="C90" s="691">
        <v>32001.608579088475</v>
      </c>
      <c r="D90" s="3077" t="s">
        <v>1814</v>
      </c>
      <c r="E90" s="1913">
        <f>IFERROR(H90*1000/$C90,"NA")</f>
        <v>69.87182614814941</v>
      </c>
      <c r="F90" s="1913">
        <f t="shared" ref="F90:G95" si="37">IFERROR(I90*1000000/$C90,"NA")</f>
        <v>3.6948983638158115</v>
      </c>
      <c r="G90" s="1913">
        <f t="shared" si="37"/>
        <v>3.6635350418839852</v>
      </c>
      <c r="H90" s="691">
        <v>2236.0108310991968</v>
      </c>
      <c r="I90" s="691">
        <v>0.11824269117834804</v>
      </c>
      <c r="J90" s="691">
        <v>0.11723901442614579</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300.00000000000006</v>
      </c>
      <c r="D92" s="3077" t="s">
        <v>1814</v>
      </c>
      <c r="E92" s="1913">
        <f t="shared" si="38"/>
        <v>51.411918339264993</v>
      </c>
      <c r="F92" s="1913">
        <f t="shared" si="37"/>
        <v>0.90909090909090895</v>
      </c>
      <c r="G92" s="1913">
        <f t="shared" si="37"/>
        <v>0.90909090909090895</v>
      </c>
      <c r="H92" s="691">
        <v>15.423575501779499</v>
      </c>
      <c r="I92" s="691">
        <v>2.7272727272727274E-4</v>
      </c>
      <c r="J92" s="691">
        <v>2.7272727272727274E-4</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9500</v>
      </c>
      <c r="D96" s="3076" t="s">
        <v>1814</v>
      </c>
      <c r="E96" s="628"/>
      <c r="F96" s="628"/>
      <c r="G96" s="628"/>
      <c r="H96" s="1913">
        <f>IF(SUM(H97:H101)=0,"NO",SUM(H97:H101))</f>
        <v>557.95700387663442</v>
      </c>
      <c r="I96" s="1913">
        <f t="shared" ref="I96:K96" si="42">IF(SUM(I97:I102)=0,"NO",SUM(I97:I102))</f>
        <v>9.2362943722943715E-3</v>
      </c>
      <c r="J96" s="1913">
        <f t="shared" si="42"/>
        <v>8.5248311688311696E-3</v>
      </c>
      <c r="K96" s="3065" t="str">
        <f t="shared" si="42"/>
        <v>NO</v>
      </c>
    </row>
    <row r="97" spans="2:11" ht="18" customHeight="1" x14ac:dyDescent="0.2">
      <c r="B97" s="158" t="s">
        <v>132</v>
      </c>
      <c r="C97" s="691">
        <v>800</v>
      </c>
      <c r="D97" s="3076" t="s">
        <v>1814</v>
      </c>
      <c r="E97" s="1913">
        <f>IFERROR(H97*1000/$C97,"NA")</f>
        <v>66.437500000000014</v>
      </c>
      <c r="F97" s="1913">
        <f t="shared" ref="F97:G102" si="43">IFERROR(I97*1000000/$C97,"NA")</f>
        <v>1.5168831168831169</v>
      </c>
      <c r="G97" s="1913">
        <f t="shared" si="43"/>
        <v>1.7845541125541127</v>
      </c>
      <c r="H97" s="691">
        <v>53.150000000000006</v>
      </c>
      <c r="I97" s="691">
        <v>1.2135064935064935E-3</v>
      </c>
      <c r="J97" s="691">
        <v>1.4276432900432901E-3</v>
      </c>
      <c r="K97" s="3093" t="s">
        <v>2146</v>
      </c>
    </row>
    <row r="98" spans="2:11" ht="18" customHeight="1" x14ac:dyDescent="0.2">
      <c r="B98" s="158" t="s">
        <v>133</v>
      </c>
      <c r="C98" s="691">
        <v>1400</v>
      </c>
      <c r="D98" s="3076" t="s">
        <v>1814</v>
      </c>
      <c r="E98" s="1913">
        <f t="shared" ref="E98:E102" si="44">IFERROR(H98*1000/$C98,"NA")</f>
        <v>92.5</v>
      </c>
      <c r="F98" s="1913">
        <f t="shared" si="43"/>
        <v>0.95238095238095222</v>
      </c>
      <c r="G98" s="1913">
        <f t="shared" si="43"/>
        <v>0.66666666666666652</v>
      </c>
      <c r="H98" s="691">
        <v>129.5</v>
      </c>
      <c r="I98" s="691">
        <v>1.3333333333333331E-3</v>
      </c>
      <c r="J98" s="691">
        <v>9.3333333333333311E-4</v>
      </c>
      <c r="K98" s="3093" t="s">
        <v>2146</v>
      </c>
    </row>
    <row r="99" spans="2:11" ht="18" customHeight="1" x14ac:dyDescent="0.2">
      <c r="B99" s="158" t="s">
        <v>134</v>
      </c>
      <c r="C99" s="691">
        <v>7300</v>
      </c>
      <c r="D99" s="3076" t="s">
        <v>1814</v>
      </c>
      <c r="E99" s="1913">
        <f t="shared" si="44"/>
        <v>51.411918339264993</v>
      </c>
      <c r="F99" s="1913">
        <f t="shared" si="43"/>
        <v>0.91636363636363627</v>
      </c>
      <c r="G99" s="1913">
        <f t="shared" si="43"/>
        <v>0.84436363636363643</v>
      </c>
      <c r="H99" s="691">
        <v>375.30700387663444</v>
      </c>
      <c r="I99" s="691">
        <v>6.6894545454545453E-3</v>
      </c>
      <c r="J99" s="691">
        <v>6.163854545454546E-3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4800</v>
      </c>
      <c r="D112" s="3076" t="s">
        <v>1814</v>
      </c>
      <c r="E112" s="628"/>
      <c r="F112" s="628"/>
      <c r="G112" s="628"/>
      <c r="H112" s="1913">
        <f>H113</f>
        <v>253.8988651909865</v>
      </c>
      <c r="I112" s="1913">
        <f>I113</f>
        <v>3.2387077922077921E-2</v>
      </c>
      <c r="J112" s="1913">
        <f>J113</f>
        <v>4.9147510822510811E-3</v>
      </c>
      <c r="K112" s="3065" t="str">
        <f>K113</f>
        <v>NO</v>
      </c>
    </row>
    <row r="113" spans="2:11" ht="18" customHeight="1" x14ac:dyDescent="0.2">
      <c r="B113" s="3090" t="s">
        <v>2259</v>
      </c>
      <c r="C113" s="3099">
        <f>IF(SUM(C114:C119)=0,"NO",SUM(C114:C119))</f>
        <v>4800</v>
      </c>
      <c r="D113" s="3099" t="s">
        <v>1814</v>
      </c>
      <c r="E113" s="628"/>
      <c r="F113" s="628"/>
      <c r="G113" s="628"/>
      <c r="H113" s="3099">
        <f>IF(SUM(H114:H118)=0,"NO",SUM(H114:H118))</f>
        <v>253.8988651909865</v>
      </c>
      <c r="I113" s="3099">
        <f t="shared" ref="I113" si="51">IF(SUM(I114:I119)=0,"NO",SUM(I114:I119))</f>
        <v>3.2387077922077921E-2</v>
      </c>
      <c r="J113" s="3099">
        <f t="shared" ref="J113" si="52">IF(SUM(J114:J119)=0,"NO",SUM(J114:J119))</f>
        <v>4.9147510822510811E-3</v>
      </c>
      <c r="K113" s="3100" t="str">
        <f t="shared" ref="K113" si="53">IF(SUM(K114:K119)=0,"NO",SUM(K114:K119))</f>
        <v>NO</v>
      </c>
    </row>
    <row r="114" spans="2:11" ht="18" customHeight="1" x14ac:dyDescent="0.2">
      <c r="B114" s="158" t="s">
        <v>132</v>
      </c>
      <c r="C114" s="691">
        <v>700</v>
      </c>
      <c r="D114" s="3076" t="s">
        <v>1814</v>
      </c>
      <c r="E114" s="1913">
        <f>IFERROR(H114*1000/$C114,"NA")</f>
        <v>61.585714285714296</v>
      </c>
      <c r="F114" s="1913">
        <f t="shared" ref="F114:G119" si="54">IFERROR(I114*1000000/$C114,"NA")</f>
        <v>40.932838589981451</v>
      </c>
      <c r="G114" s="1913">
        <f t="shared" si="54"/>
        <v>1.7445145330859617</v>
      </c>
      <c r="H114" s="691">
        <v>43.110000000000007</v>
      </c>
      <c r="I114" s="691">
        <v>2.8652987012987016E-2</v>
      </c>
      <c r="J114" s="691">
        <v>1.221160173160173E-3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4100</v>
      </c>
      <c r="D116" s="3076" t="s">
        <v>1814</v>
      </c>
      <c r="E116" s="1913">
        <f t="shared" si="55"/>
        <v>51.411918339264993</v>
      </c>
      <c r="F116" s="1913">
        <f t="shared" si="54"/>
        <v>0.91075388026607529</v>
      </c>
      <c r="G116" s="1913">
        <f t="shared" si="54"/>
        <v>0.90087583148558747</v>
      </c>
      <c r="H116" s="691">
        <v>210.78886519098648</v>
      </c>
      <c r="I116" s="691">
        <v>3.7340909090909087E-3</v>
      </c>
      <c r="J116" s="691">
        <v>3.6935909090909085E-3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5223.1347046389947</v>
      </c>
      <c r="D10" s="4413">
        <f t="shared" ref="D10:F10" si="0">SUM(D11:D16)</f>
        <v>25533.400643022367</v>
      </c>
      <c r="E10" s="4413">
        <f t="shared" si="0"/>
        <v>2179.9785258020406</v>
      </c>
      <c r="F10" s="4413">
        <f t="shared" si="0"/>
        <v>2415.8479958636231</v>
      </c>
      <c r="G10" s="4414" t="s">
        <v>2146</v>
      </c>
      <c r="H10" s="4415" t="s">
        <v>2312</v>
      </c>
      <c r="I10" s="4416" t="s">
        <v>2313</v>
      </c>
    </row>
    <row r="11" spans="2:9" ht="18" customHeight="1" x14ac:dyDescent="0.2">
      <c r="B11" s="1558" t="s">
        <v>1476</v>
      </c>
      <c r="C11" s="4417">
        <f>Table1!D10</f>
        <v>1306.6486982418119</v>
      </c>
      <c r="D11" s="4418">
        <f>Table1!G10</f>
        <v>5766.1930144113612</v>
      </c>
      <c r="E11" s="4418">
        <f>Table1!H10</f>
        <v>828.22109013997363</v>
      </c>
      <c r="F11" s="4418">
        <f>Table1!F10</f>
        <v>1652.924535217124</v>
      </c>
      <c r="G11" s="4419" t="s">
        <v>2146</v>
      </c>
      <c r="H11" s="4420" t="s">
        <v>2154</v>
      </c>
      <c r="I11" s="4421" t="s">
        <v>2154</v>
      </c>
    </row>
    <row r="12" spans="2:9" ht="18" customHeight="1" x14ac:dyDescent="0.2">
      <c r="B12" s="2393" t="s">
        <v>1551</v>
      </c>
      <c r="C12" s="4422">
        <f>'Table2(I)'!D10</f>
        <v>3.9338473991294824</v>
      </c>
      <c r="D12" s="4388">
        <f>'Table2(I)'!L10</f>
        <v>9.4490947036275976</v>
      </c>
      <c r="E12" s="4388">
        <f>'Table2(I)'!M10</f>
        <v>229.91726007503567</v>
      </c>
      <c r="F12" s="4388">
        <f>'Table2(I)'!K10</f>
        <v>20.379696415737317</v>
      </c>
      <c r="G12" s="4423" t="s">
        <v>2146</v>
      </c>
      <c r="H12" s="4424" t="s">
        <v>2146</v>
      </c>
      <c r="I12" s="4425" t="s">
        <v>2146</v>
      </c>
    </row>
    <row r="13" spans="2:9" ht="18" customHeight="1" x14ac:dyDescent="0.2">
      <c r="B13" s="2393" t="s">
        <v>1552</v>
      </c>
      <c r="C13" s="4422">
        <f>Table3!D10</f>
        <v>2542.8701821792915</v>
      </c>
      <c r="D13" s="4388">
        <f>Table3!G10</f>
        <v>332.18476505861963</v>
      </c>
      <c r="E13" s="4388">
        <f>Table3!H10</f>
        <v>19.377444628419475</v>
      </c>
      <c r="F13" s="4388">
        <f>Table3!F10</f>
        <v>19.75023552987069</v>
      </c>
      <c r="G13" s="4426"/>
      <c r="H13" s="4424" t="s">
        <v>2154</v>
      </c>
      <c r="I13" s="4425" t="s">
        <v>2153</v>
      </c>
    </row>
    <row r="14" spans="2:9" ht="18" customHeight="1" x14ac:dyDescent="0.2">
      <c r="B14" s="2393" t="s">
        <v>1553</v>
      </c>
      <c r="C14" s="4422">
        <f>Table4!D10</f>
        <v>589.62938766251364</v>
      </c>
      <c r="D14" s="4388">
        <f>Table4!G10</f>
        <v>19425.573768848761</v>
      </c>
      <c r="E14" s="4423">
        <f>Table4!H10</f>
        <v>657.19907433649882</v>
      </c>
      <c r="F14" s="4423">
        <f>Table4!F10</f>
        <v>722.79352870089099</v>
      </c>
      <c r="G14" s="4426"/>
      <c r="H14" s="4427" t="s">
        <v>2154</v>
      </c>
      <c r="I14" s="4425" t="s">
        <v>2154</v>
      </c>
    </row>
    <row r="15" spans="2:9" ht="18" customHeight="1" x14ac:dyDescent="0.2">
      <c r="B15" s="2393" t="s">
        <v>1554</v>
      </c>
      <c r="C15" s="4422">
        <f>Table5!D10</f>
        <v>780.05258915624881</v>
      </c>
      <c r="D15" s="4388" t="str">
        <f>Table5!G10</f>
        <v>NO</v>
      </c>
      <c r="E15" s="4423">
        <f>Table5!H10</f>
        <v>445.26365662211305</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1995</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346926.57114845089</v>
      </c>
      <c r="D10" s="4193">
        <f>SUM(D11,D22,D30,D41,D50,D56)</f>
        <v>348075.40034182055</v>
      </c>
      <c r="E10" s="3840">
        <f>IF(D10="NO",IF(C10="NO","NA",-C10),IF(C10="NO",D10,D10-C10))</f>
        <v>1148.8291933696601</v>
      </c>
      <c r="F10" s="3838">
        <f>IF(E10="NA","NA",E10/C10*100)</f>
        <v>0.33114476921344627</v>
      </c>
      <c r="G10" s="3841">
        <f>IF(E10="NA","NA",E10/Table8s2!$G$35*100)</f>
        <v>0.25468613159648523</v>
      </c>
      <c r="H10" s="3842">
        <f>IF(E10="NA","NA",E10/Table8s2!$G$34*100)</f>
        <v>0.22341549144913134</v>
      </c>
      <c r="I10" s="4194">
        <f>SUM(I11,I22,I30,I41,I50,I56)</f>
        <v>150797.07792101477</v>
      </c>
      <c r="J10" s="4193">
        <f>SUM(J11,J22,J30,J41,J50,J56)</f>
        <v>146247.77172989186</v>
      </c>
      <c r="K10" s="3840">
        <f t="shared" ref="K10:K12" si="0">IF(J10="NO",IF(I10="NO","NA",-I10),IF(I10="NO",J10,J10-I10))</f>
        <v>-4549.3061911229161</v>
      </c>
      <c r="L10" s="3838">
        <f t="shared" ref="L10:L12" si="1">IF(K10="NA","NA",K10/I10*100)</f>
        <v>-3.0168397516998131</v>
      </c>
      <c r="M10" s="3841">
        <f>IF(K10="NA","NA",K10/Table8s2!$G$35*100)</f>
        <v>-1.0085443527654312</v>
      </c>
      <c r="N10" s="3842">
        <f>IF(K10="NA","NA",K10/Table8s2!$G$34*100)</f>
        <v>-0.88471418058337814</v>
      </c>
      <c r="O10" s="4194">
        <f>SUM(O11,O22,O30,O41,O50,O56)</f>
        <v>17451.221031668978</v>
      </c>
      <c r="P10" s="4193">
        <f>SUM(P11,P22,P30,P41,P50,P56)</f>
        <v>17323.762399421419</v>
      </c>
      <c r="Q10" s="3840">
        <f t="shared" ref="Q10:Q12" si="2">IF(P10="NO",IF(O10="NO","NA",-O10),IF(O10="NO",P10,P10-O10))</f>
        <v>-127.45863224755885</v>
      </c>
      <c r="R10" s="3838">
        <f t="shared" ref="R10:R12" si="3">IF(Q10="NA","NA",Q10/O10*100)</f>
        <v>-0.73037085494624054</v>
      </c>
      <c r="S10" s="3841">
        <f>IF(Q10="NA","NA",Q10/Table8s2!$G$35*100)</f>
        <v>-2.8256546902760048E-2</v>
      </c>
      <c r="T10" s="3842">
        <f>IF(Q10="NA","NA",Q10/Table8s2!$G$34*100)</f>
        <v>-2.4787177351837743E-2</v>
      </c>
    </row>
    <row r="11" spans="2:20" ht="18" customHeight="1" x14ac:dyDescent="0.2">
      <c r="B11" s="1405" t="s">
        <v>1476</v>
      </c>
      <c r="C11" s="3839">
        <f>SUM(C12,C18,C21)</f>
        <v>283304.12903621251</v>
      </c>
      <c r="D11" s="3839">
        <f>Summary2!C11</f>
        <v>283311.20248621254</v>
      </c>
      <c r="E11" s="3843">
        <f t="shared" ref="E11:E38" si="4">IF(D11="NO",IF(C11="NO","NA",-C11),IF(C11="NO",D11,D11-C11))</f>
        <v>7.073450000025332</v>
      </c>
      <c r="F11" s="3839">
        <f t="shared" ref="F11:F38" si="5">IF(E11="NA","NA",E11/C11*100)</f>
        <v>2.4967691166693827E-3</v>
      </c>
      <c r="G11" s="3844">
        <f>IF(E11="NA","NA",E11/Table8s2!$G$35*100)</f>
        <v>1.5681266004945059E-3</v>
      </c>
      <c r="H11" s="3845">
        <f>IF(E11="NA","NA",E11/Table8s2!$G$34*100)</f>
        <v>1.3755903115251153E-3</v>
      </c>
      <c r="I11" s="3846">
        <f>SUM(I12,I18,I21)</f>
        <v>36585.806000902834</v>
      </c>
      <c r="J11" s="3839">
        <f>Summary2!D11</f>
        <v>36586.163550770732</v>
      </c>
      <c r="K11" s="3843">
        <f t="shared" si="0"/>
        <v>0.3575498678983422</v>
      </c>
      <c r="L11" s="3839">
        <f t="shared" si="1"/>
        <v>9.7729121476651049E-4</v>
      </c>
      <c r="M11" s="3844">
        <f>IF(K11="NA","NA",K11/Table8s2!$G$35*100)</f>
        <v>7.9265911097509565E-5</v>
      </c>
      <c r="N11" s="3845">
        <f>IF(K11="NA","NA",K11/Table8s2!$G$34*100)</f>
        <v>6.9533556350335823E-5</v>
      </c>
      <c r="O11" s="3846">
        <f>SUM(O12,O18,O21)</f>
        <v>2142.4584287747534</v>
      </c>
      <c r="P11" s="3839">
        <f>Summary2!E11</f>
        <v>2142.458428774753</v>
      </c>
      <c r="Q11" s="3843">
        <f t="shared" si="2"/>
        <v>-4.5474735088646412E-13</v>
      </c>
      <c r="R11" s="3839">
        <f t="shared" si="3"/>
        <v>-2.1225492395972823E-14</v>
      </c>
      <c r="S11" s="3844">
        <f>IF(Q11="NA","NA",Q11/Table8s2!$G$35*100)</f>
        <v>-1.0081380619456127E-16</v>
      </c>
      <c r="T11" s="3845">
        <f>IF(Q11="NA","NA",Q11/Table8s2!$G$34*100)</f>
        <v>-8.8435777459216061E-17</v>
      </c>
    </row>
    <row r="12" spans="2:20" ht="18" customHeight="1" x14ac:dyDescent="0.2">
      <c r="B12" s="620" t="s">
        <v>131</v>
      </c>
      <c r="C12" s="3839">
        <f>SUM(C13:C17)</f>
        <v>276243.41553081747</v>
      </c>
      <c r="D12" s="3839">
        <f>Summary2!C12</f>
        <v>276250.48898081749</v>
      </c>
      <c r="E12" s="3839">
        <f t="shared" si="4"/>
        <v>7.073450000025332</v>
      </c>
      <c r="F12" s="3847">
        <f t="shared" si="5"/>
        <v>2.5605859189198393E-3</v>
      </c>
      <c r="G12" s="3844">
        <f>IF(E12="NA","NA",E12/Table8s2!$G$35*100)</f>
        <v>1.5681266004945059E-3</v>
      </c>
      <c r="H12" s="3845">
        <f>IF(E12="NA","NA",E12/Table8s2!$G$34*100)</f>
        <v>1.3755903115251153E-3</v>
      </c>
      <c r="I12" s="3846">
        <f>SUM(I13:I17)</f>
        <v>3747.313327720783</v>
      </c>
      <c r="J12" s="3839">
        <f>Summary2!D12</f>
        <v>3747.3309055464797</v>
      </c>
      <c r="K12" s="3839">
        <f t="shared" si="0"/>
        <v>1.757782569666233E-2</v>
      </c>
      <c r="L12" s="3847">
        <f t="shared" si="1"/>
        <v>4.6907808766964351E-4</v>
      </c>
      <c r="M12" s="3844">
        <f>IF(K12="NA","NA",K12/Table8s2!$G$35*100)</f>
        <v>3.8968616521914135E-6</v>
      </c>
      <c r="N12" s="3845">
        <f>IF(K12="NA","NA",K12/Table8s2!$G$34*100)</f>
        <v>3.4184007416351729E-6</v>
      </c>
      <c r="O12" s="3848">
        <f>SUM(O13:O17)</f>
        <v>2111.7447884920839</v>
      </c>
      <c r="P12" s="3847">
        <f>Summary2!E12</f>
        <v>2111.7447884920839</v>
      </c>
      <c r="Q12" s="3839">
        <f t="shared" si="2"/>
        <v>0</v>
      </c>
      <c r="R12" s="3847">
        <f t="shared" si="3"/>
        <v>0</v>
      </c>
      <c r="S12" s="3844">
        <f>IF(Q12="NA","NA",Q12/Table8s2!$G$35*100)</f>
        <v>0</v>
      </c>
      <c r="T12" s="3845">
        <f>IF(Q12="NA","NA",Q12/Table8s2!$G$34*100)</f>
        <v>0</v>
      </c>
    </row>
    <row r="13" spans="2:20" ht="18" customHeight="1" x14ac:dyDescent="0.2">
      <c r="B13" s="1392" t="s">
        <v>1478</v>
      </c>
      <c r="C13" s="3847">
        <v>157480.76333664166</v>
      </c>
      <c r="D13" s="3839">
        <f>Summary2!C13</f>
        <v>157480.76333664168</v>
      </c>
      <c r="E13" s="3839">
        <f t="shared" si="4"/>
        <v>2.9103830456733704E-11</v>
      </c>
      <c r="F13" s="3847">
        <f t="shared" si="5"/>
        <v>1.8480879721492944E-14</v>
      </c>
      <c r="G13" s="3844">
        <f>IF(E13="NA","NA",E13/Table8s2!$G$35*100)</f>
        <v>6.4520835964519212E-15</v>
      </c>
      <c r="H13" s="3845">
        <f>IF(E13="NA","NA",E13/Table8s2!$G$34*100)</f>
        <v>5.6598897573898279E-15</v>
      </c>
      <c r="I13" s="3846">
        <v>183.05297931066713</v>
      </c>
      <c r="J13" s="3839">
        <f>Summary2!D13</f>
        <v>183.05297931066715</v>
      </c>
      <c r="K13" s="3839">
        <f t="shared" ref="K13" si="6">IF(J13="NO",IF(I13="NO","NA",-I13),IF(I13="NO",J13,J13-I13))</f>
        <v>2.8421709430404007E-14</v>
      </c>
      <c r="L13" s="3847">
        <f t="shared" ref="L13" si="7">IF(K13="NA","NA",K13/I13*100)</f>
        <v>1.5526493771056464E-14</v>
      </c>
      <c r="M13" s="3844">
        <f>IF(K13="NA","NA",K13/Table8s2!$G$35*100)</f>
        <v>6.3008628871600793E-18</v>
      </c>
      <c r="N13" s="3845">
        <f>IF(K13="NA","NA",K13/Table8s2!$G$34*100)</f>
        <v>5.5272360912010038E-18</v>
      </c>
      <c r="O13" s="3848">
        <v>476.3815613526134</v>
      </c>
      <c r="P13" s="3847">
        <f>Summary2!E13</f>
        <v>476.38156135261335</v>
      </c>
      <c r="Q13" s="3839">
        <f t="shared" ref="Q13" si="8">IF(P13="NO",IF(O13="NO","NA",-O13),IF(O13="NO",P13,P13-O13))</f>
        <v>-5.6843418860808015E-14</v>
      </c>
      <c r="R13" s="3847">
        <f t="shared" ref="R13" si="9">IF(Q13="NA","NA",Q13/O13*100)</f>
        <v>-1.1932329769315532E-14</v>
      </c>
      <c r="S13" s="3844">
        <f>IF(Q13="NA","NA",Q13/Table8s2!$G$35*100)</f>
        <v>-1.2601725774320159E-17</v>
      </c>
      <c r="T13" s="3845">
        <f>IF(Q13="NA","NA",Q13/Table8s2!$G$34*100)</f>
        <v>-1.1054472182402008E-17</v>
      </c>
    </row>
    <row r="14" spans="2:20" ht="18" customHeight="1" x14ac:dyDescent="0.2">
      <c r="B14" s="1392" t="s">
        <v>1517</v>
      </c>
      <c r="C14" s="3847">
        <v>37242.617392116299</v>
      </c>
      <c r="D14" s="3839">
        <f>Summary2!C14</f>
        <v>37242.617392116299</v>
      </c>
      <c r="E14" s="3839">
        <f t="shared" si="4"/>
        <v>0</v>
      </c>
      <c r="F14" s="3847">
        <f t="shared" si="5"/>
        <v>0</v>
      </c>
      <c r="G14" s="3844">
        <f>IF(E14="NA","NA",E14/Table8s2!$G$35*100)</f>
        <v>0</v>
      </c>
      <c r="H14" s="3845">
        <f>IF(E14="NA","NA",E14/Table8s2!$G$34*100)</f>
        <v>0</v>
      </c>
      <c r="I14" s="3846">
        <v>62.506022592517759</v>
      </c>
      <c r="J14" s="3839">
        <f>Summary2!D14</f>
        <v>62.506022592517766</v>
      </c>
      <c r="K14" s="3839">
        <f t="shared" ref="K14:K20" si="10">IF(J14="NO",IF(I14="NO","NA",-I14),IF(I14="NO",J14,J14-I14))</f>
        <v>7.1054273576010019E-15</v>
      </c>
      <c r="L14" s="3847">
        <f t="shared" ref="L14:L20" si="11">IF(K14="NA","NA",K14/I14*100)</f>
        <v>1.1367588374518573E-14</v>
      </c>
      <c r="M14" s="3844">
        <f>IF(K14="NA","NA",K14/Table8s2!$G$35*100)</f>
        <v>1.5752157217900198E-18</v>
      </c>
      <c r="N14" s="3845">
        <f>IF(K14="NA","NA",K14/Table8s2!$G$34*100)</f>
        <v>1.3818090228002509E-18</v>
      </c>
      <c r="O14" s="3848">
        <v>323.73018161045479</v>
      </c>
      <c r="P14" s="3847">
        <f>Summary2!E14</f>
        <v>323.73018161045479</v>
      </c>
      <c r="Q14" s="3839">
        <f t="shared" ref="Q14:Q20" si="12">IF(P14="NO",IF(O14="NO","NA",-O14),IF(O14="NO",P14,P14-O14))</f>
        <v>0</v>
      </c>
      <c r="R14" s="3847">
        <f t="shared" ref="R14:R20" si="13">IF(Q14="NA","NA",Q14/O14*100)</f>
        <v>0</v>
      </c>
      <c r="S14" s="3844">
        <f>IF(Q14="NA","NA",Q14/Table8s2!$G$35*100)</f>
        <v>0</v>
      </c>
      <c r="T14" s="3845">
        <f>IF(Q14="NA","NA",Q14/Table8s2!$G$34*100)</f>
        <v>0</v>
      </c>
    </row>
    <row r="15" spans="2:20" ht="18" customHeight="1" x14ac:dyDescent="0.2">
      <c r="B15" s="1392" t="s">
        <v>1480</v>
      </c>
      <c r="C15" s="3847">
        <v>66231.552543727841</v>
      </c>
      <c r="D15" s="3839">
        <f>Summary2!C15</f>
        <v>66233.065766620843</v>
      </c>
      <c r="E15" s="3839">
        <f t="shared" si="4"/>
        <v>1.5132228930015117</v>
      </c>
      <c r="F15" s="3847">
        <f t="shared" si="5"/>
        <v>2.2847462197152051E-3</v>
      </c>
      <c r="G15" s="3844">
        <f>IF(E15="NA","NA",E15/Table8s2!$G$35*100)</f>
        <v>3.3546926478372275E-4</v>
      </c>
      <c r="H15" s="3845">
        <f>IF(E15="NA","NA",E15/Table8s2!$G$34*100)</f>
        <v>2.9427998371140405E-4</v>
      </c>
      <c r="I15" s="3846">
        <v>830.71245675253465</v>
      </c>
      <c r="J15" s="3839">
        <f>Summary2!D15</f>
        <v>830.73003457822927</v>
      </c>
      <c r="K15" s="3839">
        <f t="shared" si="10"/>
        <v>1.7577825694615967E-2</v>
      </c>
      <c r="L15" s="3847">
        <f t="shared" si="11"/>
        <v>2.1159939942795775E-3</v>
      </c>
      <c r="M15" s="3844">
        <f>IF(K15="NA","NA",K15/Table8s2!$G$35*100)</f>
        <v>3.896861651737752E-6</v>
      </c>
      <c r="N15" s="3845">
        <f>IF(K15="NA","NA",K15/Table8s2!$G$34*100)</f>
        <v>3.4184007412372122E-6</v>
      </c>
      <c r="O15" s="3848">
        <v>1152.1049927741446</v>
      </c>
      <c r="P15" s="3847">
        <f>Summary2!E15</f>
        <v>1152.1049927741446</v>
      </c>
      <c r="Q15" s="3839">
        <f t="shared" si="12"/>
        <v>0</v>
      </c>
      <c r="R15" s="3847">
        <f t="shared" si="13"/>
        <v>0</v>
      </c>
      <c r="S15" s="3844">
        <f>IF(Q15="NA","NA",Q15/Table8s2!$G$35*100)</f>
        <v>0</v>
      </c>
      <c r="T15" s="3845">
        <f>IF(Q15="NA","NA",Q15/Table8s2!$G$34*100)</f>
        <v>0</v>
      </c>
    </row>
    <row r="16" spans="2:20" ht="18" customHeight="1" x14ac:dyDescent="0.2">
      <c r="B16" s="1392" t="s">
        <v>1481</v>
      </c>
      <c r="C16" s="3847">
        <v>14598.530737695337</v>
      </c>
      <c r="D16" s="3839">
        <f>Summary2!C16</f>
        <v>14604.090964802335</v>
      </c>
      <c r="E16" s="3839">
        <f t="shared" si="4"/>
        <v>5.5602271069983544</v>
      </c>
      <c r="F16" s="3847">
        <f t="shared" si="5"/>
        <v>3.8087580229160409E-2</v>
      </c>
      <c r="G16" s="3844">
        <f>IF(E16="NA","NA",E16/Table8s2!$G$35*100)</f>
        <v>1.2326573357051376E-3</v>
      </c>
      <c r="H16" s="3845">
        <f>IF(E16="NA","NA",E16/Table8s2!$G$34*100)</f>
        <v>1.0813103278087587E-3</v>
      </c>
      <c r="I16" s="3846">
        <v>2670.0265237875001</v>
      </c>
      <c r="J16" s="3839">
        <f>Summary2!D16</f>
        <v>2670.0265237875014</v>
      </c>
      <c r="K16" s="3839">
        <f t="shared" si="10"/>
        <v>1.3642420526593924E-12</v>
      </c>
      <c r="L16" s="3847">
        <f t="shared" si="11"/>
        <v>5.1094700389874048E-14</v>
      </c>
      <c r="M16" s="3844">
        <f>IF(K16="NA","NA",K16/Table8s2!$G$35*100)</f>
        <v>3.024414185836838E-16</v>
      </c>
      <c r="N16" s="3845">
        <f>IF(K16="NA","NA",K16/Table8s2!$G$34*100)</f>
        <v>2.6530733237764817E-16</v>
      </c>
      <c r="O16" s="3848">
        <v>154.50498630624739</v>
      </c>
      <c r="P16" s="3847">
        <f>Summary2!E16</f>
        <v>154.50498630624745</v>
      </c>
      <c r="Q16" s="3839">
        <f t="shared" si="12"/>
        <v>5.6843418860808015E-14</v>
      </c>
      <c r="R16" s="3847">
        <f t="shared" si="13"/>
        <v>3.6790669492140241E-14</v>
      </c>
      <c r="S16" s="3844">
        <f>IF(Q16="NA","NA",Q16/Table8s2!$G$35*100)</f>
        <v>1.2601725774320159E-17</v>
      </c>
      <c r="T16" s="3845">
        <f>IF(Q16="NA","NA",Q16/Table8s2!$G$34*100)</f>
        <v>1.1054472182402008E-17</v>
      </c>
    </row>
    <row r="17" spans="2:20" ht="18" customHeight="1" x14ac:dyDescent="0.2">
      <c r="B17" s="1392" t="s">
        <v>1482</v>
      </c>
      <c r="C17" s="3847">
        <v>689.95152063630883</v>
      </c>
      <c r="D17" s="3839">
        <f>Summary2!C17</f>
        <v>689.95152063630871</v>
      </c>
      <c r="E17" s="3839">
        <f t="shared" si="4"/>
        <v>-1.1368683772161603E-13</v>
      </c>
      <c r="F17" s="3847">
        <f t="shared" si="5"/>
        <v>-1.6477511002043762E-14</v>
      </c>
      <c r="G17" s="3844">
        <f>IF(E17="NA","NA",E17/Table8s2!$G$35*100)</f>
        <v>-2.5203451548640317E-17</v>
      </c>
      <c r="H17" s="3845">
        <f>IF(E17="NA","NA",E17/Table8s2!$G$34*100)</f>
        <v>-2.2108944364804015E-17</v>
      </c>
      <c r="I17" s="3846">
        <v>1.0153452775634122</v>
      </c>
      <c r="J17" s="3839">
        <f>Summary2!D17</f>
        <v>1.0153452775634122</v>
      </c>
      <c r="K17" s="3839">
        <f t="shared" si="10"/>
        <v>0</v>
      </c>
      <c r="L17" s="3847">
        <f t="shared" si="11"/>
        <v>0</v>
      </c>
      <c r="M17" s="3844">
        <f>IF(K17="NA","NA",K17/Table8s2!$G$35*100)</f>
        <v>0</v>
      </c>
      <c r="N17" s="3845">
        <f>IF(K17="NA","NA",K17/Table8s2!$G$34*100)</f>
        <v>0</v>
      </c>
      <c r="O17" s="3848">
        <v>5.0230664486237169</v>
      </c>
      <c r="P17" s="3847">
        <f>Summary2!E17</f>
        <v>5.023066448623716</v>
      </c>
      <c r="Q17" s="3839">
        <f t="shared" si="12"/>
        <v>-8.8817841970012523E-16</v>
      </c>
      <c r="R17" s="3847">
        <f t="shared" si="13"/>
        <v>-1.7681996222516221E-14</v>
      </c>
      <c r="S17" s="3844">
        <f>IF(Q17="NA","NA",Q17/Table8s2!$G$35*100)</f>
        <v>-1.9690196522375248E-19</v>
      </c>
      <c r="T17" s="3845">
        <f>IF(Q17="NA","NA",Q17/Table8s2!$G$34*100)</f>
        <v>-1.7272612785003137E-19</v>
      </c>
    </row>
    <row r="18" spans="2:20" ht="18" customHeight="1" x14ac:dyDescent="0.2">
      <c r="B18" s="620" t="s">
        <v>99</v>
      </c>
      <c r="C18" s="3847">
        <f>SUM(C19:C20)</f>
        <v>7060.7135053950424</v>
      </c>
      <c r="D18" s="3839">
        <f>Summary2!C18</f>
        <v>7060.7135053950406</v>
      </c>
      <c r="E18" s="3839">
        <f t="shared" si="4"/>
        <v>-1.8189894035458565E-12</v>
      </c>
      <c r="F18" s="3847">
        <f t="shared" si="5"/>
        <v>-2.5762118830568318E-14</v>
      </c>
      <c r="G18" s="3844">
        <f>IF(E18="NA","NA",E18/Table8s2!$G$35*100)</f>
        <v>-4.0325522477824508E-16</v>
      </c>
      <c r="H18" s="3845">
        <f>IF(E18="NA","NA",E18/Table8s2!$G$34*100)</f>
        <v>-3.5374310983686424E-16</v>
      </c>
      <c r="I18" s="3846">
        <f>SUM(I19:I20)</f>
        <v>32838.492673182052</v>
      </c>
      <c r="J18" s="3839">
        <f>Summary2!D18</f>
        <v>32838.832645224255</v>
      </c>
      <c r="K18" s="3839">
        <f t="shared" si="10"/>
        <v>0.33997204220213462</v>
      </c>
      <c r="L18" s="3847">
        <f t="shared" si="11"/>
        <v>1.0352851624026483E-3</v>
      </c>
      <c r="M18" s="3844">
        <f>IF(K18="NA","NA",K18/Table8s2!$G$35*100)</f>
        <v>7.5369049445418967E-5</v>
      </c>
      <c r="N18" s="3845">
        <f>IF(K18="NA","NA",K18/Table8s2!$G$34*100)</f>
        <v>6.6115155608789078E-5</v>
      </c>
      <c r="O18" s="3848">
        <f>SUM(O19:O20)</f>
        <v>30.713640282669392</v>
      </c>
      <c r="P18" s="3847">
        <f>Summary2!E18</f>
        <v>30.713640282669392</v>
      </c>
      <c r="Q18" s="3839">
        <f t="shared" si="12"/>
        <v>0</v>
      </c>
      <c r="R18" s="3847">
        <f t="shared" si="13"/>
        <v>0</v>
      </c>
      <c r="S18" s="3844">
        <f>IF(Q18="NA","NA",Q18/Table8s2!$G$35*100)</f>
        <v>0</v>
      </c>
      <c r="T18" s="3845">
        <f>IF(Q18="NA","NA",Q18/Table8s2!$G$34*100)</f>
        <v>0</v>
      </c>
    </row>
    <row r="19" spans="2:20" ht="18" customHeight="1" x14ac:dyDescent="0.2">
      <c r="B19" s="1392" t="s">
        <v>1483</v>
      </c>
      <c r="C19" s="3847">
        <v>1111.5267994507171</v>
      </c>
      <c r="D19" s="3839">
        <f>Summary2!C19</f>
        <v>1111.5267994507171</v>
      </c>
      <c r="E19" s="3839">
        <f t="shared" si="4"/>
        <v>0</v>
      </c>
      <c r="F19" s="3847">
        <f t="shared" si="5"/>
        <v>0</v>
      </c>
      <c r="G19" s="3844">
        <f>IF(E19="NA","NA",E19/Table8s2!$G$35*100)</f>
        <v>0</v>
      </c>
      <c r="H19" s="3845">
        <f>IF(E19="NA","NA",E19/Table8s2!$G$34*100)</f>
        <v>0</v>
      </c>
      <c r="I19" s="3846">
        <v>23999.717842724895</v>
      </c>
      <c r="J19" s="3839">
        <f>Summary2!D19</f>
        <v>23999.717842724895</v>
      </c>
      <c r="K19" s="3839">
        <f t="shared" si="10"/>
        <v>0</v>
      </c>
      <c r="L19" s="3847">
        <f t="shared" si="11"/>
        <v>0</v>
      </c>
      <c r="M19" s="3844">
        <f>IF(K19="NA","NA",K19/Table8s2!$G$35*100)</f>
        <v>0</v>
      </c>
      <c r="N19" s="3845">
        <f>IF(K19="NA","NA",K19/Table8s2!$G$34*100)</f>
        <v>0</v>
      </c>
      <c r="O19" s="3848">
        <v>1.2904005040536054E-3</v>
      </c>
      <c r="P19" s="3847">
        <f>Summary2!E19</f>
        <v>1.2904005040536054E-3</v>
      </c>
      <c r="Q19" s="3839">
        <f t="shared" si="12"/>
        <v>0</v>
      </c>
      <c r="R19" s="3847">
        <f t="shared" si="13"/>
        <v>0</v>
      </c>
      <c r="S19" s="3844">
        <f>IF(Q19="NA","NA",Q19/Table8s2!$G$35*100)</f>
        <v>0</v>
      </c>
      <c r="T19" s="3845">
        <f>IF(Q19="NA","NA",Q19/Table8s2!$G$34*100)</f>
        <v>0</v>
      </c>
    </row>
    <row r="20" spans="2:20" ht="18" customHeight="1" x14ac:dyDescent="0.2">
      <c r="B20" s="1393" t="s">
        <v>1484</v>
      </c>
      <c r="C20" s="3849">
        <v>5949.1867059443248</v>
      </c>
      <c r="D20" s="3850">
        <f>Summary2!C20</f>
        <v>5949.1867059443239</v>
      </c>
      <c r="E20" s="3850">
        <f t="shared" si="4"/>
        <v>-9.0949470177292824E-13</v>
      </c>
      <c r="F20" s="3849">
        <f t="shared" si="5"/>
        <v>-1.5287714888224583E-14</v>
      </c>
      <c r="G20" s="3851">
        <f>IF(E20="NA","NA",E20/Table8s2!$G$35*100)</f>
        <v>-2.0162761238912254E-16</v>
      </c>
      <c r="H20" s="3852">
        <f>IF(E20="NA","NA",E20/Table8s2!$G$34*100)</f>
        <v>-1.7687155491843212E-16</v>
      </c>
      <c r="I20" s="3853">
        <v>8838.7748304571596</v>
      </c>
      <c r="J20" s="3850">
        <f>Summary2!D20</f>
        <v>8839.1148024993599</v>
      </c>
      <c r="K20" s="3839">
        <f t="shared" si="10"/>
        <v>0.33997204220031563</v>
      </c>
      <c r="L20" s="3847">
        <f t="shared" si="11"/>
        <v>3.846370664730822E-3</v>
      </c>
      <c r="M20" s="3844">
        <f>IF(K20="NA","NA",K20/Table8s2!$G$35*100)</f>
        <v>7.5369049445015712E-5</v>
      </c>
      <c r="N20" s="3845">
        <f>IF(K20="NA","NA",K20/Table8s2!$G$34*100)</f>
        <v>6.6115155608435344E-5</v>
      </c>
      <c r="O20" s="3854">
        <v>30.712349882165338</v>
      </c>
      <c r="P20" s="3849">
        <f>Summary2!E20</f>
        <v>30.712349882165338</v>
      </c>
      <c r="Q20" s="3839">
        <f t="shared" si="12"/>
        <v>0</v>
      </c>
      <c r="R20" s="3847">
        <f t="shared" si="13"/>
        <v>0</v>
      </c>
      <c r="S20" s="3844">
        <f>IF(Q20="NA","NA",Q20/Table8s2!$G$35*100)</f>
        <v>0</v>
      </c>
      <c r="T20" s="3845">
        <f>IF(Q20="NA","NA",Q20/Table8s2!$G$34*100)</f>
        <v>0</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20699.375798488123</v>
      </c>
      <c r="D22" s="3839">
        <f>Summary2!C22</f>
        <v>20744.892915963468</v>
      </c>
      <c r="E22" s="3861">
        <f t="shared" si="4"/>
        <v>45.517117475345003</v>
      </c>
      <c r="F22" s="3861">
        <f t="shared" si="5"/>
        <v>0.21989608729491042</v>
      </c>
      <c r="G22" s="3862">
        <f>IF(E22="NA","NA",E22/Table8s2!$G$35*100)</f>
        <v>1.0090776451472223E-2</v>
      </c>
      <c r="H22" s="3863">
        <f>IF(E22="NA","NA",E22/Table8s2!$G$34*100)</f>
        <v>8.8518199474670583E-3</v>
      </c>
      <c r="I22" s="3839">
        <f>SUM(I23:I29)</f>
        <v>110.1477271756255</v>
      </c>
      <c r="J22" s="3839">
        <f>Summary2!D22</f>
        <v>110.1477271756255</v>
      </c>
      <c r="K22" s="3861">
        <f t="shared" ref="K22" si="14">IF(J22="NO",IF(I22="NO","NA",-I22),IF(I22="NO",J22,J22-I22))</f>
        <v>0</v>
      </c>
      <c r="L22" s="3861">
        <f t="shared" ref="L22" si="15">IF(K22="NA","NA",K22/I22*100)</f>
        <v>0</v>
      </c>
      <c r="M22" s="3862">
        <f>IF(K22="NA","NA",K22/Table8s2!$G$35*100)</f>
        <v>0</v>
      </c>
      <c r="N22" s="3863">
        <f>IF(K22="NA","NA",K22/Table8s2!$G$34*100)</f>
        <v>0</v>
      </c>
      <c r="O22" s="3839">
        <f>SUM(O23:O29)</f>
        <v>1234.3502122178872</v>
      </c>
      <c r="P22" s="3839">
        <f>Summary2!E22</f>
        <v>1234.3502122178872</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5826.2709371596793</v>
      </c>
      <c r="D23" s="3839">
        <f>Summary2!C23</f>
        <v>5826.2709371596793</v>
      </c>
      <c r="E23" s="3839">
        <f t="shared" si="4"/>
        <v>0</v>
      </c>
      <c r="F23" s="3847">
        <f t="shared" si="5"/>
        <v>0</v>
      </c>
      <c r="G23" s="3844">
        <f>IF(E23="NA","NA",E23/Table8s2!$G$35*100)</f>
        <v>0</v>
      </c>
      <c r="H23" s="3845">
        <f>IF(E23="NA","NA",E23/Table8s2!$G$34*100)</f>
        <v>0</v>
      </c>
      <c r="I23" s="1925"/>
      <c r="J23" s="1925"/>
      <c r="K23" s="1925"/>
      <c r="L23" s="1925"/>
      <c r="M23" s="1925"/>
      <c r="N23" s="1925"/>
      <c r="O23" s="1925"/>
      <c r="P23" s="1925"/>
      <c r="Q23" s="1925"/>
      <c r="R23" s="1925"/>
      <c r="S23" s="1925"/>
      <c r="T23" s="1925"/>
    </row>
    <row r="24" spans="2:20" ht="18" customHeight="1" x14ac:dyDescent="0.2">
      <c r="B24" s="1394" t="s">
        <v>621</v>
      </c>
      <c r="C24" s="3839">
        <v>1379.7538402761361</v>
      </c>
      <c r="D24" s="3839">
        <f>Summary2!C24</f>
        <v>1426.6149132761363</v>
      </c>
      <c r="E24" s="3839">
        <f t="shared" si="4"/>
        <v>46.86107300000026</v>
      </c>
      <c r="F24" s="3847">
        <f t="shared" si="5"/>
        <v>3.3963357543996215</v>
      </c>
      <c r="G24" s="3844">
        <f>IF(E24="NA","NA",E24/Table8s2!$G$35*100)</f>
        <v>1.0388720511030984E-2</v>
      </c>
      <c r="H24" s="3845">
        <f>IF(E24="NA","NA",E24/Table8s2!$G$34*100)</f>
        <v>9.1131821114506587E-3</v>
      </c>
      <c r="I24" s="3846">
        <v>14.570746399999999</v>
      </c>
      <c r="J24" s="3839">
        <f>Summary2!D24</f>
        <v>14.570746399999999</v>
      </c>
      <c r="K24" s="3839">
        <f t="shared" ref="K24" si="18">IF(J24="NO",IF(I24="NO","NA",-I24),IF(I24="NO",J24,J24-I24))</f>
        <v>0</v>
      </c>
      <c r="L24" s="3847">
        <f t="shared" ref="L24" si="19">IF(K24="NA","NA",K24/I24*100)</f>
        <v>0</v>
      </c>
      <c r="M24" s="3844">
        <f>IF(K24="NA","NA",K24/Table8s2!$G$35*100)</f>
        <v>0</v>
      </c>
      <c r="N24" s="3845">
        <f>IF(K24="NA","NA",K24/Table8s2!$G$34*100)</f>
        <v>0</v>
      </c>
      <c r="O24" s="3848">
        <v>1214.8882935096776</v>
      </c>
      <c r="P24" s="3847">
        <f>Summary2!E24</f>
        <v>1214.8882935096776</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13085.711804528275</v>
      </c>
      <c r="D25" s="3839">
        <f>Summary2!C25</f>
        <v>13085.711804528275</v>
      </c>
      <c r="E25" s="3839">
        <f t="shared" si="4"/>
        <v>0</v>
      </c>
      <c r="F25" s="3847">
        <f t="shared" si="5"/>
        <v>0</v>
      </c>
      <c r="G25" s="3844">
        <f>IF(E25="NA","NA",E25/Table8s2!$G$35*100)</f>
        <v>0</v>
      </c>
      <c r="H25" s="3845">
        <f>IF(E25="NA","NA",E25/Table8s2!$G$34*100)</f>
        <v>0</v>
      </c>
      <c r="I25" s="3846">
        <v>95.576980775625501</v>
      </c>
      <c r="J25" s="3839">
        <f>Summary2!D25</f>
        <v>95.576980775625515</v>
      </c>
      <c r="K25" s="3839">
        <f t="shared" ref="K25:K26" si="22">IF(J25="NO",IF(I25="NO","NA",-I25),IF(I25="NO",J25,J25-I25))</f>
        <v>1.4210854715202004E-14</v>
      </c>
      <c r="L25" s="3847">
        <f t="shared" ref="L25:L26" si="23">IF(K25="NA","NA",K25/I25*100)</f>
        <v>1.4868490927290439E-14</v>
      </c>
      <c r="M25" s="3844">
        <f>IF(K25="NA","NA",K25/Table8s2!$G$35*100)</f>
        <v>3.1504314435800397E-18</v>
      </c>
      <c r="N25" s="3845">
        <f>IF(K25="NA","NA",K25/Table8s2!$G$34*100)</f>
        <v>2.7636180456005019E-18</v>
      </c>
      <c r="O25" s="3848">
        <v>19.461918708209566</v>
      </c>
      <c r="P25" s="3847">
        <f>Summary2!E25</f>
        <v>19.461918708209573</v>
      </c>
      <c r="Q25" s="3839">
        <f t="shared" ref="Q25:Q29" si="24">IF(P25="NO",IF(O25="NO","NA",-O25),IF(O25="NO",P25,P25-O25))</f>
        <v>7.1054273576010019E-15</v>
      </c>
      <c r="R25" s="3847">
        <f t="shared" ref="R25:R29" si="25">IF(Q25="NA","NA",Q25/O25*100)</f>
        <v>3.6509387713163861E-14</v>
      </c>
      <c r="S25" s="3844">
        <f>IF(Q25="NA","NA",Q25/Table8s2!$G$35*100)</f>
        <v>1.5752157217900198E-18</v>
      </c>
      <c r="T25" s="3845">
        <f>IF(Q25="NA","NA",Q25/Table8s2!$G$34*100)</f>
        <v>1.3818090228002509E-18</v>
      </c>
    </row>
    <row r="26" spans="2:20" ht="18" customHeight="1" x14ac:dyDescent="0.2">
      <c r="B26" s="1395" t="s">
        <v>1519</v>
      </c>
      <c r="C26" s="3839">
        <v>268.79110002465637</v>
      </c>
      <c r="D26" s="3839">
        <f>Summary2!C26</f>
        <v>267.44714449999998</v>
      </c>
      <c r="E26" s="3839">
        <f t="shared" si="4"/>
        <v>-1.3439555246563941</v>
      </c>
      <c r="F26" s="3847">
        <f t="shared" si="5"/>
        <v>-0.5000000091272041</v>
      </c>
      <c r="G26" s="3844">
        <f>IF(E26="NA","NA",E26/Table8s2!$G$35*100)</f>
        <v>-2.9794405955901209E-4</v>
      </c>
      <c r="H26" s="3845">
        <f>IF(E26="NA","NA",E26/Table8s2!$G$34*100)</f>
        <v>-2.6136216398382235E-4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138.84811649937512</v>
      </c>
      <c r="D29" s="3855">
        <f>Summary2!C30</f>
        <v>138.84811649937512</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919.39740653519459</v>
      </c>
      <c r="D30" s="3875">
        <f>Summary2!C31</f>
        <v>919.39740653519459</v>
      </c>
      <c r="E30" s="3861">
        <f t="shared" si="4"/>
        <v>0</v>
      </c>
      <c r="F30" s="3876">
        <f t="shared" si="5"/>
        <v>0</v>
      </c>
      <c r="G30" s="3877">
        <f>IF(E30="NA","NA",E30/Table8s2!$G$35*100)</f>
        <v>0</v>
      </c>
      <c r="H30" s="3878">
        <f>IF(E30="NA","NA",E30/Table8s2!$G$34*100)</f>
        <v>0</v>
      </c>
      <c r="I30" s="3874">
        <f>SUM(I31:I40)</f>
        <v>71200.365101020157</v>
      </c>
      <c r="J30" s="3875">
        <f>Summary2!D31</f>
        <v>71200.365101020157</v>
      </c>
      <c r="K30" s="3861">
        <f t="shared" ref="K30" si="28">IF(J30="NO",IF(I30="NO","NA",-I30),IF(I30="NO",J30,J30-I30))</f>
        <v>0</v>
      </c>
      <c r="L30" s="3876">
        <f t="shared" ref="L30" si="29">IF(K30="NA","NA",K30/I30*100)</f>
        <v>0</v>
      </c>
      <c r="M30" s="3877">
        <f>IF(K30="NA","NA",K30/Table8s2!$G$35*100)</f>
        <v>0</v>
      </c>
      <c r="N30" s="3878">
        <f>IF(K30="NA","NA",K30/Table8s2!$G$34*100)</f>
        <v>0</v>
      </c>
      <c r="O30" s="3874">
        <f>SUM(O31:O40)</f>
        <v>10158.991693538499</v>
      </c>
      <c r="P30" s="3875">
        <f>Summary2!E31</f>
        <v>10158.890715388279</v>
      </c>
      <c r="Q30" s="3861">
        <f t="shared" ref="Q30" si="30">IF(P30="NO",IF(O30="NO","NA",-O30),IF(O30="NO",P30,P30-O30))</f>
        <v>-0.1009781502198166</v>
      </c>
      <c r="R30" s="3880">
        <f t="shared" ref="R30" si="31">IF(Q30="NA","NA",Q30/O30*100)</f>
        <v>-9.9397807642703849E-4</v>
      </c>
      <c r="S30" s="3881">
        <f>IF(Q30="NA","NA",Q30/Table8s2!$G$35*100)</f>
        <v>-2.2386038415180354E-5</v>
      </c>
      <c r="T30" s="3882">
        <f>IF(Q30="NA","NA",Q30/Table8s2!$G$34*100)</f>
        <v>-1.9637456279129695E-5</v>
      </c>
    </row>
    <row r="31" spans="2:20" ht="18" customHeight="1" x14ac:dyDescent="0.2">
      <c r="B31" s="620" t="s">
        <v>1492</v>
      </c>
      <c r="C31" s="3867"/>
      <c r="D31" s="3867"/>
      <c r="E31" s="3868"/>
      <c r="F31" s="3868"/>
      <c r="G31" s="3869"/>
      <c r="H31" s="3870"/>
      <c r="I31" s="3846">
        <v>64110.095741667443</v>
      </c>
      <c r="J31" s="3839">
        <f>Summary2!D32</f>
        <v>64110.095741667457</v>
      </c>
      <c r="K31" s="3883">
        <f t="shared" ref="K31:K33" si="32">IF(J31="NO",IF(I31="NO","NA",-I31),IF(I31="NO",J31,J31-I31))</f>
        <v>1.4551915228366852E-11</v>
      </c>
      <c r="L31" s="3883">
        <f t="shared" ref="L31:L33" si="33">IF(K31="NA","NA",K31/I31*100)</f>
        <v>2.2698320849502397E-14</v>
      </c>
      <c r="M31" s="3884">
        <f>IF(K31="NA","NA",K31/Table8s2!$G$35*100)</f>
        <v>3.2260417982259606E-15</v>
      </c>
      <c r="N31" s="3885">
        <f>IF(K31="NA","NA",K31/Table8s2!$G$34*100)</f>
        <v>2.8299448786949139E-15</v>
      </c>
      <c r="O31" s="3886"/>
      <c r="P31" s="3887"/>
      <c r="Q31" s="3868"/>
      <c r="R31" s="3888"/>
      <c r="S31" s="3889"/>
      <c r="T31" s="3890"/>
    </row>
    <row r="32" spans="2:20" ht="18" customHeight="1" x14ac:dyDescent="0.2">
      <c r="B32" s="620" t="s">
        <v>1493</v>
      </c>
      <c r="C32" s="3891"/>
      <c r="D32" s="3891"/>
      <c r="E32" s="3892"/>
      <c r="F32" s="3892"/>
      <c r="G32" s="3869"/>
      <c r="H32" s="3870"/>
      <c r="I32" s="3846">
        <v>6252.9107455775993</v>
      </c>
      <c r="J32" s="3847">
        <f>Summary2!D33</f>
        <v>6252.9107455775984</v>
      </c>
      <c r="K32" s="3893">
        <f t="shared" si="32"/>
        <v>-9.0949470177292824E-13</v>
      </c>
      <c r="L32" s="3893">
        <f t="shared" si="33"/>
        <v>-1.4545141275463954E-14</v>
      </c>
      <c r="M32" s="3884">
        <f>IF(K32="NA","NA",K32/Table8s2!$G$35*100)</f>
        <v>-2.0162761238912254E-16</v>
      </c>
      <c r="N32" s="3885">
        <f>IF(K32="NA","NA",K32/Table8s2!$G$34*100)</f>
        <v>-1.7687155491843212E-16</v>
      </c>
      <c r="O32" s="3848">
        <v>255.01969602816521</v>
      </c>
      <c r="P32" s="3847">
        <f>Summary2!E33</f>
        <v>255.01969602816519</v>
      </c>
      <c r="Q32" s="3893">
        <f t="shared" ref="Q32" si="34">IF(P32="NO",IF(O32="NO","NA",-O32),IF(O32="NO",P32,P32-O32))</f>
        <v>-2.8421709430404007E-14</v>
      </c>
      <c r="R32" s="3894">
        <f t="shared" ref="R32" si="35">IF(Q32="NA","NA",Q32/O32*100)</f>
        <v>-1.1144907578928735E-14</v>
      </c>
      <c r="S32" s="3895">
        <f>IF(Q32="NA","NA",Q32/Table8s2!$G$35*100)</f>
        <v>-6.3008628871600793E-18</v>
      </c>
      <c r="T32" s="3896">
        <f>IF(Q32="NA","NA",Q32/Table8s2!$G$34*100)</f>
        <v>-5.5272360912010038E-18</v>
      </c>
    </row>
    <row r="33" spans="2:21" ht="18" customHeight="1" x14ac:dyDescent="0.2">
      <c r="B33" s="620" t="s">
        <v>1494</v>
      </c>
      <c r="C33" s="3891"/>
      <c r="D33" s="3891"/>
      <c r="E33" s="3892"/>
      <c r="F33" s="3892"/>
      <c r="G33" s="3897"/>
      <c r="H33" s="3898"/>
      <c r="I33" s="3848">
        <v>598.86698757917713</v>
      </c>
      <c r="J33" s="3847">
        <f>Summary2!D34</f>
        <v>598.86698757917713</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9813.3826149163888</v>
      </c>
      <c r="P34" s="3847">
        <f>Summary2!E35</f>
        <v>9813.2816367661708</v>
      </c>
      <c r="Q34" s="3893">
        <f t="shared" ref="Q34" si="36">IF(P34="NO",IF(O34="NO","NA",-O34),IF(O34="NO",P34,P34-O34))</f>
        <v>-0.10097815021799761</v>
      </c>
      <c r="R34" s="3894">
        <f t="shared" ref="R34" si="37">IF(Q34="NA","NA",Q34/O34*100)</f>
        <v>-1.0289841350372942E-3</v>
      </c>
      <c r="S34" s="3895">
        <f>IF(Q34="NA","NA",Q34/Table8s2!$G$35*100)</f>
        <v>-2.2386038414777095E-5</v>
      </c>
      <c r="T34" s="3896">
        <f>IF(Q34="NA","NA",Q34/Table8s2!$G$34*100)</f>
        <v>-1.9637456278775954E-5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238.49162619593199</v>
      </c>
      <c r="J36" s="3847">
        <f>Summary2!D37</f>
        <v>238.49162619593201</v>
      </c>
      <c r="K36" s="3893">
        <f t="shared" ref="K36" si="38">IF(J36="NO",IF(I36="NO","NA",-I36),IF(I36="NO",J36,J36-I36))</f>
        <v>2.8421709430404007E-14</v>
      </c>
      <c r="L36" s="3893">
        <f t="shared" ref="L36" si="39">IF(K36="NA","NA",K36/I36*100)</f>
        <v>1.1917277719031633E-14</v>
      </c>
      <c r="M36" s="3884">
        <f>IF(K36="NA","NA",K36/Table8s2!$G$35*100)</f>
        <v>6.3008628871600793E-18</v>
      </c>
      <c r="N36" s="3885">
        <f>IF(K36="NA","NA",K36/Table8s2!$G$34*100)</f>
        <v>5.5272360912010038E-18</v>
      </c>
      <c r="O36" s="3848">
        <v>90.589382593945203</v>
      </c>
      <c r="P36" s="3847">
        <f>Summary2!E37</f>
        <v>90.589382593945189</v>
      </c>
      <c r="Q36" s="3893">
        <f t="shared" ref="Q36" si="40">IF(P36="NO",IF(O36="NO","NA",-O36),IF(O36="NO",P36,P36-O36))</f>
        <v>-1.4210854715202004E-14</v>
      </c>
      <c r="R36" s="3894">
        <f t="shared" ref="R36" si="41">IF(Q36="NA","NA",Q36/O36*100)</f>
        <v>-1.5687108475946082E-14</v>
      </c>
      <c r="S36" s="3895">
        <f>IF(Q36="NA","NA",Q36/Table8s2!$G$35*100)</f>
        <v>-3.1504314435800397E-18</v>
      </c>
      <c r="T36" s="3896">
        <f>IF(Q36="NA","NA",Q36/Table8s2!$G$34*100)</f>
        <v>-2.7636180456005019E-18</v>
      </c>
    </row>
    <row r="37" spans="2:21" ht="18" customHeight="1" x14ac:dyDescent="0.2">
      <c r="B37" s="620" t="s">
        <v>721</v>
      </c>
      <c r="C37" s="3847">
        <v>439.54233407142647</v>
      </c>
      <c r="D37" s="3847">
        <f>Summary2!C38</f>
        <v>439.54233407142647</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479.85507246376812</v>
      </c>
      <c r="D38" s="3847">
        <f>Summary2!C39</f>
        <v>479.85507246376812</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41923.575629467414</v>
      </c>
      <c r="D41" s="3839">
        <f>Summary2!C42</f>
        <v>43019.814255361678</v>
      </c>
      <c r="E41" s="3929">
        <f t="shared" ref="E41" si="42">IF(D41="NO",IF(C41="NO","NA",-C41),IF(C41="NO",D41,D41-C41))</f>
        <v>1096.2386258942643</v>
      </c>
      <c r="F41" s="3929">
        <f t="shared" ref="F41" si="43">IF(E41="NA","NA",E41/C41*100)</f>
        <v>2.6148500203874203</v>
      </c>
      <c r="G41" s="3869"/>
      <c r="H41" s="3929">
        <f>IF(E41="NA","NA",E41/Table8s2!$G$34*100)</f>
        <v>0.21318808119013419</v>
      </c>
      <c r="I41" s="3846">
        <f>SUM(I42:I49)</f>
        <v>21057.919993738811</v>
      </c>
      <c r="J41" s="3839">
        <f>Summary2!D42</f>
        <v>16509.622854550384</v>
      </c>
      <c r="K41" s="3929">
        <f t="shared" ref="K41:K46" si="44">IF(J41="NO",IF(I41="NO","NA",-I41),IF(I41="NO",J41,J41-I41))</f>
        <v>-4548.2971391884275</v>
      </c>
      <c r="L41" s="3929">
        <f t="shared" ref="L41:L46" si="45">IF(K41="NA","NA",K41/I41*100)</f>
        <v>-21.598985752347719</v>
      </c>
      <c r="M41" s="3889"/>
      <c r="N41" s="3930">
        <f>IF(K41="NA","NA",K41/Table8s2!$G$34*100)</f>
        <v>-0.8845179479013201</v>
      </c>
      <c r="O41" s="3846">
        <f>SUM(O42:O49)</f>
        <v>3611.957882352212</v>
      </c>
      <c r="P41" s="3839">
        <f>Summary2!E42</f>
        <v>3606.0672915783139</v>
      </c>
      <c r="Q41" s="3929">
        <f t="shared" ref="Q41" si="46">IF(P41="NO",IF(O41="NO","NA",-O41),IF(O41="NO",P41,P41-O41))</f>
        <v>-5.8905907738981114</v>
      </c>
      <c r="R41" s="3929">
        <f t="shared" ref="R41" si="47">IF(Q41="NA","NA",Q41/O41*100)</f>
        <v>-0.16308581012749759</v>
      </c>
      <c r="S41" s="3889"/>
      <c r="T41" s="3930">
        <f>IF(Q41="NA","NA",Q41/Table8s2!$G$34*100)</f>
        <v>-1.1455569202729154E-3</v>
      </c>
      <c r="U41" s="713"/>
    </row>
    <row r="42" spans="2:21" ht="18" customHeight="1" x14ac:dyDescent="0.2">
      <c r="B42" s="620" t="s">
        <v>981</v>
      </c>
      <c r="C42" s="3847">
        <v>-22157.182629508843</v>
      </c>
      <c r="D42" s="3847">
        <f>Summary2!C43</f>
        <v>-20875.51926770695</v>
      </c>
      <c r="E42" s="3931">
        <f t="shared" ref="E42:E50" si="48">IF(D42="NO",IF(C42="NO","NA",-C42),IF(C42="NO",D42,D42-C42))</f>
        <v>1281.6633618018932</v>
      </c>
      <c r="F42" s="3931">
        <f t="shared" ref="F42:F50" si="49">IF(E42="NA","NA",E42/C42*100)</f>
        <v>-5.7844148474679242</v>
      </c>
      <c r="G42" s="3889"/>
      <c r="H42" s="3931">
        <f>IF(E42="NA","NA",E42/Table8s2!$G$34*100)</f>
        <v>0.2492480618545517</v>
      </c>
      <c r="I42" s="3848">
        <v>6414.1822749074518</v>
      </c>
      <c r="J42" s="3847">
        <f>Summary2!D43</f>
        <v>6234.0106983686755</v>
      </c>
      <c r="K42" s="3931">
        <f t="shared" si="44"/>
        <v>-180.17157653877621</v>
      </c>
      <c r="L42" s="3931">
        <f t="shared" si="45"/>
        <v>-2.80895629118017</v>
      </c>
      <c r="M42" s="3889"/>
      <c r="N42" s="3932">
        <f>IF(K42="NA","NA",K42/Table8s2!$G$34*100)</f>
        <v>-3.5038386515499328E-2</v>
      </c>
      <c r="O42" s="3848">
        <v>1220.4398954029452</v>
      </c>
      <c r="P42" s="3847">
        <f>Summary2!E43</f>
        <v>1200.8061642605733</v>
      </c>
      <c r="Q42" s="3931">
        <f t="shared" ref="Q42:Q46" si="50">IF(P42="NO",IF(O42="NO","NA",-O42),IF(O42="NO",P42,P42-O42))</f>
        <v>-19.633731142371971</v>
      </c>
      <c r="R42" s="3931">
        <f t="shared" ref="R42:R46" si="51">IF(Q42="NA","NA",Q42/O42*100)</f>
        <v>-1.6087421606198495</v>
      </c>
      <c r="S42" s="3889"/>
      <c r="T42" s="3932">
        <f>IF(Q42="NA","NA",Q42/Table8s2!$G$34*100)</f>
        <v>-3.8182174665034874E-3</v>
      </c>
      <c r="U42" s="713"/>
    </row>
    <row r="43" spans="2:21" ht="18" customHeight="1" x14ac:dyDescent="0.2">
      <c r="B43" s="620" t="s">
        <v>984</v>
      </c>
      <c r="C43" s="3847">
        <v>13001.856752879992</v>
      </c>
      <c r="D43" s="3847">
        <f>Summary2!C44</f>
        <v>12887.613706553717</v>
      </c>
      <c r="E43" s="3931">
        <f t="shared" si="48"/>
        <v>-114.24304632627536</v>
      </c>
      <c r="F43" s="3931">
        <f t="shared" si="49"/>
        <v>-0.87866716652581034</v>
      </c>
      <c r="G43" s="3889"/>
      <c r="H43" s="3931">
        <f>IF(E43="NA","NA",E43/Table8s2!$G$34*100)</f>
        <v>-2.2217111548816559E-2</v>
      </c>
      <c r="I43" s="3848">
        <v>169.38587390004597</v>
      </c>
      <c r="J43" s="3847">
        <f>Summary2!D44</f>
        <v>169.9715808</v>
      </c>
      <c r="K43" s="3931">
        <f t="shared" si="44"/>
        <v>0.58570689995403313</v>
      </c>
      <c r="L43" s="3931">
        <f t="shared" si="45"/>
        <v>0.34578261248612546</v>
      </c>
      <c r="M43" s="3889"/>
      <c r="N43" s="3932">
        <f>IF(K43="NA","NA",K43/Table8s2!$G$34*100)</f>
        <v>1.1390378626657325E-4</v>
      </c>
      <c r="O43" s="3848">
        <v>67.777245830428498</v>
      </c>
      <c r="P43" s="3847">
        <f>Summary2!E44</f>
        <v>67.630291803770987</v>
      </c>
      <c r="Q43" s="3931">
        <f t="shared" si="50"/>
        <v>-0.14695402665751089</v>
      </c>
      <c r="R43" s="3931">
        <f t="shared" si="51"/>
        <v>-0.2168191180638622</v>
      </c>
      <c r="S43" s="3889"/>
      <c r="T43" s="3932">
        <f>IF(Q43="NA","NA",Q43/Table8s2!$G$34*100)</f>
        <v>-2.857849215148924E-5</v>
      </c>
      <c r="U43" s="713"/>
    </row>
    <row r="44" spans="2:21" ht="18" customHeight="1" x14ac:dyDescent="0.2">
      <c r="B44" s="620" t="s">
        <v>987</v>
      </c>
      <c r="C44" s="3847">
        <v>52731.574605782305</v>
      </c>
      <c r="D44" s="3847">
        <f>Summary2!C45</f>
        <v>52838.478964578324</v>
      </c>
      <c r="E44" s="3931">
        <f t="shared" si="48"/>
        <v>106.90435879601864</v>
      </c>
      <c r="F44" s="3931">
        <f t="shared" si="49"/>
        <v>0.20273310553539964</v>
      </c>
      <c r="G44" s="3889"/>
      <c r="H44" s="3931">
        <f>IF(E44="NA","NA",E44/Table8s2!$G$34*100)</f>
        <v>2.0789939876450857E-2</v>
      </c>
      <c r="I44" s="3848">
        <v>7868.8451886786552</v>
      </c>
      <c r="J44" s="3847">
        <f>Summary2!D45</f>
        <v>7899.9747835057669</v>
      </c>
      <c r="K44" s="3931">
        <f t="shared" si="44"/>
        <v>31.12959482711176</v>
      </c>
      <c r="L44" s="3931">
        <f t="shared" si="45"/>
        <v>0.39560563310992108</v>
      </c>
      <c r="M44" s="3889"/>
      <c r="N44" s="3932">
        <f>IF(K44="NA","NA",K44/Table8s2!$G$34*100)</f>
        <v>6.053844877071857E-3</v>
      </c>
      <c r="O44" s="3848">
        <v>2241.9925454168738</v>
      </c>
      <c r="P44" s="3847">
        <f>Summary2!E45</f>
        <v>2255.5413085535088</v>
      </c>
      <c r="Q44" s="3931">
        <f t="shared" si="50"/>
        <v>13.548763136634989</v>
      </c>
      <c r="R44" s="3931">
        <f t="shared" si="51"/>
        <v>0.60431793871623896</v>
      </c>
      <c r="S44" s="3889"/>
      <c r="T44" s="3932">
        <f>IF(Q44="NA","NA",Q44/Table8s2!$G$34*100)</f>
        <v>2.6348595528118495E-3</v>
      </c>
      <c r="U44" s="713"/>
    </row>
    <row r="45" spans="2:21" ht="18" customHeight="1" x14ac:dyDescent="0.2">
      <c r="B45" s="620" t="s">
        <v>1525</v>
      </c>
      <c r="C45" s="3847">
        <v>543.59144235644101</v>
      </c>
      <c r="D45" s="3847">
        <f>Summary2!C46</f>
        <v>420.85388622961864</v>
      </c>
      <c r="E45" s="3931">
        <f t="shared" si="48"/>
        <v>-122.73755612682237</v>
      </c>
      <c r="F45" s="3931">
        <f t="shared" si="49"/>
        <v>-22.579008160018372</v>
      </c>
      <c r="G45" s="3889"/>
      <c r="H45" s="3931">
        <f>IF(E45="NA","NA",E45/Table8s2!$G$34*100)</f>
        <v>-2.3869058672602795E-2</v>
      </c>
      <c r="I45" s="3848">
        <v>6500.8296499403332</v>
      </c>
      <c r="J45" s="3847">
        <f>Summary2!D46</f>
        <v>2100.5259486759405</v>
      </c>
      <c r="K45" s="3931">
        <f t="shared" si="44"/>
        <v>-4400.3037012643927</v>
      </c>
      <c r="L45" s="3931">
        <f t="shared" si="45"/>
        <v>-67.688340384442782</v>
      </c>
      <c r="M45" s="3889"/>
      <c r="N45" s="3932">
        <f>IF(K45="NA","NA",K45/Table8s2!$G$34*100)</f>
        <v>-0.85573731901769667</v>
      </c>
      <c r="O45" s="3848">
        <v>48.605328720239079</v>
      </c>
      <c r="P45" s="3847">
        <f>Summary2!E46</f>
        <v>48.849807681909994</v>
      </c>
      <c r="Q45" s="3931">
        <f t="shared" si="50"/>
        <v>0.24447896167091443</v>
      </c>
      <c r="R45" s="3931">
        <f t="shared" si="51"/>
        <v>0.50298798116988008</v>
      </c>
      <c r="S45" s="3889"/>
      <c r="T45" s="3932">
        <f>IF(Q45="NA","NA",Q45/Table8s2!$G$34*100)</f>
        <v>4.7544393619100365E-5</v>
      </c>
      <c r="U45" s="713"/>
    </row>
    <row r="46" spans="2:21" ht="18" customHeight="1" x14ac:dyDescent="0.2">
      <c r="B46" s="620" t="s">
        <v>1526</v>
      </c>
      <c r="C46" s="3847">
        <v>5324.1740647823517</v>
      </c>
      <c r="D46" s="3847">
        <f>Summary2!C47</f>
        <v>5259.0434028994623</v>
      </c>
      <c r="E46" s="3931">
        <f t="shared" si="48"/>
        <v>-65.130661882889399</v>
      </c>
      <c r="F46" s="3931">
        <f t="shared" si="49"/>
        <v>-1.2233007615905565</v>
      </c>
      <c r="G46" s="3889"/>
      <c r="H46" s="3931">
        <f>IF(E46="NA","NA",E46/Table8s2!$G$34*100)</f>
        <v>-1.2666111652588187E-2</v>
      </c>
      <c r="I46" s="3848">
        <v>104.67700631232501</v>
      </c>
      <c r="J46" s="3847">
        <f>Summary2!D47</f>
        <v>105.1398432</v>
      </c>
      <c r="K46" s="3931">
        <f t="shared" si="44"/>
        <v>0.46283688767499598</v>
      </c>
      <c r="L46" s="3931">
        <f t="shared" si="45"/>
        <v>0.44215716897178792</v>
      </c>
      <c r="M46" s="3889"/>
      <c r="N46" s="3932">
        <f>IF(K46="NA","NA",K46/Table8s2!$G$34*100)</f>
        <v>9.0008968537260087E-5</v>
      </c>
      <c r="O46" s="3848">
        <v>24.110052374582537</v>
      </c>
      <c r="P46" s="3847">
        <f>Summary2!E47</f>
        <v>24.206904671407685</v>
      </c>
      <c r="Q46" s="3931">
        <f t="shared" si="50"/>
        <v>9.6852296825147732E-2</v>
      </c>
      <c r="R46" s="3931">
        <f t="shared" si="51"/>
        <v>0.40170919299724139</v>
      </c>
      <c r="S46" s="3889"/>
      <c r="T46" s="3932">
        <f>IF(Q46="NA","NA",Q46/Table8s2!$G$34*100)</f>
        <v>1.8835091951049454E-5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-7520.4386068248341</v>
      </c>
      <c r="D48" s="3847">
        <f>Summary2!C49</f>
        <v>-7510.6564371924978</v>
      </c>
      <c r="E48" s="3931">
        <f t="shared" si="48"/>
        <v>9.782169632336263</v>
      </c>
      <c r="F48" s="3931">
        <f t="shared" si="49"/>
        <v>-0.13007445634166734</v>
      </c>
      <c r="G48" s="3889"/>
      <c r="H48" s="3931">
        <f>IF(E48="NA","NA",E48/Table8s2!$G$34*100)</f>
        <v>1.9023613331385352E-3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t="s">
        <v>2146</v>
      </c>
      <c r="D49" s="3855" t="str">
        <f>Summary2!C50</f>
        <v>NO</v>
      </c>
      <c r="E49" s="3933" t="str">
        <f t="shared" si="48"/>
        <v>NA</v>
      </c>
      <c r="F49" s="3933" t="str">
        <f t="shared" si="49"/>
        <v>NA</v>
      </c>
      <c r="G49" s="3934"/>
      <c r="H49" s="3933" t="str">
        <f>IF(E49="NA","NA",E49/Table8s2!$G$34*100)</f>
        <v>NA</v>
      </c>
      <c r="I49" s="3935" t="s">
        <v>2146</v>
      </c>
      <c r="J49" s="3936" t="str">
        <f>Summary2!D50</f>
        <v>NO</v>
      </c>
      <c r="K49" s="3937" t="s">
        <v>2147</v>
      </c>
      <c r="L49" s="3937" t="s">
        <v>2147</v>
      </c>
      <c r="M49" s="3938"/>
      <c r="N49" s="3937" t="s">
        <v>2147</v>
      </c>
      <c r="O49" s="3873">
        <v>9.0328146071428588</v>
      </c>
      <c r="P49" s="3855">
        <f>Summary2!E50</f>
        <v>9.0328146071428588</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80.093277747652635</v>
      </c>
      <c r="D50" s="3839">
        <f>Summary2!C51</f>
        <v>80.09327774765265</v>
      </c>
      <c r="E50" s="3839">
        <f t="shared" si="48"/>
        <v>1.4210854715202004E-14</v>
      </c>
      <c r="F50" s="3839">
        <f t="shared" si="49"/>
        <v>1.7742880694651672E-14</v>
      </c>
      <c r="G50" s="3844">
        <f>IF(E50="NA","NA",E50/Table8s2!$G$35*100)</f>
        <v>3.1504314435800397E-18</v>
      </c>
      <c r="H50" s="3845">
        <f>IF(E50="NA","NA",E50/Table8s2!$G$34*100)</f>
        <v>2.7636180456005019E-18</v>
      </c>
      <c r="I50" s="3839">
        <f>SUM(I51:I55)</f>
        <v>21842.839098177363</v>
      </c>
      <c r="J50" s="3839">
        <f>Summary2!D51</f>
        <v>21841.472496374969</v>
      </c>
      <c r="K50" s="3839">
        <f t="shared" ref="K50" si="54">IF(J50="NO",IF(I50="NO","NA",-I50),IF(I50="NO",J50,J50-I50))</f>
        <v>-1.3666018023941433</v>
      </c>
      <c r="L50" s="3839">
        <f t="shared" ref="L50" si="55">IF(K50="NA","NA",K50/I50*100)</f>
        <v>-6.2565209414932564E-3</v>
      </c>
      <c r="M50" s="3844">
        <f>IF(K50="NA","NA",K50/Table8s2!$G$35*100)</f>
        <v>-3.0296455599605819E-4</v>
      </c>
      <c r="N50" s="3845">
        <f>IF(K50="NA","NA",K50/Table8s2!$G$34*100)</f>
        <v>-2.6576623840974509E-4</v>
      </c>
      <c r="O50" s="3839">
        <f>SUM(O51:O55)</f>
        <v>303.46281478562292</v>
      </c>
      <c r="P50" s="3839">
        <f>Summary2!E51</f>
        <v>181.99575146218544</v>
      </c>
      <c r="Q50" s="3839">
        <f t="shared" si="52"/>
        <v>-121.46706332343749</v>
      </c>
      <c r="R50" s="3839">
        <f t="shared" si="53"/>
        <v>-40.027000807082807</v>
      </c>
      <c r="S50" s="3844">
        <f>IF(Q50="NA","NA",Q50/Table8s2!$G$35*100)</f>
        <v>-2.692826457821159E-2</v>
      </c>
      <c r="T50" s="3845">
        <f>IF(Q50="NA","NA",Q50/Table8s2!$G$34*100)</f>
        <v>-2.3621982975285026E-2</v>
      </c>
    </row>
    <row r="51" spans="2:21" ht="18" customHeight="1" x14ac:dyDescent="0.2">
      <c r="B51" s="620" t="s">
        <v>1530</v>
      </c>
      <c r="C51" s="3918"/>
      <c r="D51" s="3918"/>
      <c r="E51" s="3888"/>
      <c r="F51" s="3903"/>
      <c r="G51" s="3904"/>
      <c r="H51" s="3905"/>
      <c r="I51" s="3839">
        <v>16318.179974242399</v>
      </c>
      <c r="J51" s="3839">
        <f>Summary2!D52</f>
        <v>16316.81337244</v>
      </c>
      <c r="K51" s="3839">
        <f t="shared" ref="K51:K52" si="56">IF(J51="NO",IF(I51="NO","NA",-I51),IF(I51="NO",J51,J51-I51))</f>
        <v>-1.3666018023996003</v>
      </c>
      <c r="L51" s="3839">
        <f t="shared" ref="L51:L52" si="57">IF(K51="NA","NA",K51/I51*100)</f>
        <v>-8.3747195125726467E-3</v>
      </c>
      <c r="M51" s="3844">
        <f>IF(K51="NA","NA",K51/Table8s2!$G$35*100)</f>
        <v>-3.0296455599726794E-4</v>
      </c>
      <c r="N51" s="3845">
        <f>IF(K51="NA","NA",K51/Table8s2!$G$34*100)</f>
        <v>-2.6576623841080625E-4</v>
      </c>
      <c r="O51" s="3886"/>
      <c r="P51" s="3887"/>
      <c r="Q51" s="3940"/>
      <c r="R51" s="3941"/>
      <c r="S51" s="3942"/>
      <c r="T51" s="3943"/>
    </row>
    <row r="52" spans="2:21" ht="18" customHeight="1" x14ac:dyDescent="0.2">
      <c r="B52" s="1396" t="s">
        <v>1531</v>
      </c>
      <c r="C52" s="3918"/>
      <c r="D52" s="3918"/>
      <c r="E52" s="3888"/>
      <c r="F52" s="3903"/>
      <c r="G52" s="3904"/>
      <c r="H52" s="3905"/>
      <c r="I52" s="3849">
        <v>28.404299242479713</v>
      </c>
      <c r="J52" s="3847">
        <f>Summary2!D53</f>
        <v>28.404299242479713</v>
      </c>
      <c r="K52" s="3839">
        <f t="shared" si="56"/>
        <v>0</v>
      </c>
      <c r="L52" s="3839">
        <f t="shared" si="57"/>
        <v>0</v>
      </c>
      <c r="M52" s="3844">
        <f>IF(K52="NA","NA",K52/Table8s2!$G$35*100)</f>
        <v>0</v>
      </c>
      <c r="N52" s="3845">
        <f>IF(K52="NA","NA",K52/Table8s2!$G$34*100)</f>
        <v>0</v>
      </c>
      <c r="O52" s="3839">
        <v>34.40977965374686</v>
      </c>
      <c r="P52" s="3839">
        <f>Summary2!E53</f>
        <v>34.40977965374686</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80.093277747652635</v>
      </c>
      <c r="D53" s="3839">
        <f>Summary2!C54</f>
        <v>80.09327774765265</v>
      </c>
      <c r="E53" s="3839">
        <f t="shared" ref="E53" si="60">IF(D53="NO",IF(C53="NO","NA",-C53),IF(C53="NO",D53,D53-C53))</f>
        <v>1.4210854715202004E-14</v>
      </c>
      <c r="F53" s="3839">
        <f t="shared" ref="F53" si="61">IF(E53="NA","NA",E53/C53*100)</f>
        <v>1.7742880694651672E-14</v>
      </c>
      <c r="G53" s="3844">
        <f>IF(E53="NA","NA",E53/Table8s2!$G$35*100)</f>
        <v>3.1504314435800397E-18</v>
      </c>
      <c r="H53" s="3845">
        <f>IF(E53="NA","NA",E53/Table8s2!$G$34*100)</f>
        <v>2.7636180456005019E-18</v>
      </c>
      <c r="I53" s="3849">
        <v>2.5947936</v>
      </c>
      <c r="J53" s="3847">
        <f>Summary2!D54</f>
        <v>2.5947936</v>
      </c>
      <c r="K53" s="3839" t="s">
        <v>2147</v>
      </c>
      <c r="L53" s="3944" t="s">
        <v>2147</v>
      </c>
      <c r="M53" s="3895" t="s">
        <v>2147</v>
      </c>
      <c r="N53" s="3896" t="s">
        <v>2147</v>
      </c>
      <c r="O53" s="3839">
        <v>10.064699999999998</v>
      </c>
      <c r="P53" s="3839">
        <f>Summary2!E54</f>
        <v>10.064699999999998</v>
      </c>
      <c r="Q53" s="3839" t="s">
        <v>2147</v>
      </c>
      <c r="R53" s="3839" t="s">
        <v>2147</v>
      </c>
      <c r="S53" s="3844" t="s">
        <v>2147</v>
      </c>
      <c r="T53" s="3845" t="s">
        <v>2147</v>
      </c>
    </row>
    <row r="54" spans="2:21" ht="18" customHeight="1" x14ac:dyDescent="0.2">
      <c r="B54" s="620" t="s">
        <v>1533</v>
      </c>
      <c r="C54" s="3945"/>
      <c r="D54" s="3946"/>
      <c r="E54" s="3947"/>
      <c r="F54" s="3946"/>
      <c r="G54" s="3948"/>
      <c r="H54" s="3949"/>
      <c r="I54" s="3847">
        <v>5493.660031092485</v>
      </c>
      <c r="J54" s="3847">
        <f>Summary2!D55</f>
        <v>5493.660031092486</v>
      </c>
      <c r="K54" s="3839">
        <f t="shared" ref="K54" si="62">IF(J54="NO",IF(I54="NO","NA",-I54),IF(I54="NO",J54,J54-I54))</f>
        <v>9.0949470177292824E-13</v>
      </c>
      <c r="L54" s="3839">
        <f t="shared" ref="L54" si="63">IF(K54="NA","NA",K54/I54*100)</f>
        <v>1.6555351015997681E-14</v>
      </c>
      <c r="M54" s="3844">
        <f>IF(K54="NA","NA",K54/Table8s2!$G$35*100)</f>
        <v>2.0162761238912254E-16</v>
      </c>
      <c r="N54" s="3845">
        <f>IF(K54="NA","NA",K54/Table8s2!$G$34*100)</f>
        <v>1.7687155491843212E-16</v>
      </c>
      <c r="O54" s="3839">
        <v>258.98833513187606</v>
      </c>
      <c r="P54" s="3839">
        <f>Summary2!E55</f>
        <v>137.52127180843857</v>
      </c>
      <c r="Q54" s="3839">
        <f t="shared" ref="Q54" si="64">IF(P54="NO",IF(O54="NO","NA",-O54),IF(O54="NO",P54,P54-O54))</f>
        <v>-121.46706332343749</v>
      </c>
      <c r="R54" s="3839">
        <f t="shared" ref="R54" si="65">IF(Q54="NA","NA",Q54/O54*100)</f>
        <v>-46.900592361268636</v>
      </c>
      <c r="S54" s="3844">
        <f>IF(Q54="NA","NA",Q54/Table8s2!$G$35*100)</f>
        <v>-2.692826457821159E-2</v>
      </c>
      <c r="T54" s="3845">
        <f>IF(Q54="NA","NA",Q54/Table8s2!$G$34*100)</f>
        <v>-2.3621982975285026E-2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8613.7479999999996</v>
      </c>
      <c r="D59" s="3847">
        <f>Summary2!C60</f>
        <v>8613.7479999999996</v>
      </c>
      <c r="E59" s="3861">
        <f t="shared" ref="E59" si="66">IF(D59="NO",IF(C59="NO","NA",-C59),IF(C59="NO",D59,D59-C59))</f>
        <v>0</v>
      </c>
      <c r="F59" s="3861">
        <f t="shared" ref="F59" si="67">IF(E59="NA","NA",E59/C59*100)</f>
        <v>0</v>
      </c>
      <c r="G59" s="3862">
        <f>IF(E59="NA","NA",E59/Table8s2!$G$35*100)</f>
        <v>0</v>
      </c>
      <c r="H59" s="3863">
        <f>IF(E59="NA","NA",E59/Table8s2!$G$34*100)</f>
        <v>0</v>
      </c>
      <c r="I59" s="3847">
        <v>7.5575445866667614</v>
      </c>
      <c r="J59" s="3847">
        <f>Summary2!D60</f>
        <v>7.5575445866666664</v>
      </c>
      <c r="K59" s="3861">
        <f t="shared" ref="K59:K61" si="68">IF(J59="NO",IF(I59="NO","NA",-I59),IF(I59="NO",J59,J59-I59))</f>
        <v>-9.50350909079134E-14</v>
      </c>
      <c r="L59" s="3861">
        <f t="shared" ref="L59:L61" si="69">IF(K59="NA","NA",K59/I59*100)</f>
        <v>-1.2574863412063365E-12</v>
      </c>
      <c r="M59" s="3862">
        <f>IF(K59="NA","NA",K59/Table8s2!$G$35*100)</f>
        <v>-2.1068510278941515E-17</v>
      </c>
      <c r="N59" s="3863">
        <f>IF(K59="NA","NA",K59/Table8s2!$G$34*100)</f>
        <v>-1.8481695679953354E-17</v>
      </c>
      <c r="O59" s="3848">
        <v>27.780588936385499</v>
      </c>
      <c r="P59" s="3847">
        <f>Summary2!E60</f>
        <v>27.780588936385964</v>
      </c>
      <c r="Q59" s="3861">
        <f t="shared" ref="Q59" si="70">IF(P59="NO",IF(O59="NO","NA",-O59),IF(O59="NO",P59,P59-O59))</f>
        <v>4.6540549192286562E-13</v>
      </c>
      <c r="R59" s="3966">
        <f t="shared" ref="R59" si="71">IF(Q59="NA","NA",Q59/O59*100)</f>
        <v>1.6752902286866315E-12</v>
      </c>
      <c r="S59" s="3967">
        <f>IF(Q59="NA","NA",Q59/Table8s2!$G$35*100)</f>
        <v>1.031766297772463E-16</v>
      </c>
      <c r="T59" s="3968">
        <f>IF(Q59="NA","NA",Q59/Table8s2!$G$34*100)</f>
        <v>9.0508490993416437E-17</v>
      </c>
    </row>
    <row r="60" spans="2:21" ht="18" customHeight="1" x14ac:dyDescent="0.2">
      <c r="B60" s="1410" t="s">
        <v>111</v>
      </c>
      <c r="C60" s="3847">
        <v>5908.3440000000001</v>
      </c>
      <c r="D60" s="3847">
        <f>Summary2!C61</f>
        <v>5908.3440000000001</v>
      </c>
      <c r="E60" s="3861">
        <f t="shared" ref="E60:E61" si="72">IF(D60="NO",IF(C60="NO","NA",-C60),IF(C60="NO",D60,D60-C60))</f>
        <v>0</v>
      </c>
      <c r="F60" s="3861">
        <f t="shared" ref="F60:F61" si="73">IF(E60="NA","NA",E60/C60*100)</f>
        <v>0</v>
      </c>
      <c r="G60" s="3862">
        <f>IF(E60="NA","NA",E60/Table8s2!$G$35*100)</f>
        <v>0</v>
      </c>
      <c r="H60" s="3863">
        <f>IF(E60="NA","NA",E60/Table8s2!$G$34*100)</f>
        <v>0</v>
      </c>
      <c r="I60" s="3847">
        <v>0.28790458666676</v>
      </c>
      <c r="J60" s="3847">
        <f>Summary2!D61</f>
        <v>0.28790458666666668</v>
      </c>
      <c r="K60" s="3861">
        <f t="shared" si="68"/>
        <v>-9.3314245219744407E-14</v>
      </c>
      <c r="L60" s="3861">
        <f t="shared" si="69"/>
        <v>-3.241151740585243E-11</v>
      </c>
      <c r="M60" s="3862">
        <f>IF(K60="NA","NA",K60/Table8s2!$G$35*100)</f>
        <v>-2.0687012721320497E-17</v>
      </c>
      <c r="N60" s="3863">
        <f>IF(K60="NA","NA",K60/Table8s2!$G$34*100)</f>
        <v>-1.8147038807243919E-17</v>
      </c>
      <c r="O60" s="3848">
        <v>8.1228889363855004</v>
      </c>
      <c r="P60" s="3847">
        <f>Summary2!E61</f>
        <v>8.1228889363859658</v>
      </c>
      <c r="Q60" s="3861">
        <f t="shared" ref="Q60:Q61" si="74">IF(P60="NO",IF(O60="NO","NA",-O60),IF(O60="NO",P60,P60-O60))</f>
        <v>4.6540549192286562E-13</v>
      </c>
      <c r="R60" s="3966">
        <f t="shared" ref="R60:R61" si="75">IF(Q60="NA","NA",Q60/O60*100)</f>
        <v>5.7295562646208042E-12</v>
      </c>
      <c r="S60" s="3967">
        <f>IF(Q60="NA","NA",Q60/Table8s2!$G$35*100)</f>
        <v>1.031766297772463E-16</v>
      </c>
      <c r="T60" s="3968">
        <f>IF(Q60="NA","NA",Q60/Table8s2!$G$34*100)</f>
        <v>9.0508490993416437E-17</v>
      </c>
    </row>
    <row r="61" spans="2:21" ht="18" customHeight="1" x14ac:dyDescent="0.2">
      <c r="B61" s="1411" t="s">
        <v>1503</v>
      </c>
      <c r="C61" s="3847">
        <v>2705.404</v>
      </c>
      <c r="D61" s="3847">
        <f>Summary2!C62</f>
        <v>2705.404</v>
      </c>
      <c r="E61" s="3861">
        <f t="shared" si="72"/>
        <v>0</v>
      </c>
      <c r="F61" s="3861">
        <f t="shared" si="73"/>
        <v>0</v>
      </c>
      <c r="G61" s="3862">
        <f>IF(E61="NA","NA",E61/Table8s2!$G$35*100)</f>
        <v>0</v>
      </c>
      <c r="H61" s="3863">
        <f>IF(E61="NA","NA",E61/Table8s2!$G$34*100)</f>
        <v>0</v>
      </c>
      <c r="I61" s="3847">
        <v>7.2696400000000008</v>
      </c>
      <c r="J61" s="3847">
        <f>Summary2!D62</f>
        <v>7.269639999999999</v>
      </c>
      <c r="K61" s="3861">
        <f t="shared" si="68"/>
        <v>-1.7763568394002505E-15</v>
      </c>
      <c r="L61" s="3861">
        <f t="shared" si="69"/>
        <v>-2.4435279317823854E-14</v>
      </c>
      <c r="M61" s="3862">
        <f>IF(K61="NA","NA",K61/Table8s2!$G$35*100)</f>
        <v>-3.9380393044750496E-19</v>
      </c>
      <c r="N61" s="3863">
        <f>IF(K61="NA","NA",K61/Table8s2!$G$34*100)</f>
        <v>-3.4545225570006274E-19</v>
      </c>
      <c r="O61" s="3848">
        <v>19.657699999999998</v>
      </c>
      <c r="P61" s="3847">
        <f>Summary2!E62</f>
        <v>19.657699999999998</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17109.553749999999</v>
      </c>
      <c r="D63" s="3847">
        <f>Summary2!C64</f>
        <v>17109.553750000003</v>
      </c>
      <c r="E63" s="3861">
        <f t="shared" ref="E63:E65" si="76">IF(D63="NO",IF(C63="NO","NA",-C63),IF(C63="NO",D63,D63-C63))</f>
        <v>3.637978807091713E-12</v>
      </c>
      <c r="F63" s="3861">
        <f t="shared" ref="F63:F65" si="77">IF(E63="NA","NA",E63/C63*100)</f>
        <v>2.1262850336419285E-14</v>
      </c>
      <c r="G63" s="3862">
        <f>IF(E63="NA","NA",E63/Table8s2!$G$35*100)</f>
        <v>8.0651044955649015E-16</v>
      </c>
      <c r="H63" s="3863">
        <f>IF(E63="NA","NA",E63/Table8s2!$G$34*100)</f>
        <v>7.0748621967372849E-16</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-207844.23680647695</v>
      </c>
      <c r="D65" s="3849">
        <f>Summary2!C66</f>
        <v>-207830.41124779763</v>
      </c>
      <c r="E65" s="3977">
        <f t="shared" si="76"/>
        <v>13.825558679323876</v>
      </c>
      <c r="F65" s="3984">
        <f t="shared" si="77"/>
        <v>-6.651884551505176E-3</v>
      </c>
      <c r="G65" s="3985">
        <f>IF(E65="NA","NA",E65/Table8s2!$G$35*100)</f>
        <v>3.0650144316659925E-3</v>
      </c>
      <c r="H65" s="3986">
        <f>IF(E65="NA","NA",E65/Table8s2!$G$34*100)</f>
        <v>2.6886886272797267E-3</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862.28099757385144</v>
      </c>
      <c r="D10" s="4019">
        <f>IF(SUM(D11:D30)=0,"NO",SUM(D11:D30))</f>
        <v>862.28099757385144</v>
      </c>
      <c r="E10" s="4019">
        <f>IF(D10="NO",IF(C10="NO","NA",-C10),IF(C10="NO",D10,D10-C10))</f>
        <v>0</v>
      </c>
      <c r="F10" s="4019">
        <f>IF(E10="NA","NA",E10/C10*100)</f>
        <v>0</v>
      </c>
      <c r="G10" s="4020">
        <f>IF(E10="NA","NA",E10/$G$35*100)</f>
        <v>0</v>
      </c>
      <c r="H10" s="4021">
        <f>IF(E10="NA","NA",E10/$G$34*100)</f>
        <v>0</v>
      </c>
      <c r="I10" s="4022">
        <f>IF(SUM(I11:I30)=0,"NO",SUM(I11:I30))</f>
        <v>1376.8283202008463</v>
      </c>
      <c r="J10" s="4022">
        <f>IF(SUM(J11:J30)=0,"NO",SUM(J11:J30))</f>
        <v>1376.8283202008463</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325.92330345973716</v>
      </c>
      <c r="V10" s="4019">
        <f>IF(SUM(V11:V30)=0,"NO",SUM(V11:V30))</f>
        <v>325.92330345973721</v>
      </c>
      <c r="W10" s="4019">
        <f>IF(V10="NO",IF(U10="NO","NA",-U10),IF(U10="NO",V10,V10-U10))</f>
        <v>5.6843418860808015E-14</v>
      </c>
      <c r="X10" s="4023">
        <f>IF(W10="NA","NA",W10/U10*100)</f>
        <v>1.7440734754896148E-14</v>
      </c>
      <c r="Y10" s="4024">
        <f>IF(W10="NA","NA",W10/$G$35*100)</f>
        <v>1.2601725774320159E-17</v>
      </c>
      <c r="Z10" s="4021">
        <f>IF(W10="NA","NA",W10/$G$34*100)</f>
        <v>1.1054472182402008E-17</v>
      </c>
      <c r="AA10" s="4019" t="s">
        <v>2146</v>
      </c>
      <c r="AB10" s="4019" t="s">
        <v>2146</v>
      </c>
      <c r="AC10" s="4019" t="s">
        <v>2147</v>
      </c>
      <c r="AD10" s="4023" t="s">
        <v>2147</v>
      </c>
      <c r="AE10" s="4024" t="s">
        <v>2147</v>
      </c>
      <c r="AF10" s="4021" t="s">
        <v>2147</v>
      </c>
    </row>
    <row r="11" spans="2:32" ht="18" customHeight="1" x14ac:dyDescent="0.2">
      <c r="B11" s="1951" t="s">
        <v>1694</v>
      </c>
      <c r="C11" s="3848">
        <v>761.85599999999999</v>
      </c>
      <c r="D11" s="3847">
        <f>'Table2(I)'!F25</f>
        <v>761.85600000000011</v>
      </c>
      <c r="E11" s="3847">
        <f>IF(D11="NO",IF(C11="NO","NA",-C11),IF(C11="NO",D11,D11-C11))</f>
        <v>1.1368683772161603E-13</v>
      </c>
      <c r="F11" s="4016">
        <f>IF(E11="NA","NA",E11/C11*100)</f>
        <v>1.4922352481520921E-14</v>
      </c>
      <c r="G11" s="3871">
        <f>IF(E11="NA","NA",E11/$G$35*100)</f>
        <v>2.5203451548640317E-17</v>
      </c>
      <c r="H11" s="3872">
        <f>IF(E11="NA","NA",E11/$G$34*100)</f>
        <v>2.2108944364804015E-17</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1376.8283202008463</v>
      </c>
      <c r="J13" s="3839">
        <f>'Table2(II)'!AH41</f>
        <v>1376.8283202008463</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89.690570947801646</v>
      </c>
      <c r="D21" s="3847">
        <f>'Table2(I)'!F46</f>
        <v>89.690570947801632</v>
      </c>
      <c r="E21" s="3847">
        <f>IF(D21="NO",IF(C21="NO","NA",-C21),IF(C21="NO",D21,D21-C21))</f>
        <v>-1.4210854715202004E-14</v>
      </c>
      <c r="F21" s="4016">
        <f>IF(E21="NA","NA",E21/C21*100)</f>
        <v>-1.5844312913865245E-14</v>
      </c>
      <c r="G21" s="3871">
        <f>IF(E21="NA","NA",E21/$G$35*100)</f>
        <v>-3.1504314435800397E-18</v>
      </c>
      <c r="H21" s="3872">
        <f>IF(E21="NA","NA",E21/$G$34*100)</f>
        <v>-2.7636180456005019E-18</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7.0705225533577982</v>
      </c>
      <c r="D22" s="3847">
        <f>'Table2(I)'!F47</f>
        <v>7.0705225533578036</v>
      </c>
      <c r="E22" s="3847">
        <f t="shared" ref="E22:E25" si="0">IF(D22="NO",IF(C22="NO","NA",-C22),IF(C22="NO",D22,D22-C22))</f>
        <v>5.3290705182007514E-15</v>
      </c>
      <c r="F22" s="4016">
        <f t="shared" ref="F22:F25" si="1">IF(E22="NA","NA",E22/C22*100)</f>
        <v>7.5370249907059138E-14</v>
      </c>
      <c r="G22" s="3871">
        <f t="shared" ref="G22:G25" si="2">IF(E22="NA","NA",E22/$G$35*100)</f>
        <v>1.1814117913425148E-18</v>
      </c>
      <c r="H22" s="3872">
        <f t="shared" ref="H22:H25" si="3">IF(E22="NA","NA",E22/$G$34*100)</f>
        <v>1.0363567671001882E-18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0.32110328984198466</v>
      </c>
      <c r="D23" s="3847">
        <f>'Table2(I)'!F48</f>
        <v>0.32110328984198488</v>
      </c>
      <c r="E23" s="3847">
        <f t="shared" si="0"/>
        <v>2.2204460492503131E-16</v>
      </c>
      <c r="F23" s="4016">
        <f t="shared" si="1"/>
        <v>6.9150523195916094E-14</v>
      </c>
      <c r="G23" s="3871">
        <f t="shared" si="2"/>
        <v>4.922549130593812E-20</v>
      </c>
      <c r="H23" s="3872">
        <f t="shared" si="3"/>
        <v>4.3181531962507842E-20</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t="s">
        <v>2146</v>
      </c>
      <c r="D24" s="3847" t="str">
        <f>'Table2(I)'!F49</f>
        <v>NO</v>
      </c>
      <c r="E24" s="3847" t="str">
        <f t="shared" si="0"/>
        <v>NA</v>
      </c>
      <c r="F24" s="4016" t="str">
        <f t="shared" si="1"/>
        <v>NA</v>
      </c>
      <c r="G24" s="3871" t="str">
        <f t="shared" si="2"/>
        <v>NA</v>
      </c>
      <c r="H24" s="3872" t="str">
        <f t="shared" si="3"/>
        <v>NA</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3.3428007828500168</v>
      </c>
      <c r="D25" s="3847">
        <f>'Table2(I)'!F50</f>
        <v>3.3428007828500186</v>
      </c>
      <c r="E25" s="3847">
        <f t="shared" si="0"/>
        <v>1.7763568394002505E-15</v>
      </c>
      <c r="F25" s="4016">
        <f t="shared" si="1"/>
        <v>5.3139775738767118E-14</v>
      </c>
      <c r="G25" s="3871">
        <f t="shared" si="2"/>
        <v>3.9380393044750496E-19</v>
      </c>
      <c r="H25" s="3872">
        <f t="shared" si="3"/>
        <v>3.4545225570006274E-19</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311.43731534145616</v>
      </c>
      <c r="V27" s="3847">
        <f>IFERROR('Table2(I)'!I53*23500,'Table2(I)'!I53)</f>
        <v>311.43731534145627</v>
      </c>
      <c r="W27" s="3847">
        <f>IF(V27="NO",IF(U27="NO","NA",-U27),IF(U27="NO",V27,V27-U27))</f>
        <v>1.1368683772161603E-13</v>
      </c>
      <c r="X27" s="4016">
        <f>IF(W27="NA","NA",W27/U27*100)</f>
        <v>3.6503922979483409E-14</v>
      </c>
      <c r="Y27" s="3871">
        <f>IF(W27="NA","NA",W27/$G$35*100)</f>
        <v>2.5203451548640317E-17</v>
      </c>
      <c r="Z27" s="3872">
        <f>IF(W27="NA","NA",W27/$G$34*100)</f>
        <v>2.2108944364804015E-17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14.485988118281005</v>
      </c>
      <c r="V28" s="3847">
        <f>IFERROR('Table2(I)'!I54*23500,'Table2(I)'!I54)</f>
        <v>14.485988118280931</v>
      </c>
      <c r="W28" s="3847">
        <f>IF(V28="NO",IF(U28="NO","NA",-U28),IF(U28="NO",V28,V28-U28))</f>
        <v>-7.460698725481052E-14</v>
      </c>
      <c r="X28" s="4016">
        <f>IF(W28="NA","NA",W28/U28*100)</f>
        <v>-5.1502863764369729E-13</v>
      </c>
      <c r="Y28" s="3871">
        <f>IF(W28="NA","NA",W28/$G$35*100)</f>
        <v>-1.6539765078795207E-17</v>
      </c>
      <c r="Z28" s="3872">
        <f>IF(W28="NA","NA",W28/$G$34*100)</f>
        <v>-1.4508994739402635E-17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517739.90272236912</v>
      </c>
      <c r="F34" s="4523"/>
      <c r="G34" s="4522">
        <f>SUM(Table8s1!D10,Table8s1!J10,Table8s1!P10,D10,J10,P10,V10,AB10)</f>
        <v>514211.96709236829</v>
      </c>
      <c r="H34" s="4523"/>
      <c r="I34" s="3839">
        <f>G34-E34</f>
        <v>-3527.9356300008367</v>
      </c>
      <c r="J34" s="4045">
        <f>IF(I34="NA","NA",I34/E34*100)</f>
        <v>-0.68141080327212933</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451146.4492168107</v>
      </c>
      <c r="F35" s="4525"/>
      <c r="G35" s="4526">
        <f>G34-SUM(Table8s1!D41,Table8s1!J41,Table8s1!P41)</f>
        <v>451076.4626908779</v>
      </c>
      <c r="H35" s="4527"/>
      <c r="I35" s="3855">
        <f>G35-E35</f>
        <v>-69.986525932792574</v>
      </c>
      <c r="J35" s="4046">
        <f>IF(I35="NA","NA",I35/E35*100)</f>
        <v>-1.5513039292293897E-2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975724.10116765206</v>
      </c>
      <c r="D10" s="1913" t="s">
        <v>1814</v>
      </c>
      <c r="E10" s="628"/>
      <c r="F10" s="628"/>
      <c r="G10" s="628"/>
      <c r="H10" s="1847">
        <f>IF(SUM(H11:H14)=0,"NO",SUM(H11:H14))</f>
        <v>66233.065766620843</v>
      </c>
      <c r="I10" s="1847">
        <f>IF(SUM(I11:I15)=0,"NO",SUM(I11:I15))</f>
        <v>29.66892980636533</v>
      </c>
      <c r="J10" s="2192">
        <f>IF(SUM(J11:J15)=0,"NO",SUM(J11:J15))</f>
        <v>4.3475660104684701</v>
      </c>
    </row>
    <row r="11" spans="2:11" ht="18" customHeight="1" x14ac:dyDescent="0.2">
      <c r="B11" s="282" t="s">
        <v>132</v>
      </c>
      <c r="C11" s="1913">
        <f>IF(SUM(C17:C18,C21:C24,C82,C89:C92,C100)=0,"NO",SUM(C17:C18,C21:C24,C82,C89:C92,C100))</f>
        <v>963063.45692627411</v>
      </c>
      <c r="D11" s="1909" t="s">
        <v>1814</v>
      </c>
      <c r="E11" s="1913">
        <f>IFERROR(H11*1000/$C11,"NA")</f>
        <v>67.936700431034311</v>
      </c>
      <c r="F11" s="1913">
        <f t="shared" ref="F11:G15" si="0">IFERROR(I11*1000000/$C11,"NA")</f>
        <v>30.496525159490279</v>
      </c>
      <c r="G11" s="1913">
        <f t="shared" si="0"/>
        <v>4.5085980360283475</v>
      </c>
      <c r="H11" s="1913">
        <f>IF(SUM(H17:H18,H21:H24,H82,H89:H92,H100)=0,"NO",SUM(H17:H18,H21:H24,H82,H89:H92,H100))</f>
        <v>65427.353569276594</v>
      </c>
      <c r="I11" s="1913">
        <f>IF(SUM(I17:I18,I21:I24,I82,I89:I92,I100)=0,"NO",SUM(I17:I18,I21:I24,I82,I89:I92,I100))</f>
        <v>29.370088944337802</v>
      </c>
      <c r="J11" s="3085">
        <f>IF(SUM(J17:J18,J21:J24,J82,J89:J92,J100)=0,"NO",SUM(J17:J18,J21:J24,J82,J89:J92,J100))</f>
        <v>4.3420660104684705</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8640</v>
      </c>
      <c r="D13" s="1909" t="s">
        <v>1814</v>
      </c>
      <c r="E13" s="1913">
        <f t="shared" si="1"/>
        <v>51.411918339265007</v>
      </c>
      <c r="F13" s="1913">
        <f t="shared" si="0"/>
        <v>19.773247919852992</v>
      </c>
      <c r="G13" s="1913">
        <f t="shared" si="0"/>
        <v>0.1736111111111111</v>
      </c>
      <c r="H13" s="1913">
        <f>IF(SUM(H26,H84,H94,H102)=0,"NO",SUM(H26,H84,H94,H102))</f>
        <v>444.19897445124963</v>
      </c>
      <c r="I13" s="1913">
        <f>IF(SUM(I26,I84,I94,I102)=0,"NO",SUM(I26,I84,I94,I102))</f>
        <v>0.17084086202752985</v>
      </c>
      <c r="J13" s="3085">
        <f>IF(SUM(J26,J84,J94,J102)=0,"NO",SUM(J26,J84,J94,J102))</f>
        <v>1.5E-3</v>
      </c>
    </row>
    <row r="14" spans="2:11" ht="18" customHeight="1" x14ac:dyDescent="0.2">
      <c r="B14" s="282" t="s">
        <v>175</v>
      </c>
      <c r="C14" s="1913">
        <f>IF(SUM(C28,C86,C96,C103)=0,"NO",SUM(C28,C86,C96,C103))</f>
        <v>4020.6442413779332</v>
      </c>
      <c r="D14" s="1909" t="s">
        <v>1814</v>
      </c>
      <c r="E14" s="1913">
        <f t="shared" si="1"/>
        <v>89.91425283852189</v>
      </c>
      <c r="F14" s="1913">
        <f t="shared" si="0"/>
        <v>31.835694061838343</v>
      </c>
      <c r="G14" s="1913">
        <f t="shared" si="0"/>
        <v>0.99486543943244821</v>
      </c>
      <c r="H14" s="1913">
        <f>IF(SUM(H28,H86,H96,H103)=0,"NO",SUM(H28,H86,H96,H103))</f>
        <v>361.51322289300248</v>
      </c>
      <c r="I14" s="1913">
        <f>IF(SUM(I28,I86,I96,I103)=0,"NO",SUM(I28,I86,I96,I103))</f>
        <v>0.128</v>
      </c>
      <c r="J14" s="3085">
        <f>IF(SUM(J28,J86,J96,J103)=0,"NO",SUM(J28,J86,J96,J103))</f>
        <v>4.0000000000000001E-3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66418.524962945419</v>
      </c>
      <c r="D16" s="1909" t="s">
        <v>1814</v>
      </c>
      <c r="E16" s="628"/>
      <c r="F16" s="628"/>
      <c r="G16" s="628"/>
      <c r="H16" s="1913">
        <f>IF(SUM(H17:H18)=0,"NO",SUM(H17:H18))</f>
        <v>4614.0325889839123</v>
      </c>
      <c r="I16" s="1913">
        <f>IF(SUM(I17:I19)=0,"NO",SUM(I17:I19))</f>
        <v>3.188537317210343E-2</v>
      </c>
      <c r="J16" s="3085">
        <f>IF(SUM(J17:J19)=0,"NO",SUM(J17:J19))</f>
        <v>4.4034667538465702E-2</v>
      </c>
    </row>
    <row r="17" spans="2:10" ht="18" customHeight="1" x14ac:dyDescent="0.2">
      <c r="B17" s="282" t="s">
        <v>177</v>
      </c>
      <c r="C17" s="691">
        <v>3344.9032450333198</v>
      </c>
      <c r="D17" s="1909" t="s">
        <v>1814</v>
      </c>
      <c r="E17" s="1913">
        <f t="shared" ref="E17:E19" si="2">IFERROR(H17*1000/$C17,"NA")</f>
        <v>66.999999999999915</v>
      </c>
      <c r="F17" s="1913">
        <f t="shared" ref="F17:G19" si="3">IFERROR(I17*1000000/$C17,"NA")</f>
        <v>0.49999999999999939</v>
      </c>
      <c r="G17" s="1913">
        <f t="shared" si="3"/>
        <v>1.9999999999999976</v>
      </c>
      <c r="H17" s="691">
        <v>224.10851741723212</v>
      </c>
      <c r="I17" s="691">
        <v>1.6724516225166577E-3</v>
      </c>
      <c r="J17" s="2911">
        <v>6.6898064900666309E-3</v>
      </c>
    </row>
    <row r="18" spans="2:10" ht="18" customHeight="1" x14ac:dyDescent="0.2">
      <c r="B18" s="282" t="s">
        <v>178</v>
      </c>
      <c r="C18" s="691">
        <v>63073.621717912094</v>
      </c>
      <c r="D18" s="1909" t="s">
        <v>1814</v>
      </c>
      <c r="E18" s="1913">
        <f t="shared" si="2"/>
        <v>69.59999999999998</v>
      </c>
      <c r="F18" s="1913">
        <f t="shared" si="3"/>
        <v>0.47901041238300568</v>
      </c>
      <c r="G18" s="1913">
        <f t="shared" si="3"/>
        <v>0.59208366399853674</v>
      </c>
      <c r="H18" s="691">
        <v>4389.9240715666801</v>
      </c>
      <c r="I18" s="691">
        <v>3.0212921549586776E-2</v>
      </c>
      <c r="J18" s="2911">
        <v>3.734486104839907E-2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845795.27095262893</v>
      </c>
      <c r="D20" s="1909" t="s">
        <v>1814</v>
      </c>
      <c r="E20" s="628"/>
      <c r="F20" s="628"/>
      <c r="G20" s="628"/>
      <c r="H20" s="1913">
        <f>IF(SUM(H21:H24,H26,H28)=0,"NO",SUM(H21:H24,H26,H28))</f>
        <v>57222.023007823867</v>
      </c>
      <c r="I20" s="1913">
        <f>IF(SUM(I21:I24,I26:I28)=0,"NO",SUM(I21:I24,I26:I28))</f>
        <v>25.563123680491486</v>
      </c>
      <c r="J20" s="3085">
        <f>IF(SUM(J21:J24,J26:J28)=0,"NO",SUM(J21:J24,J26:J28))</f>
        <v>3.5865054987260137</v>
      </c>
    </row>
    <row r="21" spans="2:10" ht="18" customHeight="1" x14ac:dyDescent="0.2">
      <c r="B21" s="282" t="s">
        <v>167</v>
      </c>
      <c r="C21" s="1913">
        <f>IF(SUM(C31,C41,C51,C61,C72)=0,"NO",SUM(C31,C41,C51,C61,C72))</f>
        <v>573475.1182735177</v>
      </c>
      <c r="D21" s="1909" t="s">
        <v>1814</v>
      </c>
      <c r="E21" s="1913">
        <f t="shared" ref="E21:E23" si="4">IFERROR(H21*1000/$C21,"NA")</f>
        <v>67.400000000000048</v>
      </c>
      <c r="F21" s="1913">
        <f t="shared" ref="F21:G23" si="5">IFERROR(I21*1000000/$C21,"NA")</f>
        <v>35.89850131088717</v>
      </c>
      <c r="G21" s="1913">
        <f t="shared" si="5"/>
        <v>5.5578138766002141</v>
      </c>
      <c r="H21" s="1913">
        <f>IF(SUM(H31,H41,H51,H61,H72)=0,"NO",SUM(H31,H41,H51,H61,H72))</f>
        <v>38652.222971635121</v>
      </c>
      <c r="I21" s="1913">
        <f>IF(SUM(I31,I41,I51,I61,I72)=0,"NO",SUM(I31,I41,I51,I61,I72))</f>
        <v>20.586897285103049</v>
      </c>
      <c r="J21" s="3085">
        <f>IF(SUM(J31,J41,J51,J61,J72)=0,"NO",SUM(J31,J41,J51,J61,J72))</f>
        <v>3.1872679702255056</v>
      </c>
    </row>
    <row r="22" spans="2:10" ht="18" customHeight="1" x14ac:dyDescent="0.2">
      <c r="B22" s="282" t="s">
        <v>168</v>
      </c>
      <c r="C22" s="1913">
        <f t="shared" ref="C22:C29" si="6">IF(SUM(C32,C42,C52,C62,C73)=0,"NO",SUM(C32,C42,C52,C62,C73))</f>
        <v>224943.58275428892</v>
      </c>
      <c r="D22" s="1909" t="s">
        <v>1814</v>
      </c>
      <c r="E22" s="1913">
        <f t="shared" si="4"/>
        <v>69.899999999999864</v>
      </c>
      <c r="F22" s="1913">
        <f t="shared" si="5"/>
        <v>11.957242895443462</v>
      </c>
      <c r="G22" s="1913">
        <f t="shared" si="5"/>
        <v>1.6295464429443389</v>
      </c>
      <c r="H22" s="1913">
        <f t="shared" ref="H22:J29" si="7">IF(SUM(H32,H42,H52,H62,H73)=0,"NO",SUM(H32,H42,H52,H62,H73))</f>
        <v>15723.556434524764</v>
      </c>
      <c r="I22" s="1913">
        <f t="shared" si="7"/>
        <v>2.6897050567643195</v>
      </c>
      <c r="J22" s="3085">
        <f t="shared" si="7"/>
        <v>0.36655601514040703</v>
      </c>
    </row>
    <row r="23" spans="2:10" ht="18" customHeight="1" x14ac:dyDescent="0.2">
      <c r="B23" s="282" t="s">
        <v>169</v>
      </c>
      <c r="C23" s="1913">
        <f t="shared" si="6"/>
        <v>46701.828939908461</v>
      </c>
      <c r="D23" s="1909" t="s">
        <v>1814</v>
      </c>
      <c r="E23" s="1913">
        <f t="shared" si="4"/>
        <v>60.199999999999989</v>
      </c>
      <c r="F23" s="1913">
        <f t="shared" si="5"/>
        <v>46.872243922376207</v>
      </c>
      <c r="G23" s="1913">
        <f t="shared" si="5"/>
        <v>0.68544453368818781</v>
      </c>
      <c r="H23" s="1913">
        <f t="shared" si="7"/>
        <v>2811.450102182489</v>
      </c>
      <c r="I23" s="1913">
        <f t="shared" si="7"/>
        <v>2.1890195176924774</v>
      </c>
      <c r="J23" s="3085">
        <f t="shared" si="7"/>
        <v>3.2011513360101072E-2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670</v>
      </c>
      <c r="D26" s="1909" t="s">
        <v>1814</v>
      </c>
      <c r="E26" s="1913">
        <f t="shared" si="8"/>
        <v>51.411918339265</v>
      </c>
      <c r="F26" s="1913">
        <f t="shared" si="9"/>
        <v>145.52510586811857</v>
      </c>
      <c r="G26" s="1913">
        <f t="shared" si="9"/>
        <v>1</v>
      </c>
      <c r="H26" s="1913">
        <f t="shared" si="7"/>
        <v>34.44598528730755</v>
      </c>
      <c r="I26" s="1913">
        <f t="shared" si="7"/>
        <v>9.7501820931639449E-2</v>
      </c>
      <c r="J26" s="3085">
        <f t="shared" si="7"/>
        <v>6.7000000000000002E-4</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4.7409849138792</v>
      </c>
      <c r="D28" s="1909" t="s">
        <v>1814</v>
      </c>
      <c r="E28" s="628"/>
      <c r="F28" s="628"/>
      <c r="G28" s="628"/>
      <c r="H28" s="1913">
        <f>H29</f>
        <v>0.34751419418734547</v>
      </c>
      <c r="I28" s="1913" t="str">
        <f>I29</f>
        <v>NE</v>
      </c>
      <c r="J28" s="3085" t="str">
        <f>J29</f>
        <v>NE</v>
      </c>
    </row>
    <row r="29" spans="2:10" ht="18" customHeight="1" x14ac:dyDescent="0.2">
      <c r="B29" s="3105" t="s">
        <v>252</v>
      </c>
      <c r="C29" s="1913">
        <f t="shared" si="6"/>
        <v>4.7409849138792</v>
      </c>
      <c r="D29" s="1909" t="s">
        <v>1814</v>
      </c>
      <c r="E29" s="3103">
        <f t="shared" ref="E29" si="10">IFERROR(H29*1000/$C29,"NA")</f>
        <v>73.300000000000026</v>
      </c>
      <c r="F29" s="3103" t="str">
        <f>IFERROR(I29*1000000/$C29,"NA")</f>
        <v>NA</v>
      </c>
      <c r="G29" s="3103" t="str">
        <f>IFERROR(J29*1000000/$C29,"NA")</f>
        <v>NA</v>
      </c>
      <c r="H29" s="1913">
        <f t="shared" si="7"/>
        <v>0.34751419418734547</v>
      </c>
      <c r="I29" s="1913" t="str">
        <f>IF(SUM(I39,I49,I59,I69,I80)=0,"NE",SUM(I39,I49,I59,I69,I80))</f>
        <v>NE</v>
      </c>
      <c r="J29" s="3085" t="str">
        <f>IF(SUM(J39,J49,J59,J69,J80)=0,"NE",SUM(J39,J49,J59,J69,J80))</f>
        <v>NE</v>
      </c>
    </row>
    <row r="30" spans="2:10" ht="18" customHeight="1" x14ac:dyDescent="0.2">
      <c r="B30" s="1242" t="s">
        <v>182</v>
      </c>
      <c r="C30" s="1913">
        <f>IF(SUM(C31:C34,C36:C38)=0,"NO",SUM(C31:C34,C36:C38))</f>
        <v>537764.70482178382</v>
      </c>
      <c r="D30" s="1909" t="s">
        <v>1814</v>
      </c>
      <c r="E30" s="628"/>
      <c r="F30" s="628"/>
      <c r="G30" s="628"/>
      <c r="H30" s="1913">
        <f>IF(SUM(H31:H34,H36,H38)=0,"NO",SUM(H31:H34,H36,H38))</f>
        <v>36038.630085412799</v>
      </c>
      <c r="I30" s="1913">
        <f>IF(SUM(I31:I34,I36:I38)=0,"NO",SUM(I31:I34,I36:I38))</f>
        <v>19.991494170098566</v>
      </c>
      <c r="J30" s="3085">
        <f>IF(SUM(J31:J34,J36:J38)=0,"NO",SUM(J31:J34,J36:J38))</f>
        <v>3.1267182944613614</v>
      </c>
    </row>
    <row r="31" spans="2:10" ht="18" customHeight="1" x14ac:dyDescent="0.2">
      <c r="B31" s="282" t="s">
        <v>167</v>
      </c>
      <c r="C31" s="691">
        <v>489834.86395597301</v>
      </c>
      <c r="D31" s="1909" t="s">
        <v>1814</v>
      </c>
      <c r="E31" s="1913">
        <f t="shared" ref="E31:E33" si="11">IFERROR(H31*1000/$C31,"NA")</f>
        <v>67.400000000000063</v>
      </c>
      <c r="F31" s="1913">
        <f t="shared" ref="F31:G33" si="12">IFERROR(I31*1000000/$C31,"NA")</f>
        <v>37.154237776601491</v>
      </c>
      <c r="G31" s="1913">
        <f t="shared" si="12"/>
        <v>6.3300714154129629</v>
      </c>
      <c r="H31" s="691">
        <v>33014.869830632611</v>
      </c>
      <c r="I31" s="691">
        <v>18.199441006689462</v>
      </c>
      <c r="J31" s="2911">
        <v>3.1006896706004023</v>
      </c>
    </row>
    <row r="32" spans="2:10" ht="18" customHeight="1" x14ac:dyDescent="0.2">
      <c r="B32" s="282" t="s">
        <v>168</v>
      </c>
      <c r="C32" s="691">
        <v>14435.295118411799</v>
      </c>
      <c r="D32" s="1909" t="s">
        <v>1814</v>
      </c>
      <c r="E32" s="1913">
        <f t="shared" si="11"/>
        <v>69.899999999999935</v>
      </c>
      <c r="F32" s="1913">
        <f t="shared" si="12"/>
        <v>9.5647628800816609</v>
      </c>
      <c r="G32" s="1913">
        <f t="shared" si="12"/>
        <v>0.1972646554714006</v>
      </c>
      <c r="H32" s="691">
        <v>1009.0271287769838</v>
      </c>
      <c r="I32" s="691">
        <v>0.13807017491160917</v>
      </c>
      <c r="J32" s="2911">
        <v>2.8475735181614946E-3</v>
      </c>
    </row>
    <row r="33" spans="2:10" ht="18" customHeight="1" x14ac:dyDescent="0.2">
      <c r="B33" s="282" t="s">
        <v>169</v>
      </c>
      <c r="C33" s="691">
        <v>33308.096866576197</v>
      </c>
      <c r="D33" s="1909" t="s">
        <v>1814</v>
      </c>
      <c r="E33" s="1913">
        <f t="shared" si="11"/>
        <v>60.200000000000031</v>
      </c>
      <c r="F33" s="1913">
        <f t="shared" si="12"/>
        <v>48.196083884145757</v>
      </c>
      <c r="G33" s="1913">
        <f t="shared" si="12"/>
        <v>0.69036071181386982</v>
      </c>
      <c r="H33" s="691">
        <v>2005.1474313678882</v>
      </c>
      <c r="I33" s="691">
        <v>1.6053198306027587</v>
      </c>
      <c r="J33" s="2911">
        <v>2.2994601461974871E-2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186.44888082274599</v>
      </c>
      <c r="D36" s="1909" t="s">
        <v>1814</v>
      </c>
      <c r="E36" s="1913">
        <f t="shared" si="13"/>
        <v>51.411918339265135</v>
      </c>
      <c r="F36" s="1913">
        <f t="shared" si="14"/>
        <v>261.00000000000074</v>
      </c>
      <c r="G36" s="1913">
        <f t="shared" si="14"/>
        <v>1.0000000000000027</v>
      </c>
      <c r="H36" s="691">
        <v>9.5856946353063943</v>
      </c>
      <c r="I36" s="691">
        <v>4.8663157894736839E-2</v>
      </c>
      <c r="J36" s="2911">
        <v>1.864488808227465E-4</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120726.3569376318</v>
      </c>
      <c r="D40" s="1909" t="s">
        <v>1814</v>
      </c>
      <c r="E40" s="628"/>
      <c r="F40" s="628"/>
      <c r="G40" s="628"/>
      <c r="H40" s="1913">
        <f>IF(SUM(H41:H44,H46,H48)=0,"NO",SUM(H41:H44,H46,H48))</f>
        <v>8126.1126150843902</v>
      </c>
      <c r="I40" s="1913">
        <f>IF(SUM(I41:I44,I46:I48)=0,"NO",SUM(I41:I44,I46:I48))</f>
        <v>3.9712624987578855</v>
      </c>
      <c r="J40" s="3085">
        <f>IF(SUM(J41:J44,J46:J48)=0,"NO",SUM(J41:J44,J46:J48))</f>
        <v>9.4172313342059416E-2</v>
      </c>
    </row>
    <row r="41" spans="2:10" ht="18" customHeight="1" x14ac:dyDescent="0.2">
      <c r="B41" s="282" t="s">
        <v>167</v>
      </c>
      <c r="C41" s="691">
        <v>77101.241502082907</v>
      </c>
      <c r="D41" s="1909" t="s">
        <v>1814</v>
      </c>
      <c r="E41" s="1913">
        <f t="shared" ref="E41:E43" si="16">IFERROR(H41*1000/$C41,"NA")</f>
        <v>67.399999999999963</v>
      </c>
      <c r="F41" s="1913">
        <f t="shared" ref="F41:G43" si="17">IFERROR(I41*1000000/$C41,"NA")</f>
        <v>27.226605351629932</v>
      </c>
      <c r="G41" s="1913">
        <f t="shared" si="17"/>
        <v>1.0471220554991101</v>
      </c>
      <c r="H41" s="691">
        <v>5196.6236772403845</v>
      </c>
      <c r="I41" s="691">
        <v>2.0992050744979225</v>
      </c>
      <c r="J41" s="2911">
        <v>8.0734410483194338E-2</v>
      </c>
    </row>
    <row r="42" spans="2:10" ht="18" customHeight="1" x14ac:dyDescent="0.2">
      <c r="B42" s="282" t="s">
        <v>168</v>
      </c>
      <c r="C42" s="691">
        <v>31263.6070746351</v>
      </c>
      <c r="D42" s="1909" t="s">
        <v>1814</v>
      </c>
      <c r="E42" s="1913">
        <f t="shared" si="16"/>
        <v>69.900000000000105</v>
      </c>
      <c r="F42" s="1913">
        <f t="shared" si="17"/>
        <v>41.838572700893316</v>
      </c>
      <c r="G42" s="1913">
        <f t="shared" si="17"/>
        <v>0.2121933318422608</v>
      </c>
      <c r="H42" s="691">
        <v>2185.3261345169967</v>
      </c>
      <c r="I42" s="691">
        <v>1.3080246974842833</v>
      </c>
      <c r="J42" s="2911">
        <v>6.6339289505740976E-3</v>
      </c>
    </row>
    <row r="43" spans="2:10" ht="18" customHeight="1" x14ac:dyDescent="0.2">
      <c r="B43" s="282" t="s">
        <v>169</v>
      </c>
      <c r="C43" s="691">
        <v>12361.5083609138</v>
      </c>
      <c r="D43" s="1909" t="s">
        <v>1814</v>
      </c>
      <c r="E43" s="1913">
        <f t="shared" si="16"/>
        <v>60.199999999999882</v>
      </c>
      <c r="F43" s="1913">
        <f t="shared" si="17"/>
        <v>45.628147496879151</v>
      </c>
      <c r="G43" s="1913">
        <f t="shared" si="17"/>
        <v>0.55041615550774114</v>
      </c>
      <c r="H43" s="691">
        <v>744.16280332700933</v>
      </c>
      <c r="I43" s="691">
        <v>0.56403272677567973</v>
      </c>
      <c r="J43" s="2911">
        <v>6.8039739082909724E-3</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t="s">
        <v>2146</v>
      </c>
      <c r="D46" s="1909" t="s">
        <v>1814</v>
      </c>
      <c r="E46" s="1913" t="str">
        <f t="shared" si="18"/>
        <v>NA</v>
      </c>
      <c r="F46" s="1913" t="str">
        <f t="shared" si="19"/>
        <v>NA</v>
      </c>
      <c r="G46" s="1913" t="str">
        <f t="shared" si="19"/>
        <v>NA</v>
      </c>
      <c r="H46" s="691" t="s">
        <v>2146</v>
      </c>
      <c r="I46" s="691" t="s">
        <v>2146</v>
      </c>
      <c r="J46" s="2911" t="s">
        <v>2146</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184233.1514643259</v>
      </c>
      <c r="D50" s="1909" t="s">
        <v>1814</v>
      </c>
      <c r="E50" s="628"/>
      <c r="F50" s="628"/>
      <c r="G50" s="628"/>
      <c r="H50" s="1913">
        <f>IF(SUM(H51:H54,H56,H58)=0,"NO",SUM(H51:H54,H56,H58))</f>
        <v>12850.263044588677</v>
      </c>
      <c r="I50" s="1913">
        <f>IF(SUM(I51:I54,I56:I58)=0,"NO",SUM(I51:I54,I56:I58))</f>
        <v>1.3724219667366104</v>
      </c>
      <c r="J50" s="3085">
        <f>IF(SUM(J51:J54,J56:J58)=0,"NO",SUM(J51:J54,J56:J58))</f>
        <v>0.36257562365728058</v>
      </c>
    </row>
    <row r="51" spans="2:10" ht="18" customHeight="1" x14ac:dyDescent="0.2">
      <c r="B51" s="282" t="s">
        <v>167</v>
      </c>
      <c r="C51" s="691">
        <v>3472.6960714881598</v>
      </c>
      <c r="D51" s="1909" t="s">
        <v>1814</v>
      </c>
      <c r="E51" s="1913">
        <f t="shared" ref="E51:E53" si="21">IFERROR(H51*1000/$C51,"NA")</f>
        <v>67.400000000000006</v>
      </c>
      <c r="F51" s="1913">
        <f t="shared" ref="F51:G53" si="22">IFERROR(I51*1000000/$C51,"NA")</f>
        <v>17.365803910216279</v>
      </c>
      <c r="G51" s="1913">
        <f t="shared" si="22"/>
        <v>0.80762088557746703</v>
      </c>
      <c r="H51" s="691">
        <v>234.05971521830199</v>
      </c>
      <c r="I51" s="691">
        <v>6.0306159017241803E-2</v>
      </c>
      <c r="J51" s="2911">
        <v>2.8046218765966583E-3</v>
      </c>
    </row>
    <row r="52" spans="2:10" ht="18" customHeight="1" x14ac:dyDescent="0.2">
      <c r="B52" s="282" t="s">
        <v>168</v>
      </c>
      <c r="C52" s="691">
        <v>179244.68056124201</v>
      </c>
      <c r="D52" s="1909" t="s">
        <v>1814</v>
      </c>
      <c r="E52" s="1913">
        <f t="shared" si="21"/>
        <v>69.899999999999821</v>
      </c>
      <c r="F52" s="1913">
        <f t="shared" si="22"/>
        <v>6.93805908479123</v>
      </c>
      <c r="G52" s="1913">
        <f t="shared" si="22"/>
        <v>1.992106608428309</v>
      </c>
      <c r="H52" s="691">
        <v>12529.203171230783</v>
      </c>
      <c r="I52" s="691">
        <v>1.2436101843684271</v>
      </c>
      <c r="J52" s="2911">
        <v>0.35707451267167145</v>
      </c>
    </row>
    <row r="53" spans="2:10" ht="18" customHeight="1" x14ac:dyDescent="0.2">
      <c r="B53" s="282" t="s">
        <v>169</v>
      </c>
      <c r="C53" s="691">
        <v>1032.2237124184599</v>
      </c>
      <c r="D53" s="1909" t="s">
        <v>1814</v>
      </c>
      <c r="E53" s="1913">
        <f t="shared" si="21"/>
        <v>60.200000000000124</v>
      </c>
      <c r="F53" s="1913">
        <f t="shared" si="22"/>
        <v>19.053001861350488</v>
      </c>
      <c r="G53" s="1913">
        <f t="shared" si="22"/>
        <v>2.1438550221350758</v>
      </c>
      <c r="H53" s="691">
        <v>62.13986748759141</v>
      </c>
      <c r="I53" s="691">
        <v>1.9666960314039028E-2</v>
      </c>
      <c r="J53" s="2911">
        <v>2.2129379898352271E-3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483.55111917725401</v>
      </c>
      <c r="D56" s="1909" t="s">
        <v>1814</v>
      </c>
      <c r="E56" s="1913">
        <f t="shared" si="23"/>
        <v>51.411918339264943</v>
      </c>
      <c r="F56" s="1913">
        <f t="shared" si="24"/>
        <v>100.99999999999989</v>
      </c>
      <c r="G56" s="1913">
        <f t="shared" si="24"/>
        <v>0.99999999999999911</v>
      </c>
      <c r="H56" s="691">
        <v>24.860290652001154</v>
      </c>
      <c r="I56" s="691">
        <v>4.8838663036902603E-2</v>
      </c>
      <c r="J56" s="2911">
        <v>4.8355111917725355E-4</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3071.0577288874692</v>
      </c>
      <c r="D60" s="1909" t="s">
        <v>1814</v>
      </c>
      <c r="E60" s="628"/>
      <c r="F60" s="628"/>
      <c r="G60" s="628"/>
      <c r="H60" s="1913">
        <f>IF(SUM(H61:H64,H66,H68)=0,"NO",SUM(H61:H64,H66,H68))</f>
        <v>207.01726273800713</v>
      </c>
      <c r="I60" s="1913">
        <f>IF(SUM(I61:I64,I66:I68)=0,"NO",SUM(I61:I64,I66:I68))</f>
        <v>0.22794504489842307</v>
      </c>
      <c r="J60" s="3085">
        <f>IF(SUM(J61:J64,J66:J68)=0,"NO",SUM(J61:J64,J66:J68))</f>
        <v>3.0392672653123077E-3</v>
      </c>
    </row>
    <row r="61" spans="2:10" ht="18" customHeight="1" x14ac:dyDescent="0.2">
      <c r="B61" s="282" t="s">
        <v>167</v>
      </c>
      <c r="C61" s="691">
        <v>3066.3167439735898</v>
      </c>
      <c r="D61" s="1909" t="s">
        <v>1814</v>
      </c>
      <c r="E61" s="1913">
        <f t="shared" ref="E61:E63" si="26">IFERROR(H61*1000/$C61,"NA")</f>
        <v>67.399999999999949</v>
      </c>
      <c r="F61" s="1913">
        <f t="shared" ref="F61:G63" si="27">IFERROR(I61*1000000/$C61,"NA")</f>
        <v>74.338388343740647</v>
      </c>
      <c r="G61" s="1913">
        <f t="shared" si="27"/>
        <v>0.99117851124987522</v>
      </c>
      <c r="H61" s="691">
        <v>206.66974854381979</v>
      </c>
      <c r="I61" s="691">
        <v>0.22794504489842307</v>
      </c>
      <c r="J61" s="2911">
        <v>3.0392672653123077E-3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4.7409849138792</v>
      </c>
      <c r="D68" s="1909" t="s">
        <v>1814</v>
      </c>
      <c r="E68" s="628"/>
      <c r="F68" s="628"/>
      <c r="G68" s="628"/>
      <c r="H68" s="1913">
        <f>H69</f>
        <v>0.34751419418734547</v>
      </c>
      <c r="I68" s="1913" t="str">
        <f>I69</f>
        <v>NE</v>
      </c>
      <c r="J68" s="3085" t="str">
        <f>J69</f>
        <v>NE</v>
      </c>
    </row>
    <row r="69" spans="2:10" ht="18" customHeight="1" x14ac:dyDescent="0.2">
      <c r="B69" s="3105" t="s">
        <v>252</v>
      </c>
      <c r="C69" s="691">
        <v>4.7409849138792</v>
      </c>
      <c r="D69" s="1909" t="s">
        <v>1814</v>
      </c>
      <c r="E69" s="3103">
        <f t="shared" ref="E69" si="30">IFERROR(H69*1000/$C69,"NA")</f>
        <v>73.300000000000026</v>
      </c>
      <c r="F69" s="3103" t="str">
        <f>IFERROR(I69*1000000/$C69,"NA")</f>
        <v>NA</v>
      </c>
      <c r="G69" s="3103" t="str">
        <f>IFERROR(J69*1000000/$C69,"NA")</f>
        <v>NA</v>
      </c>
      <c r="H69" s="691">
        <v>0.34751419418734547</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22310</v>
      </c>
      <c r="D81" s="1909" t="s">
        <v>1814</v>
      </c>
      <c r="E81" s="628"/>
      <c r="F81" s="628"/>
      <c r="G81" s="628"/>
      <c r="H81" s="1913">
        <f>IF(SUM(H82:H84,H86)=0,"NO",SUM(H82:H84,H86))</f>
        <v>1557.2504302007119</v>
      </c>
      <c r="I81" s="1913">
        <f>IF(SUM(I82:I86)=0,"NO",SUM(I82:I86))</f>
        <v>8.8760000000000006E-2</v>
      </c>
      <c r="J81" s="3085">
        <f>IF(SUM(J82:J86)=0,"NO",SUM(J82:J86))</f>
        <v>0.66569999999999996</v>
      </c>
    </row>
    <row r="82" spans="2:10" ht="18" customHeight="1" x14ac:dyDescent="0.2">
      <c r="B82" s="282" t="s">
        <v>132</v>
      </c>
      <c r="C82" s="691">
        <v>22190</v>
      </c>
      <c r="D82" s="1909" t="s">
        <v>1814</v>
      </c>
      <c r="E82" s="1913">
        <f t="shared" ref="E82:E85" si="36">IFERROR(H82*1000/$C82,"NA")</f>
        <v>69.900000000000006</v>
      </c>
      <c r="F82" s="1913">
        <f t="shared" ref="F82:G85" si="37">IFERROR(I82*1000000/$C82,"NA")</f>
        <v>4</v>
      </c>
      <c r="G82" s="1913">
        <f t="shared" si="37"/>
        <v>30</v>
      </c>
      <c r="H82" s="691">
        <v>1551.0810000000001</v>
      </c>
      <c r="I82" s="691">
        <v>8.8760000000000006E-2</v>
      </c>
      <c r="J82" s="2911">
        <v>0.66569999999999996</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v>120</v>
      </c>
      <c r="D84" s="1909" t="s">
        <v>1814</v>
      </c>
      <c r="E84" s="1913">
        <f t="shared" si="36"/>
        <v>51.411918339265</v>
      </c>
      <c r="F84" s="1913" t="str">
        <f t="shared" si="37"/>
        <v>NA</v>
      </c>
      <c r="G84" s="1913" t="str">
        <f t="shared" si="37"/>
        <v>NA</v>
      </c>
      <c r="H84" s="691">
        <v>6.1694302007118003</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32775.744915294148</v>
      </c>
      <c r="D88" s="1909" t="s">
        <v>1814</v>
      </c>
      <c r="E88" s="628"/>
      <c r="F88" s="628"/>
      <c r="G88" s="628"/>
      <c r="H88" s="1913">
        <f>IF(SUM(H89:H92,H94,H96)=0,"NO",SUM(H89:H92,H94,H96))</f>
        <v>2397.5261215834789</v>
      </c>
      <c r="I88" s="3334">
        <f>IF(SUM(I89:I92,I94:I96)=0,"NE",SUM(I89:I92,I94:I96))</f>
        <v>3.8941659902408321</v>
      </c>
      <c r="J88" s="3335">
        <f>IF(SUM(J89:J92,J94:J96)=0,"NE",SUM(J89:J92,J94:J96))</f>
        <v>5.0426621318530526E-2</v>
      </c>
    </row>
    <row r="89" spans="2:10" ht="18" customHeight="1" x14ac:dyDescent="0.2">
      <c r="B89" s="282" t="s">
        <v>190</v>
      </c>
      <c r="C89" s="691">
        <v>14103.448928571399</v>
      </c>
      <c r="D89" s="1909" t="s">
        <v>1814</v>
      </c>
      <c r="E89" s="1913">
        <f t="shared" ref="E89:E91" si="39">IFERROR(H89*1000/$C89,"NA")</f>
        <v>73.600000000000165</v>
      </c>
      <c r="F89" s="1913">
        <f t="shared" ref="F89:G91" si="40">IFERROR(I89*1000000/$C89,"NA")</f>
        <v>7.0000000000000151</v>
      </c>
      <c r="G89" s="1913">
        <f t="shared" si="40"/>
        <v>2.0000000000000044</v>
      </c>
      <c r="H89" s="691">
        <v>1038.0138411428572</v>
      </c>
      <c r="I89" s="3336">
        <v>9.8724142500000001E-2</v>
      </c>
      <c r="J89" s="3337">
        <v>2.8206897857142858E-2</v>
      </c>
    </row>
    <row r="90" spans="2:10" ht="18" customHeight="1" x14ac:dyDescent="0.2">
      <c r="B90" s="282" t="s">
        <v>191</v>
      </c>
      <c r="C90" s="691">
        <v>4555.6084953521304</v>
      </c>
      <c r="D90" s="1909" t="s">
        <v>1814</v>
      </c>
      <c r="E90" s="1913">
        <f t="shared" si="39"/>
        <v>69.899999999999935</v>
      </c>
      <c r="F90" s="1913">
        <f t="shared" si="40"/>
        <v>6.999999999999992</v>
      </c>
      <c r="G90" s="1913">
        <f t="shared" si="40"/>
        <v>1.999999999999998</v>
      </c>
      <c r="H90" s="691">
        <v>318.43703382511359</v>
      </c>
      <c r="I90" s="3336">
        <v>3.1889259467464875E-2</v>
      </c>
      <c r="J90" s="3337">
        <v>9.1112169907042514E-3</v>
      </c>
    </row>
    <row r="91" spans="2:10" ht="18" customHeight="1" x14ac:dyDescent="0.2">
      <c r="B91" s="282" t="s">
        <v>167</v>
      </c>
      <c r="C91" s="691">
        <v>10065.0071896482</v>
      </c>
      <c r="D91" s="1909" t="s">
        <v>1814</v>
      </c>
      <c r="E91" s="1913">
        <f t="shared" si="39"/>
        <v>67.40000000000029</v>
      </c>
      <c r="F91" s="1913">
        <f t="shared" si="40"/>
        <v>360.00000000000148</v>
      </c>
      <c r="G91" s="1913">
        <f t="shared" si="40"/>
        <v>0.9000000000000038</v>
      </c>
      <c r="H91" s="691">
        <v>678.38148458229159</v>
      </c>
      <c r="I91" s="3336">
        <v>3.6234025882733669</v>
      </c>
      <c r="J91" s="3337">
        <v>9.0585064706834185E-3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50</v>
      </c>
      <c r="D94" s="1909" t="s">
        <v>1814</v>
      </c>
      <c r="E94" s="1913">
        <f t="shared" ref="E94:E95" si="43">IFERROR(H94*1000/$C94,"NA")</f>
        <v>51.411918339265</v>
      </c>
      <c r="F94" s="1913">
        <f t="shared" si="42"/>
        <v>243.00000000000003</v>
      </c>
      <c r="G94" s="1913">
        <f t="shared" si="42"/>
        <v>1</v>
      </c>
      <c r="H94" s="691">
        <v>2.5705959169632502</v>
      </c>
      <c r="I94" s="3336">
        <v>1.2150000000000001E-2</v>
      </c>
      <c r="J94" s="3337">
        <v>5.0000000000000002E-5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4001.6803017224161</v>
      </c>
      <c r="D96" s="1909" t="s">
        <v>1814</v>
      </c>
      <c r="E96" s="628"/>
      <c r="F96" s="628"/>
      <c r="G96" s="628"/>
      <c r="H96" s="1913">
        <f>IF(SUM(H97:H98)=0,"NO",SUM(H97:H98))</f>
        <v>360.12316611625312</v>
      </c>
      <c r="I96" s="3334">
        <f>IF(SUM(I97:I98)=0,"NE",SUM(I97:I98))</f>
        <v>0.128</v>
      </c>
      <c r="J96" s="3335">
        <f>IF(SUM(J97:J98)=0,"NE",SUM(J97:J98))</f>
        <v>4.0000000000000001E-3</v>
      </c>
    </row>
    <row r="97" spans="2:10" ht="18" customHeight="1" x14ac:dyDescent="0.2">
      <c r="B97" s="2572" t="s">
        <v>2260</v>
      </c>
      <c r="C97" s="691">
        <v>4000</v>
      </c>
      <c r="D97" s="1909" t="s">
        <v>1814</v>
      </c>
      <c r="E97" s="3103">
        <f t="shared" ref="E97" si="44">IFERROR(H97*1000/$C97,"NA")</f>
        <v>90</v>
      </c>
      <c r="F97" s="3103">
        <f>IFERROR(I97*1000000/$C97,"NA")</f>
        <v>32</v>
      </c>
      <c r="G97" s="3103">
        <f>IFERROR(J97*1000000/$C97,"NA")</f>
        <v>1</v>
      </c>
      <c r="H97" s="691">
        <v>360</v>
      </c>
      <c r="I97" s="3336">
        <v>0.128</v>
      </c>
      <c r="J97" s="3337">
        <v>4.0000000000000001E-3</v>
      </c>
    </row>
    <row r="98" spans="2:10" ht="18" customHeight="1" x14ac:dyDescent="0.2">
      <c r="B98" s="2572" t="s">
        <v>252</v>
      </c>
      <c r="C98" s="691">
        <v>1.68030172241597</v>
      </c>
      <c r="D98" s="1909" t="s">
        <v>1814</v>
      </c>
      <c r="E98" s="3103">
        <f t="shared" ref="E98" si="45">IFERROR(H98*1000/$C98,"NA")</f>
        <v>73.300000000000011</v>
      </c>
      <c r="F98" s="3103" t="str">
        <f>IFERROR(I98*1000000/$C98,"NA")</f>
        <v>NA</v>
      </c>
      <c r="G98" s="3103" t="str">
        <f>IFERROR(J98*1000000/$C98,"NA")</f>
        <v>NA</v>
      </c>
      <c r="H98" s="691">
        <v>0.12316611625309062</v>
      </c>
      <c r="I98" s="3336" t="s">
        <v>2154</v>
      </c>
      <c r="J98" s="3337" t="s">
        <v>2154</v>
      </c>
    </row>
    <row r="99" spans="2:10" ht="18" customHeight="1" x14ac:dyDescent="0.2">
      <c r="B99" s="1241" t="s">
        <v>193</v>
      </c>
      <c r="C99" s="1913">
        <f>IF(SUM(C100:C104)=0,"NO",SUM(C100:C104))</f>
        <v>8424.5603367836466</v>
      </c>
      <c r="D99" s="1909" t="s">
        <v>1814</v>
      </c>
      <c r="E99" s="628"/>
      <c r="F99" s="628"/>
      <c r="G99" s="628"/>
      <c r="H99" s="1913">
        <f>IF(SUM(H100:H103)=0,"NO",SUM(H100:H103))</f>
        <v>442.2336180288741</v>
      </c>
      <c r="I99" s="1913">
        <f>IF(SUM(I100:I104)=0,"NO",SUM(I100:I104))</f>
        <v>9.0994762460908998E-2</v>
      </c>
      <c r="J99" s="3085">
        <f>IF(SUM(J100:J104)=0,"NO",SUM(J100:J104))</f>
        <v>8.9922288546007449E-4</v>
      </c>
    </row>
    <row r="100" spans="2:10" ht="18" customHeight="1" x14ac:dyDescent="0.2">
      <c r="B100" s="282" t="s">
        <v>132</v>
      </c>
      <c r="C100" s="1913">
        <f>IF(SUM(C106,C113:C116)=0,"NO",SUM(C106,C113:C116))</f>
        <v>610.33738204200904</v>
      </c>
      <c r="D100" s="1909" t="s">
        <v>1814</v>
      </c>
      <c r="E100" s="3103">
        <f t="shared" ref="E100:E104" si="46">IFERROR(H100*1000/$C100,"NA")</f>
        <v>65.829348786765976</v>
      </c>
      <c r="F100" s="3103">
        <f t="shared" ref="F100:G104" si="47">IFERROR(I100*1000000/$C100,"NA")</f>
        <v>48.834828476829358</v>
      </c>
      <c r="G100" s="3103">
        <f t="shared" si="47"/>
        <v>0.19533931390731746</v>
      </c>
      <c r="H100" s="1913">
        <f>IF(SUM(H106,H113:H116)=0,"NO",SUM(H106,H113:H116))</f>
        <v>40.178112400045052</v>
      </c>
      <c r="I100" s="1913">
        <f>IF(SUM(I106,I113:I116)=0,"NO",SUM(I106,I113:I116))</f>
        <v>2.9805721365018582E-2</v>
      </c>
      <c r="J100" s="3085">
        <f>IF(SUM(J106,J113:J116)=0,"NO",SUM(J106,J113:J116))</f>
        <v>1.1922288546007434E-4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7800</v>
      </c>
      <c r="D102" s="1909" t="s">
        <v>1814</v>
      </c>
      <c r="E102" s="3103">
        <f t="shared" si="46"/>
        <v>51.411918339265007</v>
      </c>
      <c r="F102" s="3103">
        <f t="shared" si="47"/>
        <v>7.8447488584474891</v>
      </c>
      <c r="G102" s="3103">
        <f t="shared" si="47"/>
        <v>0.10000000000000002</v>
      </c>
      <c r="H102" s="1913">
        <f t="shared" si="48"/>
        <v>401.01296304626703</v>
      </c>
      <c r="I102" s="1913">
        <f t="shared" si="48"/>
        <v>6.118904109589042E-2</v>
      </c>
      <c r="J102" s="3085">
        <f t="shared" si="48"/>
        <v>7.8000000000000009E-4</v>
      </c>
    </row>
    <row r="103" spans="2:10" ht="18" customHeight="1" x14ac:dyDescent="0.2">
      <c r="B103" s="282" t="s">
        <v>175</v>
      </c>
      <c r="C103" s="1913">
        <f>IF(SUM(C109,C120)=0,"NO",SUM(C109,C120))</f>
        <v>14.222954741637599</v>
      </c>
      <c r="D103" s="1909" t="s">
        <v>1814</v>
      </c>
      <c r="E103" s="3103">
        <f t="shared" si="46"/>
        <v>73.300000000000026</v>
      </c>
      <c r="F103" s="3103" t="str">
        <f t="shared" si="47"/>
        <v>NA</v>
      </c>
      <c r="G103" s="3103" t="str">
        <f t="shared" si="47"/>
        <v>NA</v>
      </c>
      <c r="H103" s="1913">
        <f t="shared" si="48"/>
        <v>1.0425425825620365</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7800</v>
      </c>
      <c r="D105" s="1909" t="s">
        <v>1814</v>
      </c>
      <c r="E105" s="628"/>
      <c r="F105" s="628"/>
      <c r="G105" s="628"/>
      <c r="H105" s="1913">
        <f>IF(SUM(H106:H109)=0,"NO",SUM(H106:H109))</f>
        <v>401.01296304626703</v>
      </c>
      <c r="I105" s="1913">
        <f>IF(SUM(I106:I110)=0,"NO",SUM(I106:I110))</f>
        <v>6.118904109589042E-2</v>
      </c>
      <c r="J105" s="3085">
        <f>IF(SUM(J106:J110)=0,"NO",SUM(J106:J110))</f>
        <v>7.8000000000000009E-4</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7800</v>
      </c>
      <c r="D108" s="1909" t="s">
        <v>1814</v>
      </c>
      <c r="E108" s="3103">
        <f t="shared" si="49"/>
        <v>51.411918339265007</v>
      </c>
      <c r="F108" s="3103">
        <f t="shared" si="50"/>
        <v>7.8447488584474891</v>
      </c>
      <c r="G108" s="3103">
        <f t="shared" si="50"/>
        <v>0.10000000000000002</v>
      </c>
      <c r="H108" s="691">
        <v>401.01296304626703</v>
      </c>
      <c r="I108" s="691">
        <v>6.118904109589042E-2</v>
      </c>
      <c r="J108" s="2911">
        <v>7.8000000000000009E-4</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624.56033678364668</v>
      </c>
      <c r="D111" s="1909" t="s">
        <v>1814</v>
      </c>
      <c r="E111" s="628"/>
      <c r="F111" s="628"/>
      <c r="G111" s="628"/>
      <c r="H111" s="1913">
        <f>H112</f>
        <v>41.220654982607087</v>
      </c>
      <c r="I111" s="1913">
        <f>I112</f>
        <v>2.9805721365018582E-2</v>
      </c>
      <c r="J111" s="3085">
        <f>J112</f>
        <v>1.1922288546007434E-4</v>
      </c>
    </row>
    <row r="112" spans="2:10" ht="18" customHeight="1" x14ac:dyDescent="0.2">
      <c r="B112" s="3089" t="s">
        <v>2148</v>
      </c>
      <c r="C112" s="3099">
        <f>IF(SUM(C113:C116,C118:C121)=0,"NO",SUM(C113:C116,C118:C121))</f>
        <v>624.56033678364668</v>
      </c>
      <c r="D112" s="3099" t="s">
        <v>1814</v>
      </c>
      <c r="E112" s="628"/>
      <c r="F112" s="628"/>
      <c r="G112" s="628"/>
      <c r="H112" s="3099">
        <f>IF(SUM(H113:H116,H118:H120)=0,"NO",SUM(H113:H116,H118:H120))</f>
        <v>41.220654982607087</v>
      </c>
      <c r="I112" s="3099">
        <f>IF(SUM(I113:I116,I118:I121)=0,"NO",SUM(I113:I116,I118:I121))</f>
        <v>2.9805721365018582E-2</v>
      </c>
      <c r="J112" s="3100">
        <f>IF(SUM(J113:J116,J118:J121)=0,"NO",SUM(J113:J116,J118:J121))</f>
        <v>1.1922288546007434E-4</v>
      </c>
    </row>
    <row r="113" spans="2:10" ht="18" customHeight="1" x14ac:dyDescent="0.2">
      <c r="B113" s="282" t="s">
        <v>167</v>
      </c>
      <c r="C113" s="691">
        <v>610.33738204200904</v>
      </c>
      <c r="D113" s="1913" t="s">
        <v>1814</v>
      </c>
      <c r="E113" s="1913">
        <f t="shared" ref="E113:E115" si="51">IFERROR(H113*1000/$C113,"NA")</f>
        <v>65.829348786765976</v>
      </c>
      <c r="F113" s="1913">
        <f t="shared" ref="F113:G115" si="52">IFERROR(I113*1000000/$C113,"NA")</f>
        <v>48.834828476829358</v>
      </c>
      <c r="G113" s="1913">
        <f t="shared" si="52"/>
        <v>0.19533931390731746</v>
      </c>
      <c r="H113" s="691">
        <v>40.178112400045052</v>
      </c>
      <c r="I113" s="691">
        <v>2.9805721365018582E-2</v>
      </c>
      <c r="J113" s="2911">
        <v>1.1922288546007434E-4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14.222954741637599</v>
      </c>
      <c r="D120" s="1909" t="s">
        <v>1814</v>
      </c>
      <c r="E120" s="3103">
        <f t="shared" si="53"/>
        <v>73.300000000000026</v>
      </c>
      <c r="F120" s="3103" t="str">
        <f t="shared" si="54"/>
        <v>NA</v>
      </c>
      <c r="G120" s="3103" t="str">
        <f t="shared" si="54"/>
        <v>NA</v>
      </c>
      <c r="H120" s="691">
        <v>1.0425425825620365</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331565.58412545262</v>
      </c>
      <c r="D10" s="3109" t="s">
        <v>1814</v>
      </c>
      <c r="E10" s="2135"/>
      <c r="F10" s="2135"/>
      <c r="G10" s="2135"/>
      <c r="H10" s="3109">
        <f>IF(SUM(H11:H15)=0,"NO",SUM(H11:H15))</f>
        <v>14604.090964802337</v>
      </c>
      <c r="I10" s="3109">
        <f>IF(SUM(I11:I16)=0,"NO",SUM(I11:I16))</f>
        <v>95.358090135267915</v>
      </c>
      <c r="J10" s="3109">
        <f>IF(SUM(J11:J16)=0,"NO",SUM(J11:J16))</f>
        <v>0.58303768417451862</v>
      </c>
      <c r="K10" s="420" t="str">
        <f>IF(SUM(K11:K16)=0,"NO",SUM(K11:K16))</f>
        <v>NO</v>
      </c>
    </row>
    <row r="11" spans="2:12" ht="18" customHeight="1" x14ac:dyDescent="0.2">
      <c r="B11" s="282" t="s">
        <v>132</v>
      </c>
      <c r="C11" s="1913">
        <f>IF(SUM(C18,C39,C60)=0,"NO",SUM(C18,C39,C60))</f>
        <v>95820.274125452619</v>
      </c>
      <c r="D11" s="3109" t="s">
        <v>1814</v>
      </c>
      <c r="E11" s="1913">
        <f t="shared" ref="E11:E16" si="0">IFERROR(H11*1000/$C11,"NA")</f>
        <v>68.067555404689898</v>
      </c>
      <c r="F11" s="1913">
        <f t="shared" ref="F11:G16" si="1">IFERROR(I11*1000000/$C11,"NA")</f>
        <v>9.570363356312189</v>
      </c>
      <c r="G11" s="1913">
        <f t="shared" si="1"/>
        <v>2.6024815754217743</v>
      </c>
      <c r="H11" s="1913">
        <f>IF(SUM(H18,H39,H60)=0,"NO",SUM(H18,H39,H60))</f>
        <v>6522.25181792682</v>
      </c>
      <c r="I11" s="1913">
        <f>IF(SUM(I18,I39,I60)=0,"NO",SUM(I18,I39,I60))</f>
        <v>0.91703484028202076</v>
      </c>
      <c r="J11" s="1913">
        <f>IF(SUM(J18,J39,J60)=0,"NO",SUM(J18,J39,J60))</f>
        <v>0.2493704979633542</v>
      </c>
      <c r="K11" s="3085" t="str">
        <f>IF(SUM(K18,K39,K60)=0,"NO",SUM(K18,K39,K60))</f>
        <v>NO</v>
      </c>
    </row>
    <row r="12" spans="2:12" ht="18" customHeight="1" x14ac:dyDescent="0.2">
      <c r="B12" s="282" t="s">
        <v>133</v>
      </c>
      <c r="C12" s="1913">
        <f t="shared" ref="C12:C16" si="2">IF(SUM(C19,C40,C61)=0,"NO",SUM(C19,C40,C61))</f>
        <v>3899.9999999999995</v>
      </c>
      <c r="D12" s="3109" t="s">
        <v>1814</v>
      </c>
      <c r="E12" s="1913">
        <f t="shared" si="0"/>
        <v>92.564102564102569</v>
      </c>
      <c r="F12" s="1913">
        <f t="shared" si="1"/>
        <v>0.95238095238095244</v>
      </c>
      <c r="G12" s="1913">
        <f t="shared" si="1"/>
        <v>0.66666666666666674</v>
      </c>
      <c r="H12" s="1913">
        <f t="shared" ref="H12:K16" si="3">IF(SUM(H19,H40,H61)=0,"NO",SUM(H19,H40,H61))</f>
        <v>361</v>
      </c>
      <c r="I12" s="1913">
        <f t="shared" si="3"/>
        <v>3.7142857142857142E-3</v>
      </c>
      <c r="J12" s="1913">
        <f t="shared" si="3"/>
        <v>2.5999999999999999E-3</v>
      </c>
      <c r="K12" s="3085" t="str">
        <f t="shared" si="3"/>
        <v>NO</v>
      </c>
    </row>
    <row r="13" spans="2:12" ht="18" customHeight="1" x14ac:dyDescent="0.2">
      <c r="B13" s="282" t="s">
        <v>134</v>
      </c>
      <c r="C13" s="1913">
        <f t="shared" si="2"/>
        <v>149800.00000000003</v>
      </c>
      <c r="D13" s="3109" t="s">
        <v>1814</v>
      </c>
      <c r="E13" s="1913">
        <f t="shared" si="0"/>
        <v>51.540982288888621</v>
      </c>
      <c r="F13" s="1913">
        <f t="shared" si="1"/>
        <v>0.90909090909090928</v>
      </c>
      <c r="G13" s="1913">
        <f t="shared" si="1"/>
        <v>0.90909090909090906</v>
      </c>
      <c r="H13" s="1913">
        <f t="shared" si="3"/>
        <v>7720.8391468755162</v>
      </c>
      <c r="I13" s="1913">
        <f t="shared" si="3"/>
        <v>0.13618181818181824</v>
      </c>
      <c r="J13" s="1913">
        <f t="shared" si="3"/>
        <v>0.13618181818181821</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82045.309999999983</v>
      </c>
      <c r="D16" s="3109" t="s">
        <v>1814</v>
      </c>
      <c r="E16" s="1913">
        <f t="shared" si="0"/>
        <v>72.344826901135491</v>
      </c>
      <c r="F16" s="1913">
        <f t="shared" si="1"/>
        <v>1149.3790344760696</v>
      </c>
      <c r="G16" s="1913">
        <f t="shared" si="1"/>
        <v>2.3753383103719905</v>
      </c>
      <c r="H16" s="1913">
        <f t="shared" si="3"/>
        <v>5935.55375</v>
      </c>
      <c r="I16" s="1913">
        <f t="shared" si="3"/>
        <v>94.301159191089795</v>
      </c>
      <c r="J16" s="1913">
        <f t="shared" si="3"/>
        <v>0.19488536802934614</v>
      </c>
      <c r="K16" s="3085" t="str">
        <f t="shared" si="3"/>
        <v>NO</v>
      </c>
    </row>
    <row r="17" spans="2:11" ht="18" customHeight="1" x14ac:dyDescent="0.2">
      <c r="B17" s="1241" t="s">
        <v>1942</v>
      </c>
      <c r="C17" s="3109">
        <f>IF(SUM(C18:C23)=0,"NO",SUM(C18:C23))</f>
        <v>68165.210000000006</v>
      </c>
      <c r="D17" s="3109" t="s">
        <v>1814</v>
      </c>
      <c r="E17" s="628"/>
      <c r="F17" s="628"/>
      <c r="G17" s="628"/>
      <c r="H17" s="3078">
        <f>IF(SUM(H18:H22)=0,"NO",SUM(H18:H22))</f>
        <v>3959.0363067544686</v>
      </c>
      <c r="I17" s="3078">
        <f>IF(SUM(I18:I23)=0,"NO",SUM(I18:I23))</f>
        <v>6.428735292207792E-2</v>
      </c>
      <c r="J17" s="3110">
        <f>IF(SUM(J18:J23)=0,"NO",SUM(J18:J23))</f>
        <v>7.7814443398268388E-2</v>
      </c>
      <c r="K17" s="3085" t="str">
        <f>IF(SUM(K18:K23)=0,"NO",SUM(K18:K23))</f>
        <v>NO</v>
      </c>
    </row>
    <row r="18" spans="2:11" ht="18" customHeight="1" x14ac:dyDescent="0.2">
      <c r="B18" s="282" t="s">
        <v>132</v>
      </c>
      <c r="C18" s="3109">
        <f>IF(SUM(C26,C33)=0,"NO",SUM(C26,C33))</f>
        <v>20619.900000000001</v>
      </c>
      <c r="D18" s="3109" t="s">
        <v>1814</v>
      </c>
      <c r="E18" s="1913">
        <f t="shared" ref="E18" si="4">IFERROR(H18*1000/$C18,"NA")</f>
        <v>66.844408071814115</v>
      </c>
      <c r="F18" s="1913">
        <f t="shared" ref="F18:G23" si="5">IFERROR(I18*1000000/$C18,"NA")</f>
        <v>0.875711142657151</v>
      </c>
      <c r="G18" s="1913">
        <f t="shared" si="5"/>
        <v>1.6374362353149829</v>
      </c>
      <c r="H18" s="3109">
        <f>IF(SUM(H26,H33)=0,"NO",SUM(H26,H33))</f>
        <v>1378.32501</v>
      </c>
      <c r="I18" s="3109">
        <f>IF(SUM(I26,I33)=0,"NO",SUM(I26,I33))</f>
        <v>1.8057076190476189E-2</v>
      </c>
      <c r="J18" s="3109">
        <f>IF(SUM(J26,J33)=0,"NO",SUM(J26,J33))</f>
        <v>3.3763771428571419E-2</v>
      </c>
      <c r="K18" s="3085" t="str">
        <f>IF(SUM(K26,K33)=0,"NO",SUM(K26,K33))</f>
        <v>NO</v>
      </c>
    </row>
    <row r="19" spans="2:11" ht="18" customHeight="1" x14ac:dyDescent="0.2">
      <c r="B19" s="282" t="s">
        <v>133</v>
      </c>
      <c r="C19" s="3109">
        <f t="shared" ref="C19:C21" si="6">IF(SUM(C27,C34)=0,"NO",SUM(C27,C34))</f>
        <v>3599.9999999999995</v>
      </c>
      <c r="D19" s="3109" t="s">
        <v>1814</v>
      </c>
      <c r="E19" s="1913">
        <f t="shared" ref="E19:E23" si="7">IFERROR(H19*1000/$C19,"NA")</f>
        <v>92.500000000000014</v>
      </c>
      <c r="F19" s="1913">
        <f t="shared" si="5"/>
        <v>0.95238095238095244</v>
      </c>
      <c r="G19" s="1913">
        <f t="shared" si="5"/>
        <v>0.66666666666666674</v>
      </c>
      <c r="H19" s="3109">
        <f t="shared" ref="H19:K21" si="8">IF(SUM(H27,H34)=0,"NO",SUM(H27,H34))</f>
        <v>333</v>
      </c>
      <c r="I19" s="3109">
        <f t="shared" si="8"/>
        <v>3.4285714285714284E-3</v>
      </c>
      <c r="J19" s="3109">
        <f t="shared" si="8"/>
        <v>2.3999999999999998E-3</v>
      </c>
      <c r="K19" s="3085" t="str">
        <f t="shared" si="8"/>
        <v>NO</v>
      </c>
    </row>
    <row r="20" spans="2:11" ht="18" customHeight="1" x14ac:dyDescent="0.2">
      <c r="B20" s="282" t="s">
        <v>134</v>
      </c>
      <c r="C20" s="3109">
        <f t="shared" si="6"/>
        <v>43600.000000000007</v>
      </c>
      <c r="D20" s="3109" t="s">
        <v>1814</v>
      </c>
      <c r="E20" s="1913">
        <f t="shared" si="7"/>
        <v>51.553011393451108</v>
      </c>
      <c r="F20" s="1913">
        <f t="shared" si="5"/>
        <v>0.90909090909090906</v>
      </c>
      <c r="G20" s="1913">
        <f t="shared" si="5"/>
        <v>0.90909090909090906</v>
      </c>
      <c r="H20" s="3109">
        <f t="shared" si="8"/>
        <v>2247.7112967544685</v>
      </c>
      <c r="I20" s="3109">
        <f t="shared" si="8"/>
        <v>3.9636363636363636E-2</v>
      </c>
      <c r="J20" s="3109">
        <f t="shared" si="8"/>
        <v>3.9636363636363636E-2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345.30999999999995</v>
      </c>
      <c r="D23" s="3109" t="s">
        <v>1814</v>
      </c>
      <c r="E23" s="1913">
        <f t="shared" si="7"/>
        <v>94.000000000000014</v>
      </c>
      <c r="F23" s="1913">
        <f t="shared" si="5"/>
        <v>9.1666666666666679</v>
      </c>
      <c r="G23" s="1913">
        <f t="shared" si="5"/>
        <v>5.8333333333333348</v>
      </c>
      <c r="H23" s="3109">
        <f>IF(SUM(H31,H37)=0,"NO",SUM(H31,H37))</f>
        <v>32.459139999999998</v>
      </c>
      <c r="I23" s="3109">
        <f>IF(SUM(I31,I37)=0,"NO",SUM(I31,I37))</f>
        <v>3.1653416666666667E-3</v>
      </c>
      <c r="J23" s="3109">
        <f>IF(SUM(J31,J37)=0,"NO",SUM(J31,J37))</f>
        <v>2.0143083333333334E-3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68165.210000000006</v>
      </c>
      <c r="D25" s="3078" t="s">
        <v>1814</v>
      </c>
      <c r="E25" s="628"/>
      <c r="F25" s="628"/>
      <c r="G25" s="628"/>
      <c r="H25" s="3078">
        <f>IF(SUM(H26:H30)=0,"NO",SUM(H26:H30))</f>
        <v>3959.0363067544686</v>
      </c>
      <c r="I25" s="3078">
        <f>IF(SUM(I26:I31)=0,"NO",SUM(I26:I31))</f>
        <v>6.428735292207792E-2</v>
      </c>
      <c r="J25" s="3110">
        <f>IF(SUM(J26:J31)=0,"NO",SUM(J26:J31))</f>
        <v>7.7814443398268388E-2</v>
      </c>
      <c r="K25" s="3085" t="str">
        <f>IF(SUM(K26:K31)=0,"NO",SUM(K26:K31))</f>
        <v>NO</v>
      </c>
    </row>
    <row r="26" spans="2:11" ht="18" customHeight="1" x14ac:dyDescent="0.2">
      <c r="B26" s="282" t="s">
        <v>132</v>
      </c>
      <c r="C26" s="691">
        <v>20619.900000000001</v>
      </c>
      <c r="D26" s="3078" t="s">
        <v>1814</v>
      </c>
      <c r="E26" s="1913">
        <f t="shared" ref="E26:E31" si="9">IFERROR(H26*1000/$C26,"NA")</f>
        <v>66.844408071814115</v>
      </c>
      <c r="F26" s="1913">
        <f t="shared" ref="F26:G31" si="10">IFERROR(I26*1000000/$C26,"NA")</f>
        <v>0.875711142657151</v>
      </c>
      <c r="G26" s="1913">
        <f t="shared" si="10"/>
        <v>1.6374362353149829</v>
      </c>
      <c r="H26" s="691">
        <v>1378.32501</v>
      </c>
      <c r="I26" s="691">
        <v>1.8057076190476189E-2</v>
      </c>
      <c r="J26" s="691">
        <v>3.3763771428571419E-2</v>
      </c>
      <c r="K26" s="2911" t="s">
        <v>2146</v>
      </c>
    </row>
    <row r="27" spans="2:11" ht="18" customHeight="1" x14ac:dyDescent="0.2">
      <c r="B27" s="282" t="s">
        <v>133</v>
      </c>
      <c r="C27" s="691">
        <v>3599.9999999999995</v>
      </c>
      <c r="D27" s="3078" t="s">
        <v>1814</v>
      </c>
      <c r="E27" s="1913">
        <f t="shared" si="9"/>
        <v>92.500000000000014</v>
      </c>
      <c r="F27" s="1913">
        <f t="shared" si="10"/>
        <v>0.95238095238095244</v>
      </c>
      <c r="G27" s="1913">
        <f t="shared" si="10"/>
        <v>0.66666666666666674</v>
      </c>
      <c r="H27" s="691">
        <v>333</v>
      </c>
      <c r="I27" s="691">
        <v>3.4285714285714284E-3</v>
      </c>
      <c r="J27" s="691">
        <v>2.3999999999999998E-3</v>
      </c>
      <c r="K27" s="2911" t="s">
        <v>2146</v>
      </c>
    </row>
    <row r="28" spans="2:11" ht="18" customHeight="1" x14ac:dyDescent="0.2">
      <c r="B28" s="282" t="s">
        <v>134</v>
      </c>
      <c r="C28" s="691">
        <v>43600.000000000007</v>
      </c>
      <c r="D28" s="3078" t="s">
        <v>1814</v>
      </c>
      <c r="E28" s="1913">
        <f t="shared" si="9"/>
        <v>51.553011393451108</v>
      </c>
      <c r="F28" s="1913">
        <f t="shared" si="10"/>
        <v>0.90909090909090906</v>
      </c>
      <c r="G28" s="1913">
        <f t="shared" si="10"/>
        <v>0.90909090909090906</v>
      </c>
      <c r="H28" s="691">
        <v>2247.7112967544685</v>
      </c>
      <c r="I28" s="691">
        <v>3.9636363636363636E-2</v>
      </c>
      <c r="J28" s="691">
        <v>3.9636363636363636E-2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345.30999999999995</v>
      </c>
      <c r="D31" s="3078" t="s">
        <v>1814</v>
      </c>
      <c r="E31" s="1913">
        <f t="shared" si="9"/>
        <v>94.000000000000014</v>
      </c>
      <c r="F31" s="1913">
        <f t="shared" si="10"/>
        <v>9.1666666666666679</v>
      </c>
      <c r="G31" s="1913">
        <f t="shared" si="10"/>
        <v>5.8333333333333348</v>
      </c>
      <c r="H31" s="691">
        <v>32.459139999999998</v>
      </c>
      <c r="I31" s="691">
        <v>3.1653416666666667E-3</v>
      </c>
      <c r="J31" s="691">
        <v>2.0143083333333334E-3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208290.3741254526</v>
      </c>
      <c r="D38" s="3078" t="s">
        <v>1814</v>
      </c>
      <c r="E38" s="628"/>
      <c r="F38" s="628"/>
      <c r="G38" s="628"/>
      <c r="H38" s="1913">
        <f>IF(SUM(H39:H43)=0,"NO",SUM(H39:H43))</f>
        <v>6800.9446580478661</v>
      </c>
      <c r="I38" s="1913">
        <f>IF(SUM(I39:I44)=0,"NO",SUM(I39:I44))</f>
        <v>95.086650401393456</v>
      </c>
      <c r="J38" s="1913">
        <f>IF(SUM(J39:J44)=0,"NO",SUM(J39:J44))</f>
        <v>0.30096609791910733</v>
      </c>
      <c r="K38" s="3085" t="str">
        <f>IF(SUM(K39:K44)=0,"NO",SUM(K39:K44))</f>
        <v>NO</v>
      </c>
    </row>
    <row r="39" spans="2:11" ht="18" customHeight="1" x14ac:dyDescent="0.2">
      <c r="B39" s="282" t="s">
        <v>132</v>
      </c>
      <c r="C39" s="3109">
        <f>IF(SUM(C47,C54)=0,"NO",SUM(C47,C54))</f>
        <v>20090.374125452618</v>
      </c>
      <c r="D39" s="3078" t="s">
        <v>1814</v>
      </c>
      <c r="E39" s="1913">
        <f t="shared" ref="E39:E44" si="13">IFERROR(H39*1000/$C39,"NA")</f>
        <v>64.698486937586367</v>
      </c>
      <c r="F39" s="1913">
        <f t="shared" ref="F39:G44" si="14">IFERROR(I39*1000000/$C39,"NA")</f>
        <v>34.435664503762816</v>
      </c>
      <c r="G39" s="1913">
        <f t="shared" si="14"/>
        <v>0.56492644720145169</v>
      </c>
      <c r="H39" s="1913">
        <f>IF(SUM(H47,H54)=0,"NO",SUM(H47,H54))</f>
        <v>1299.8168079268191</v>
      </c>
      <c r="I39" s="1913">
        <f>IF(SUM(I47,I54)=0,"NO",SUM(I47,I54))</f>
        <v>0.69182538313916364</v>
      </c>
      <c r="J39" s="1913">
        <f>IF(SUM(J47,J54)=0,"NO",SUM(J47,J54))</f>
        <v>1.134958367763992E-2</v>
      </c>
      <c r="K39" s="3085" t="str">
        <f>IF(SUM(K47,K54)=0,"NO",SUM(K47,K54))</f>
        <v>NO</v>
      </c>
    </row>
    <row r="40" spans="2:11" ht="18" customHeight="1" x14ac:dyDescent="0.2">
      <c r="B40" s="282" t="s">
        <v>133</v>
      </c>
      <c r="C40" s="3109">
        <f t="shared" ref="C40:C42" si="15">IF(SUM(C48,C55)=0,"NO",SUM(C48,C55))</f>
        <v>300.00000000000006</v>
      </c>
      <c r="D40" s="3078" t="s">
        <v>1814</v>
      </c>
      <c r="E40" s="1913">
        <f t="shared" si="13"/>
        <v>93.333333333333314</v>
      </c>
      <c r="F40" s="1913">
        <f t="shared" si="14"/>
        <v>0.95238095238095222</v>
      </c>
      <c r="G40" s="1913">
        <f t="shared" si="14"/>
        <v>0.66666666666666641</v>
      </c>
      <c r="H40" s="1913">
        <f t="shared" ref="H40:K42" si="16">IF(SUM(H48,H55)=0,"NO",SUM(H48,H55))</f>
        <v>28</v>
      </c>
      <c r="I40" s="1913">
        <f t="shared" si="16"/>
        <v>2.8571428571428574E-4</v>
      </c>
      <c r="J40" s="1913">
        <f t="shared" si="16"/>
        <v>1.9999999999999998E-4</v>
      </c>
      <c r="K40" s="3085" t="str">
        <f t="shared" si="16"/>
        <v>NO</v>
      </c>
    </row>
    <row r="41" spans="2:11" ht="18" customHeight="1" x14ac:dyDescent="0.2">
      <c r="B41" s="282" t="s">
        <v>134</v>
      </c>
      <c r="C41" s="3109">
        <f t="shared" si="15"/>
        <v>106200.00000000001</v>
      </c>
      <c r="D41" s="3078" t="s">
        <v>1814</v>
      </c>
      <c r="E41" s="1913">
        <f t="shared" si="13"/>
        <v>51.536043786450534</v>
      </c>
      <c r="F41" s="1913">
        <f t="shared" si="14"/>
        <v>0.90909090909090939</v>
      </c>
      <c r="G41" s="1913">
        <f t="shared" si="14"/>
        <v>0.90909090909090928</v>
      </c>
      <c r="H41" s="1913">
        <f t="shared" si="16"/>
        <v>5473.1278501210472</v>
      </c>
      <c r="I41" s="1913">
        <f t="shared" si="16"/>
        <v>9.6545454545454587E-2</v>
      </c>
      <c r="J41" s="1913">
        <f t="shared" si="16"/>
        <v>9.6545454545454573E-2</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81699.999999999985</v>
      </c>
      <c r="D44" s="3078" t="s">
        <v>1814</v>
      </c>
      <c r="E44" s="1913">
        <f t="shared" si="13"/>
        <v>72.25330000000001</v>
      </c>
      <c r="F44" s="1913">
        <f t="shared" si="14"/>
        <v>1154.1982111312502</v>
      </c>
      <c r="G44" s="1913">
        <f t="shared" si="14"/>
        <v>2.3607228848961181</v>
      </c>
      <c r="H44" s="1913">
        <f>IF(SUM(H52,H58)=0,"NO",SUM(H52,H58))</f>
        <v>5903.0946100000001</v>
      </c>
      <c r="I44" s="1913">
        <f>IF(SUM(I52,I58)=0,"NO",SUM(I52,I58))</f>
        <v>94.297993849423122</v>
      </c>
      <c r="J44" s="1913">
        <f>IF(SUM(J52,J58)=0,"NO",SUM(J52,J58))</f>
        <v>0.19287105969601281</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204505.36193029489</v>
      </c>
      <c r="D46" s="3078" t="s">
        <v>1814</v>
      </c>
      <c r="E46" s="628"/>
      <c r="F46" s="628"/>
      <c r="G46" s="628"/>
      <c r="H46" s="1913">
        <f>IF(SUM(H47:H51)=0,"NO",SUM(H47:H51))</f>
        <v>6545.3872871183667</v>
      </c>
      <c r="I46" s="1913">
        <f>IF(SUM(I47:I52)=0,"NO",SUM(I47:I52))</f>
        <v>94.419002242817044</v>
      </c>
      <c r="J46" s="1913">
        <f>IF(SUM(J47:J52)=0,"NO",SUM(J47:J52))</f>
        <v>0.29948243534449304</v>
      </c>
      <c r="K46" s="3085" t="str">
        <f>IF(SUM(K47:K52)=0,"NO",SUM(K47:K52))</f>
        <v>NO</v>
      </c>
    </row>
    <row r="47" spans="2:11" ht="18" customHeight="1" x14ac:dyDescent="0.2">
      <c r="B47" s="282" t="s">
        <v>132</v>
      </c>
      <c r="C47" s="691">
        <v>16305.361930294908</v>
      </c>
      <c r="D47" s="3078" t="s">
        <v>1814</v>
      </c>
      <c r="E47" s="1913">
        <f t="shared" ref="E47:E52" si="17">IFERROR(H47*1000/$C47,"NA")</f>
        <v>64.043928706489737</v>
      </c>
      <c r="F47" s="1913">
        <f t="shared" ref="F47:G52" si="18">IFERROR(I47*1000000/$C47,"NA")</f>
        <v>1.4827775468035913</v>
      </c>
      <c r="G47" s="1913">
        <f t="shared" si="18"/>
        <v>0.60507219313513394</v>
      </c>
      <c r="H47" s="691">
        <v>1044.259436997319</v>
      </c>
      <c r="I47" s="691">
        <v>2.4177224562747353E-2</v>
      </c>
      <c r="J47" s="691">
        <v>9.8659211030256606E-3</v>
      </c>
      <c r="K47" s="2911" t="s">
        <v>2146</v>
      </c>
    </row>
    <row r="48" spans="2:11" ht="18" customHeight="1" x14ac:dyDescent="0.2">
      <c r="B48" s="282" t="s">
        <v>133</v>
      </c>
      <c r="C48" s="691">
        <v>300.00000000000006</v>
      </c>
      <c r="D48" s="3078" t="s">
        <v>1814</v>
      </c>
      <c r="E48" s="1913">
        <f t="shared" si="17"/>
        <v>93.333333333333314</v>
      </c>
      <c r="F48" s="1913">
        <f t="shared" si="18"/>
        <v>0.95238095238095222</v>
      </c>
      <c r="G48" s="1913">
        <f t="shared" si="18"/>
        <v>0.66666666666666641</v>
      </c>
      <c r="H48" s="691">
        <v>28</v>
      </c>
      <c r="I48" s="691">
        <v>2.8571428571428574E-4</v>
      </c>
      <c r="J48" s="691">
        <v>1.9999999999999998E-4</v>
      </c>
      <c r="K48" s="2911" t="s">
        <v>2146</v>
      </c>
    </row>
    <row r="49" spans="2:11" ht="18" customHeight="1" x14ac:dyDescent="0.2">
      <c r="B49" s="282" t="s">
        <v>134</v>
      </c>
      <c r="C49" s="691">
        <v>106200.00000000001</v>
      </c>
      <c r="D49" s="3078" t="s">
        <v>1814</v>
      </c>
      <c r="E49" s="1913">
        <f t="shared" si="17"/>
        <v>51.536043786450534</v>
      </c>
      <c r="F49" s="1913">
        <f t="shared" si="18"/>
        <v>0.90909090909090939</v>
      </c>
      <c r="G49" s="1913">
        <f t="shared" si="18"/>
        <v>0.90909090909090928</v>
      </c>
      <c r="H49" s="691">
        <v>5473.1278501210472</v>
      </c>
      <c r="I49" s="691">
        <v>9.6545454545454587E-2</v>
      </c>
      <c r="J49" s="691">
        <v>9.6545454545454573E-2</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81699.999999999985</v>
      </c>
      <c r="D52" s="3078" t="s">
        <v>1814</v>
      </c>
      <c r="E52" s="1913">
        <f t="shared" si="17"/>
        <v>72.25330000000001</v>
      </c>
      <c r="F52" s="1913">
        <f t="shared" si="18"/>
        <v>1154.1982111312502</v>
      </c>
      <c r="G52" s="1913">
        <f t="shared" si="18"/>
        <v>2.3607228848961181</v>
      </c>
      <c r="H52" s="691">
        <v>5903.0946100000001</v>
      </c>
      <c r="I52" s="691">
        <v>94.297993849423122</v>
      </c>
      <c r="J52" s="691">
        <v>0.19287105969601281</v>
      </c>
      <c r="K52" s="2911" t="s">
        <v>2146</v>
      </c>
    </row>
    <row r="53" spans="2:11" ht="18" customHeight="1" x14ac:dyDescent="0.2">
      <c r="B53" s="1242" t="s">
        <v>205</v>
      </c>
      <c r="C53" s="3078">
        <f>IF(SUM(C54:C58)=0,"NO",SUM(C54:C58))</f>
        <v>3785.0121951577098</v>
      </c>
      <c r="D53" s="3078" t="s">
        <v>1814</v>
      </c>
      <c r="E53" s="628"/>
      <c r="F53" s="628"/>
      <c r="G53" s="628"/>
      <c r="H53" s="3078">
        <f>IF(SUM(H54:H57)=0,"NO",SUM(H54:H57))</f>
        <v>255.55737092950008</v>
      </c>
      <c r="I53" s="3078">
        <f>IF(SUM(I54:I58)=0,"NO",SUM(I54:I58))</f>
        <v>0.66764815857641624</v>
      </c>
      <c r="J53" s="3078">
        <f>IF(SUM(J54:J58)=0,"NO",SUM(J54:J58))</f>
        <v>1.4836625746142583E-3</v>
      </c>
      <c r="K53" s="2921"/>
    </row>
    <row r="54" spans="2:11" ht="18" customHeight="1" x14ac:dyDescent="0.2">
      <c r="B54" s="282" t="s">
        <v>132</v>
      </c>
      <c r="C54" s="691">
        <v>3785.0121951577098</v>
      </c>
      <c r="D54" s="3078" t="s">
        <v>1814</v>
      </c>
      <c r="E54" s="1913">
        <f t="shared" ref="E54:E58" si="19">IFERROR(H54*1000/$C54,"NA")</f>
        <v>67.518242413179806</v>
      </c>
      <c r="F54" s="1913">
        <f t="shared" ref="F54:G58" si="20">IFERROR(I54*1000000/$C54,"NA")</f>
        <v>176.39260434366906</v>
      </c>
      <c r="G54" s="1913">
        <f t="shared" si="20"/>
        <v>0.39198356520815347</v>
      </c>
      <c r="H54" s="691">
        <v>255.55737092950008</v>
      </c>
      <c r="I54" s="691">
        <v>0.66764815857641624</v>
      </c>
      <c r="J54" s="691">
        <v>1.4836625746142583E-3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55110</v>
      </c>
      <c r="D59" s="3078" t="s">
        <v>1814</v>
      </c>
      <c r="E59" s="628"/>
      <c r="F59" s="628"/>
      <c r="G59" s="628"/>
      <c r="H59" s="1913">
        <f>IF(SUM(H60:H64)=0,"NO",SUM(H60:H64))</f>
        <v>3844.1100000000006</v>
      </c>
      <c r="I59" s="1913">
        <f>IF(SUM(I60:I65)=0,"NO",SUM(I60:I65))</f>
        <v>0.20715238095238092</v>
      </c>
      <c r="J59" s="1913">
        <f>IF(SUM(J60:J65)=0,"NO",SUM(J60:J65))</f>
        <v>0.20425714285714286</v>
      </c>
      <c r="K59" s="3085" t="str">
        <f>IF(SUM(K60:K65)=0,"NO",SUM(K60:K65))</f>
        <v>NO</v>
      </c>
    </row>
    <row r="60" spans="2:11" ht="18" customHeight="1" x14ac:dyDescent="0.2">
      <c r="B60" s="282" t="s">
        <v>132</v>
      </c>
      <c r="C60" s="1913">
        <f>IF(SUM(C67,C74:C77,C84:C87)=0,"NO",SUM(C67,C74:C77,C84:C87))</f>
        <v>55110</v>
      </c>
      <c r="D60" s="3078" t="s">
        <v>1814</v>
      </c>
      <c r="E60" s="1913">
        <f t="shared" ref="E60:E65" si="21">IFERROR(H60*1000/$C60,"NA")</f>
        <v>69.753402286336424</v>
      </c>
      <c r="F60" s="1913">
        <f t="shared" ref="F60:G65" si="22">IFERROR(I60*1000000/$C60,"NA")</f>
        <v>3.7588891481107045</v>
      </c>
      <c r="G60" s="1913">
        <f t="shared" si="22"/>
        <v>3.7063535267128085</v>
      </c>
      <c r="H60" s="1913">
        <f>IF(SUM(H67,H74:H77,H84:H87)=0,"NO",SUM(H67,H74:H77,H84:H87))</f>
        <v>3844.1100000000006</v>
      </c>
      <c r="I60" s="1913">
        <f>IF(SUM(I67,I74:I77,I84:I87)=0,"NO",SUM(I67,I74:I77,I84:I87))</f>
        <v>0.20715238095238092</v>
      </c>
      <c r="J60" s="1913">
        <f>IF(SUM(J67,J74:J77,J84:J87)=0,"NO",SUM(J67,J74:J77,J84:J87))</f>
        <v>0.20425714285714286</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t="str">
        <f>IF(SUM(C69,C79,C89)=0,"NO",SUM(C69,C79,C89))</f>
        <v>NO</v>
      </c>
      <c r="D62" s="3078" t="s">
        <v>1814</v>
      </c>
      <c r="E62" s="1913" t="str">
        <f t="shared" si="21"/>
        <v>NA</v>
      </c>
      <c r="F62" s="1913" t="str">
        <f t="shared" si="22"/>
        <v>NA</v>
      </c>
      <c r="G62" s="1913" t="str">
        <f t="shared" si="22"/>
        <v>NA</v>
      </c>
      <c r="H62" s="1913" t="str">
        <f>IF(SUM(H69,H79,H89)=0,"NO",SUM(H69,H79,H89))</f>
        <v>NO</v>
      </c>
      <c r="I62" s="1913" t="str">
        <f>IF(SUM(I69,I79,I89)=0,"NO",SUM(I69,I79,I89))</f>
        <v>NO</v>
      </c>
      <c r="J62" s="1913" t="str">
        <f>IF(SUM(J69,J79,J89)=0,"NO",SUM(J69,J79,J89))</f>
        <v>NO</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55110</v>
      </c>
      <c r="D66" s="3078" t="s">
        <v>1814</v>
      </c>
      <c r="E66" s="2108"/>
      <c r="F66" s="2108"/>
      <c r="G66" s="2108"/>
      <c r="H66" s="1913">
        <f>IF(SUM(H67:H71)=0,"NO",SUM(H67:H71))</f>
        <v>3844.1100000000006</v>
      </c>
      <c r="I66" s="1913">
        <f>IF(SUM(I67:I72)=0,"NO",SUM(I67:I72))</f>
        <v>0.20715238095238092</v>
      </c>
      <c r="J66" s="1913">
        <f>IF(SUM(J67:J72)=0,"NO",SUM(J67:J72))</f>
        <v>0.20425714285714286</v>
      </c>
      <c r="K66" s="3085" t="str">
        <f>IF(SUM(K67:K72)=0,"NO",SUM(K67:K72))</f>
        <v>NO</v>
      </c>
    </row>
    <row r="67" spans="2:11" ht="18" customHeight="1" x14ac:dyDescent="0.2">
      <c r="B67" s="282" t="s">
        <v>132</v>
      </c>
      <c r="C67" s="691">
        <v>55110</v>
      </c>
      <c r="D67" s="3078" t="s">
        <v>1814</v>
      </c>
      <c r="E67" s="1913">
        <f t="shared" ref="E67:E72" si="23">IFERROR(H67*1000/$C67,"NA")</f>
        <v>69.753402286336424</v>
      </c>
      <c r="F67" s="1913">
        <f t="shared" ref="F67:G72" si="24">IFERROR(I67*1000000/$C67,"NA")</f>
        <v>3.7588891481107045</v>
      </c>
      <c r="G67" s="1913">
        <f t="shared" si="24"/>
        <v>3.7063535267128085</v>
      </c>
      <c r="H67" s="691">
        <v>3844.1100000000006</v>
      </c>
      <c r="I67" s="691">
        <v>0.20715238095238092</v>
      </c>
      <c r="J67" s="691">
        <v>0.20425714285714286</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t="s">
        <v>2146</v>
      </c>
      <c r="D69" s="3078" t="s">
        <v>1814</v>
      </c>
      <c r="E69" s="1913" t="str">
        <f t="shared" si="23"/>
        <v>NA</v>
      </c>
      <c r="F69" s="1913" t="str">
        <f t="shared" si="24"/>
        <v>NA</v>
      </c>
      <c r="G69" s="1913" t="str">
        <f t="shared" si="24"/>
        <v>NA</v>
      </c>
      <c r="H69" s="691" t="s">
        <v>2146</v>
      </c>
      <c r="I69" s="691" t="s">
        <v>2146</v>
      </c>
      <c r="J69" s="691" t="s">
        <v>2146</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9907.7903811628257</v>
      </c>
      <c r="D93" s="3078" t="s">
        <v>1814</v>
      </c>
      <c r="E93" s="2134"/>
      <c r="F93" s="2134"/>
      <c r="G93" s="2134"/>
      <c r="H93" s="3109">
        <f>IF(SUM(H94:H98)=0,"NO",SUM(H94:H98))</f>
        <v>689.95152063630871</v>
      </c>
      <c r="I93" s="3109">
        <f>IF(SUM(I94:I99)=0,"NO",SUM(I94:I99))</f>
        <v>3.6262331341550436E-2</v>
      </c>
      <c r="J93" s="3113">
        <f>IF(SUM(J94:J99)=0,"NO",SUM(J94:J99))</f>
        <v>1.8954967730655532E-2</v>
      </c>
      <c r="K93" s="449" t="str">
        <f>IF(SUM(K94:K99)=0,"NO",SUM(K94:K99))</f>
        <v>NO</v>
      </c>
    </row>
    <row r="94" spans="2:11" ht="18" customHeight="1" x14ac:dyDescent="0.2">
      <c r="B94" s="282" t="s">
        <v>132</v>
      </c>
      <c r="C94" s="691">
        <f>IF(SUM(C102,C110)=0,"NO",SUM(C102,C110))</f>
        <v>9907.7903811628257</v>
      </c>
      <c r="D94" s="1913" t="s">
        <v>1814</v>
      </c>
      <c r="E94" s="1913">
        <f t="shared" ref="E94:E99" si="32">IFERROR(H94*1000/$C94,"NA")</f>
        <v>69.637274719505385</v>
      </c>
      <c r="F94" s="1913">
        <f t="shared" ref="F94:G99" si="33">IFERROR(I94*1000000/$C94,"NA")</f>
        <v>3.6599816857746759</v>
      </c>
      <c r="G94" s="1913">
        <f t="shared" si="33"/>
        <v>1.9131377432745893</v>
      </c>
      <c r="H94" s="691">
        <f t="shared" ref="H94:K97" si="34">IF(SUM(H102,H110)=0,"NO",SUM(H102,H110))</f>
        <v>689.95152063630871</v>
      </c>
      <c r="I94" s="691">
        <f t="shared" si="34"/>
        <v>3.6262331341550436E-2</v>
      </c>
      <c r="J94" s="691">
        <f t="shared" si="34"/>
        <v>1.8954967730655532E-2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9907.7903811628257</v>
      </c>
      <c r="D108" s="1913" t="s">
        <v>1814</v>
      </c>
      <c r="E108" s="1931"/>
      <c r="F108" s="1931"/>
      <c r="G108" s="1931"/>
      <c r="H108" s="3078">
        <f>H109</f>
        <v>689.95152063630871</v>
      </c>
      <c r="I108" s="3078">
        <f>I109</f>
        <v>3.6262331341550436E-2</v>
      </c>
      <c r="J108" s="3110">
        <f>J109</f>
        <v>1.8954967730655532E-2</v>
      </c>
      <c r="K108" s="2921"/>
    </row>
    <row r="109" spans="2:11" ht="18" customHeight="1" x14ac:dyDescent="0.2">
      <c r="B109" s="3125" t="s">
        <v>2149</v>
      </c>
      <c r="C109" s="3099">
        <f>IF(SUM(C110:C114)=0,"NO",SUM(C110:C114))</f>
        <v>9907.7903811628257</v>
      </c>
      <c r="D109" s="1913" t="s">
        <v>1814</v>
      </c>
      <c r="E109" s="628"/>
      <c r="F109" s="628"/>
      <c r="G109" s="628"/>
      <c r="H109" s="3099">
        <f>IF(SUM(H110:H113)=0,"NO",SUM(H110:H113))</f>
        <v>689.95152063630871</v>
      </c>
      <c r="I109" s="3099">
        <f>IF(SUM(I110:I114)=0,"NO",SUM(I110:I114))</f>
        <v>3.6262331341550436E-2</v>
      </c>
      <c r="J109" s="3099">
        <f>IF(SUM(J110:J114)=0,"NO",SUM(J110:J114))</f>
        <v>1.8954967730655532E-2</v>
      </c>
      <c r="K109" s="2921"/>
    </row>
    <row r="110" spans="2:11" ht="18" customHeight="1" x14ac:dyDescent="0.2">
      <c r="B110" s="282" t="s">
        <v>132</v>
      </c>
      <c r="C110" s="691">
        <v>9907.7903811628257</v>
      </c>
      <c r="D110" s="1913" t="s">
        <v>1814</v>
      </c>
      <c r="E110" s="1913">
        <f t="shared" ref="E110:E114" si="37">IFERROR(H110*1000/$C110,"NA")</f>
        <v>69.637274719505385</v>
      </c>
      <c r="F110" s="1913">
        <f t="shared" ref="F110:G114" si="38">IFERROR(I110*1000000/$C110,"NA")</f>
        <v>3.6599816857746759</v>
      </c>
      <c r="G110" s="1913">
        <f t="shared" si="38"/>
        <v>1.9131377432745893</v>
      </c>
      <c r="H110" s="691">
        <v>689.95152063630871</v>
      </c>
      <c r="I110" s="691">
        <v>3.6262331341550436E-2</v>
      </c>
      <c r="J110" s="691">
        <v>1.8954967730655532E-2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1154030</v>
      </c>
      <c r="G11" s="3361">
        <v>798733.17</v>
      </c>
      <c r="H11" s="3361">
        <v>423461.29999999993</v>
      </c>
      <c r="I11" s="3381"/>
      <c r="J11" s="3361">
        <v>12976.099999999999</v>
      </c>
      <c r="K11" s="3369">
        <f t="shared" ref="K11:K28" si="0">IF((SUM(F11:G11)-SUM(H11:J11))=0,"NO",(SUM(F11:G11)-SUM(H11:J11)))</f>
        <v>1516325.77</v>
      </c>
      <c r="L11" s="2577">
        <f>IF(K11="NO","NA",1)</f>
        <v>1</v>
      </c>
      <c r="M11" s="5" t="s">
        <v>1814</v>
      </c>
      <c r="N11" s="3369">
        <f>K11</f>
        <v>1516325.77</v>
      </c>
      <c r="O11" s="3342">
        <v>18.980716253443529</v>
      </c>
      <c r="P11" s="3369">
        <f>IFERROR(N11*O11/1000,"NA")</f>
        <v>28780.949188154274</v>
      </c>
      <c r="Q11" s="3369" t="str">
        <f>'Table1.A(d)'!G11</f>
        <v>NA</v>
      </c>
      <c r="R11" s="3369">
        <f>IF(SUM(P11,-SUM(Q11))=0,"NO",SUM(P11,-SUM(Q11)))</f>
        <v>28780.949188154274</v>
      </c>
      <c r="S11" s="2577">
        <f>IF(R11="NO","NA",1)</f>
        <v>1</v>
      </c>
      <c r="T11" s="3375">
        <f>IF(R11="NO","NO",R11*S11*44/12)</f>
        <v>105530.14702323235</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106589.20000000001</v>
      </c>
      <c r="G13" s="3361" t="s">
        <v>2146</v>
      </c>
      <c r="H13" s="3361" t="s">
        <v>2146</v>
      </c>
      <c r="I13" s="3381"/>
      <c r="J13" s="3361" t="s">
        <v>2146</v>
      </c>
      <c r="K13" s="3369">
        <f t="shared" si="0"/>
        <v>106589.20000000001</v>
      </c>
      <c r="L13" s="2577">
        <f t="shared" si="1"/>
        <v>1</v>
      </c>
      <c r="M13" s="5" t="s">
        <v>1814</v>
      </c>
      <c r="N13" s="3369">
        <f t="shared" si="2"/>
        <v>106589.20000000001</v>
      </c>
      <c r="O13" s="3342">
        <v>16.307677061261199</v>
      </c>
      <c r="P13" s="3369">
        <f t="shared" si="3"/>
        <v>1738.2222518181825</v>
      </c>
      <c r="Q13" s="3369" t="str">
        <f>'Table1.A(d)'!G13</f>
        <v>NA</v>
      </c>
      <c r="R13" s="3369">
        <f>IF(SUM(P13,-SUM(Q13))=0,"NO",SUM(P13,-SUM(Q13)))</f>
        <v>1738.2222518181825</v>
      </c>
      <c r="S13" s="2577">
        <f t="shared" si="4"/>
        <v>1</v>
      </c>
      <c r="T13" s="3375">
        <f t="shared" si="5"/>
        <v>6373.4815900000031</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20656.8</v>
      </c>
      <c r="H15" s="3361">
        <v>23531.72</v>
      </c>
      <c r="I15" s="3361" t="s">
        <v>2146</v>
      </c>
      <c r="J15" s="3361">
        <v>4163.3599999999988</v>
      </c>
      <c r="K15" s="3369">
        <f t="shared" si="0"/>
        <v>-7038.2800000000025</v>
      </c>
      <c r="L15" s="2577">
        <f>IF(K15="NO","NA",1)</f>
        <v>1</v>
      </c>
      <c r="M15" s="5" t="s">
        <v>1814</v>
      </c>
      <c r="N15" s="3369">
        <f t="shared" si="2"/>
        <v>-7038.2800000000025</v>
      </c>
      <c r="O15" s="3342">
        <v>18.358154549122801</v>
      </c>
      <c r="P15" s="3369">
        <f t="shared" si="3"/>
        <v>-129.20983200000009</v>
      </c>
      <c r="Q15" s="3369" t="str">
        <f>'Table1.A(d)'!G15</f>
        <v>NA</v>
      </c>
      <c r="R15" s="3369">
        <f>IF(SUM(P15,-SUM(Q15))=0,"NO",SUM(P15,-SUM(Q15)))</f>
        <v>-129.20983200000009</v>
      </c>
      <c r="S15" s="2577">
        <f>IF(R15="NO","NA",1)</f>
        <v>1</v>
      </c>
      <c r="T15" s="3375">
        <f>IF(R15="NO","NO",R15*S15*44/12)</f>
        <v>-473.76938400000034</v>
      </c>
    </row>
    <row r="16" spans="2:20" ht="18" customHeight="1" x14ac:dyDescent="0.2">
      <c r="B16" s="1727"/>
      <c r="C16" s="1567"/>
      <c r="D16" s="36" t="s">
        <v>178</v>
      </c>
      <c r="E16" s="2575" t="s">
        <v>2150</v>
      </c>
      <c r="F16" s="3382"/>
      <c r="G16" s="3361">
        <v>8504.48</v>
      </c>
      <c r="H16" s="3361">
        <v>10425.44</v>
      </c>
      <c r="I16" s="3361">
        <v>84890</v>
      </c>
      <c r="J16" s="3361">
        <v>728.4799999999999</v>
      </c>
      <c r="K16" s="3369">
        <f t="shared" si="0"/>
        <v>-87539.44</v>
      </c>
      <c r="L16" s="2577">
        <f t="shared" ref="L16:L28" si="6">IF(K16="NO","NA",1)</f>
        <v>1</v>
      </c>
      <c r="M16" s="5" t="s">
        <v>1814</v>
      </c>
      <c r="N16" s="3369">
        <f t="shared" si="2"/>
        <v>-87539.44</v>
      </c>
      <c r="O16" s="3342">
        <v>18.981818181818181</v>
      </c>
      <c r="P16" s="3369">
        <f t="shared" si="3"/>
        <v>-1661.6577338181819</v>
      </c>
      <c r="Q16" s="3369" t="str">
        <f>'Table1.A(d)'!G16</f>
        <v>NA</v>
      </c>
      <c r="R16" s="3369">
        <f t="shared" ref="R16:R44" si="7">IF(SUM(P16,-SUM(Q16))=0,"NO",SUM(P16,-SUM(Q16)))</f>
        <v>-1661.6577338181819</v>
      </c>
      <c r="S16" s="2577">
        <f t="shared" ref="S16:S28" si="8">IF(R16="NO","NA",1)</f>
        <v>1</v>
      </c>
      <c r="T16" s="3375">
        <f t="shared" ref="T16:T28" si="9">IF(R16="NO","NO",R16*S16*44/12)</f>
        <v>-6092.7450239999998</v>
      </c>
    </row>
    <row r="17" spans="2:20" ht="18" customHeight="1" x14ac:dyDescent="0.2">
      <c r="B17" s="1727"/>
      <c r="C17" s="1567"/>
      <c r="D17" s="36" t="s">
        <v>247</v>
      </c>
      <c r="E17" s="2575" t="s">
        <v>2150</v>
      </c>
      <c r="F17" s="3381"/>
      <c r="G17" s="3361">
        <v>3.66</v>
      </c>
      <c r="H17" s="3361">
        <v>5248.4400000000005</v>
      </c>
      <c r="I17" s="3361" t="s">
        <v>2146</v>
      </c>
      <c r="J17" s="3361">
        <v>-195.3</v>
      </c>
      <c r="K17" s="3369">
        <f t="shared" si="0"/>
        <v>-5049.4800000000005</v>
      </c>
      <c r="L17" s="2577">
        <f t="shared" si="6"/>
        <v>1</v>
      </c>
      <c r="M17" s="5" t="s">
        <v>1814</v>
      </c>
      <c r="N17" s="3369">
        <f t="shared" si="2"/>
        <v>-5049.4800000000005</v>
      </c>
      <c r="O17" s="3342">
        <v>18.790909090909089</v>
      </c>
      <c r="P17" s="3369">
        <f t="shared" si="3"/>
        <v>-94.884319636363642</v>
      </c>
      <c r="Q17" s="3369" t="str">
        <f>'Table1.A(d)'!G17</f>
        <v>NA</v>
      </c>
      <c r="R17" s="3369">
        <f t="shared" si="7"/>
        <v>-94.884319636363642</v>
      </c>
      <c r="S17" s="2577">
        <f t="shared" si="8"/>
        <v>1</v>
      </c>
      <c r="T17" s="3375">
        <f t="shared" si="9"/>
        <v>-347.90917200000007</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29586.900000000005</v>
      </c>
      <c r="H19" s="3361">
        <v>25510.74</v>
      </c>
      <c r="I19" s="3361">
        <v>6600</v>
      </c>
      <c r="J19" s="3361">
        <v>-419.52</v>
      </c>
      <c r="K19" s="3369">
        <f t="shared" si="0"/>
        <v>-2104.3199999999961</v>
      </c>
      <c r="L19" s="2577">
        <f t="shared" si="6"/>
        <v>1</v>
      </c>
      <c r="M19" s="5" t="s">
        <v>1814</v>
      </c>
      <c r="N19" s="3369">
        <f t="shared" si="2"/>
        <v>-2104.3199999999961</v>
      </c>
      <c r="O19" s="3342">
        <v>19.06363636363637</v>
      </c>
      <c r="P19" s="3369">
        <f t="shared" si="3"/>
        <v>-40.115991272727207</v>
      </c>
      <c r="Q19" s="3369" t="str">
        <f>'Table1.A(d)'!G19</f>
        <v>NA</v>
      </c>
      <c r="R19" s="3369">
        <f t="shared" si="7"/>
        <v>-40.115991272727207</v>
      </c>
      <c r="S19" s="2577">
        <f t="shared" si="8"/>
        <v>1</v>
      </c>
      <c r="T19" s="3375">
        <f t="shared" si="9"/>
        <v>-147.09196799999975</v>
      </c>
    </row>
    <row r="20" spans="2:20" ht="18" customHeight="1" x14ac:dyDescent="0.2">
      <c r="B20" s="1727"/>
      <c r="C20" s="1567"/>
      <c r="D20" s="36" t="s">
        <v>190</v>
      </c>
      <c r="E20" s="2575" t="s">
        <v>2150</v>
      </c>
      <c r="F20" s="3381"/>
      <c r="G20" s="3361">
        <v>38682.479999999996</v>
      </c>
      <c r="H20" s="3361">
        <v>33860.129999999997</v>
      </c>
      <c r="I20" s="3361">
        <v>30490</v>
      </c>
      <c r="J20" s="3361">
        <v>474.15</v>
      </c>
      <c r="K20" s="3369">
        <f t="shared" si="0"/>
        <v>-26141.800000000003</v>
      </c>
      <c r="L20" s="2577">
        <f t="shared" si="6"/>
        <v>1</v>
      </c>
      <c r="M20" s="5" t="s">
        <v>1814</v>
      </c>
      <c r="N20" s="3369">
        <f t="shared" si="2"/>
        <v>-26141.800000000003</v>
      </c>
      <c r="O20" s="3342">
        <v>20.072727272727271</v>
      </c>
      <c r="P20" s="3369">
        <f t="shared" si="3"/>
        <v>-524.73722181818175</v>
      </c>
      <c r="Q20" s="3369" t="str">
        <f>'Table1.A(d)'!G20</f>
        <v>NA</v>
      </c>
      <c r="R20" s="3369">
        <f t="shared" si="7"/>
        <v>-524.73722181818175</v>
      </c>
      <c r="S20" s="2577">
        <f t="shared" si="8"/>
        <v>1</v>
      </c>
      <c r="T20" s="3375">
        <f t="shared" si="9"/>
        <v>-1924.0364799999998</v>
      </c>
    </row>
    <row r="21" spans="2:20" ht="18" customHeight="1" x14ac:dyDescent="0.2">
      <c r="B21" s="1727"/>
      <c r="C21" s="1567"/>
      <c r="D21" s="36" t="s">
        <v>169</v>
      </c>
      <c r="E21" s="2575" t="s">
        <v>2150</v>
      </c>
      <c r="F21" s="3381"/>
      <c r="G21" s="3361">
        <v>7035.75</v>
      </c>
      <c r="H21" s="3361">
        <v>31273.329999999998</v>
      </c>
      <c r="I21" s="3381"/>
      <c r="J21" s="3361">
        <v>2995.8399999999997</v>
      </c>
      <c r="K21" s="3369">
        <f t="shared" si="0"/>
        <v>-27233.42</v>
      </c>
      <c r="L21" s="2577">
        <f t="shared" si="6"/>
        <v>1</v>
      </c>
      <c r="M21" s="5" t="s">
        <v>1814</v>
      </c>
      <c r="N21" s="3369">
        <f t="shared" si="2"/>
        <v>-27233.42</v>
      </c>
      <c r="O21" s="3342">
        <v>16.418181818181822</v>
      </c>
      <c r="P21" s="3369">
        <f t="shared" si="3"/>
        <v>-447.12324109090918</v>
      </c>
      <c r="Q21" s="3369" t="str">
        <f>'Table1.A(d)'!G21</f>
        <v>NA</v>
      </c>
      <c r="R21" s="3369">
        <f t="shared" si="7"/>
        <v>-447.12324109090918</v>
      </c>
      <c r="S21" s="2577">
        <f t="shared" si="8"/>
        <v>1</v>
      </c>
      <c r="T21" s="3375">
        <f t="shared" si="9"/>
        <v>-1639.4518840000003</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365.20000000000005</v>
      </c>
      <c r="H24" s="3361">
        <v>35.200000000000003</v>
      </c>
      <c r="I24" s="3381"/>
      <c r="J24" s="3361">
        <v>567.91000000000008</v>
      </c>
      <c r="K24" s="3369">
        <f t="shared" si="0"/>
        <v>-237.91000000000008</v>
      </c>
      <c r="L24" s="2577">
        <f t="shared" si="6"/>
        <v>1</v>
      </c>
      <c r="M24" s="5" t="s">
        <v>1814</v>
      </c>
      <c r="N24" s="3369">
        <f t="shared" si="2"/>
        <v>-237.91000000000008</v>
      </c>
      <c r="O24" s="3342">
        <v>22.009090909090911</v>
      </c>
      <c r="P24" s="3369">
        <f t="shared" si="3"/>
        <v>-5.2361828181818213</v>
      </c>
      <c r="Q24" s="3369">
        <f>'Table1.A(d)'!G24</f>
        <v>675.67909090909097</v>
      </c>
      <c r="R24" s="3369">
        <f t="shared" si="7"/>
        <v>-680.91527372727285</v>
      </c>
      <c r="S24" s="2577">
        <f t="shared" si="8"/>
        <v>1</v>
      </c>
      <c r="T24" s="3375">
        <f t="shared" si="9"/>
        <v>-2496.6893370000003</v>
      </c>
    </row>
    <row r="25" spans="2:20" ht="18" customHeight="1" x14ac:dyDescent="0.2">
      <c r="B25" s="1727"/>
      <c r="C25" s="1567"/>
      <c r="D25" s="36" t="s">
        <v>252</v>
      </c>
      <c r="E25" s="2575" t="s">
        <v>2150</v>
      </c>
      <c r="F25" s="3381"/>
      <c r="G25" s="3361">
        <v>2172.7999999999997</v>
      </c>
      <c r="H25" s="3361">
        <v>17320.319999999996</v>
      </c>
      <c r="I25" s="3361" t="s">
        <v>2146</v>
      </c>
      <c r="J25" s="3361">
        <v>260.40000000000003</v>
      </c>
      <c r="K25" s="3369">
        <f t="shared" si="0"/>
        <v>-15407.919999999998</v>
      </c>
      <c r="L25" s="2577">
        <f t="shared" si="6"/>
        <v>1</v>
      </c>
      <c r="M25" s="5" t="s">
        <v>1814</v>
      </c>
      <c r="N25" s="3369">
        <f t="shared" si="2"/>
        <v>-15407.919999999998</v>
      </c>
      <c r="O25" s="3342">
        <v>18.991363636363641</v>
      </c>
      <c r="P25" s="3369">
        <f t="shared" si="3"/>
        <v>-292.61741160000003</v>
      </c>
      <c r="Q25" s="3369">
        <f>'Table1.A(d)'!G25</f>
        <v>366.53331818181829</v>
      </c>
      <c r="R25" s="3369">
        <f t="shared" si="7"/>
        <v>-659.15072978181831</v>
      </c>
      <c r="S25" s="2577">
        <f t="shared" si="8"/>
        <v>1</v>
      </c>
      <c r="T25" s="3375">
        <f t="shared" si="9"/>
        <v>-2416.8860092000004</v>
      </c>
    </row>
    <row r="26" spans="2:20" ht="18" customHeight="1" x14ac:dyDescent="0.2">
      <c r="B26" s="1727"/>
      <c r="C26" s="1567"/>
      <c r="D26" s="36" t="s">
        <v>253</v>
      </c>
      <c r="E26" s="2575" t="s">
        <v>2150</v>
      </c>
      <c r="F26" s="3381"/>
      <c r="G26" s="3361">
        <v>10003.149703356943</v>
      </c>
      <c r="H26" s="3361" t="s">
        <v>2146</v>
      </c>
      <c r="I26" s="3381"/>
      <c r="J26" s="3361" t="s">
        <v>2146</v>
      </c>
      <c r="K26" s="3369">
        <f t="shared" si="0"/>
        <v>10003.149703356943</v>
      </c>
      <c r="L26" s="2577">
        <f t="shared" si="6"/>
        <v>1</v>
      </c>
      <c r="M26" s="5" t="s">
        <v>1814</v>
      </c>
      <c r="N26" s="3369">
        <f t="shared" si="2"/>
        <v>10003.149703356943</v>
      </c>
      <c r="O26" s="3342">
        <v>25.26136363636364</v>
      </c>
      <c r="P26" s="3369">
        <f t="shared" si="3"/>
        <v>252.69320216548283</v>
      </c>
      <c r="Q26" s="3369">
        <f>'Table1.A(d)'!G26</f>
        <v>252.69320216548277</v>
      </c>
      <c r="R26" s="3369">
        <f t="shared" si="7"/>
        <v>5.6843418860808015E-14</v>
      </c>
      <c r="S26" s="2577">
        <f t="shared" si="8"/>
        <v>1</v>
      </c>
      <c r="T26" s="3375">
        <f t="shared" si="9"/>
        <v>2.0842586915629605E-13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19814.929999999997</v>
      </c>
      <c r="H28" s="3361">
        <v>8990.48</v>
      </c>
      <c r="I28" s="3381"/>
      <c r="J28" s="3361">
        <v>4537.7</v>
      </c>
      <c r="K28" s="3369">
        <f t="shared" si="0"/>
        <v>6286.7499999999964</v>
      </c>
      <c r="L28" s="2577">
        <f t="shared" si="6"/>
        <v>1</v>
      </c>
      <c r="M28" s="5" t="s">
        <v>1814</v>
      </c>
      <c r="N28" s="3369">
        <f t="shared" si="2"/>
        <v>6286.7499999999964</v>
      </c>
      <c r="O28" s="3342">
        <v>19.038684665078431</v>
      </c>
      <c r="P28" s="3369">
        <f t="shared" si="3"/>
        <v>119.69145081818176</v>
      </c>
      <c r="Q28" s="3369">
        <f>'Table1.A(d)'!G28</f>
        <v>646.94048767544416</v>
      </c>
      <c r="R28" s="3369">
        <f t="shared" si="7"/>
        <v>-527.24903685726235</v>
      </c>
      <c r="S28" s="2577">
        <f t="shared" si="8"/>
        <v>1</v>
      </c>
      <c r="T28" s="3375">
        <f t="shared" si="9"/>
        <v>-1933.2464684766285</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1468452.299703357</v>
      </c>
      <c r="O31" s="3364"/>
      <c r="P31" s="3371">
        <f>SUM(P11:P29)</f>
        <v>27695.974158901579</v>
      </c>
      <c r="Q31" s="3371">
        <f>SUM(Q11:Q29)</f>
        <v>2202.2001203889217</v>
      </c>
      <c r="R31" s="3369">
        <f t="shared" si="7"/>
        <v>25493.774038512656</v>
      </c>
      <c r="S31" s="2578"/>
      <c r="T31" s="3377">
        <f>SUM(T11:T29)</f>
        <v>93477.171474546412</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5173830</v>
      </c>
      <c r="G35" s="3361" t="s">
        <v>2146</v>
      </c>
      <c r="H35" s="3361">
        <v>3882800</v>
      </c>
      <c r="I35" s="3361" t="s">
        <v>2146</v>
      </c>
      <c r="J35" s="3361">
        <v>47600</v>
      </c>
      <c r="K35" s="3369">
        <f t="shared" si="10"/>
        <v>1243430</v>
      </c>
      <c r="L35" s="2577">
        <f t="shared" si="11"/>
        <v>1</v>
      </c>
      <c r="M35" s="55" t="s">
        <v>1814</v>
      </c>
      <c r="N35" s="3369">
        <f t="shared" si="12"/>
        <v>1243430</v>
      </c>
      <c r="O35" s="3342">
        <v>23.802808506556008</v>
      </c>
      <c r="P35" s="3369">
        <f t="shared" si="13"/>
        <v>29597.126181306936</v>
      </c>
      <c r="Q35" s="3369">
        <f>'Table1.A(d)'!G35</f>
        <v>206.31703343041792</v>
      </c>
      <c r="R35" s="3369">
        <f t="shared" si="7"/>
        <v>29390.809147876516</v>
      </c>
      <c r="S35" s="2577">
        <f t="shared" si="14"/>
        <v>1</v>
      </c>
      <c r="T35" s="3375">
        <f t="shared" si="15"/>
        <v>107766.30020888057</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493220</v>
      </c>
      <c r="G37" s="3361" t="s">
        <v>2146</v>
      </c>
      <c r="H37" s="3361" t="s">
        <v>2146</v>
      </c>
      <c r="I37" s="3381"/>
      <c r="J37" s="3361" t="s">
        <v>2146</v>
      </c>
      <c r="K37" s="3369">
        <f t="shared" si="10"/>
        <v>493220</v>
      </c>
      <c r="L37" s="2577">
        <f t="shared" si="11"/>
        <v>1</v>
      </c>
      <c r="M37" s="55" t="s">
        <v>1814</v>
      </c>
      <c r="N37" s="3369">
        <f t="shared" si="12"/>
        <v>493220</v>
      </c>
      <c r="O37" s="3342">
        <v>27.68152081540034</v>
      </c>
      <c r="P37" s="3369">
        <f t="shared" si="13"/>
        <v>13653.079696571756</v>
      </c>
      <c r="Q37" s="3369" t="str">
        <f>'Table1.A(d)'!G37</f>
        <v>NO</v>
      </c>
      <c r="R37" s="3369">
        <f t="shared" si="7"/>
        <v>13653.079696571756</v>
      </c>
      <c r="S37" s="2577">
        <f t="shared" si="14"/>
        <v>1</v>
      </c>
      <c r="T37" s="3375">
        <f t="shared" si="15"/>
        <v>50061.292220763105</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v>2300</v>
      </c>
      <c r="I40" s="3381"/>
      <c r="J40" s="3361">
        <v>300</v>
      </c>
      <c r="K40" s="3369">
        <f t="shared" ref="K40:K42" si="16">IF((SUM(F40:G40)-SUM(H40:J40))=0,"NO",(SUM(F40:G40)-SUM(H40:J40)))</f>
        <v>-2600</v>
      </c>
      <c r="L40" s="2577">
        <f t="shared" ref="L40:L42" si="17">IF(K40="NO","NA",1)</f>
        <v>1</v>
      </c>
      <c r="M40" s="55" t="s">
        <v>1814</v>
      </c>
      <c r="N40" s="3369">
        <f t="shared" ref="N40:N42" si="18">K40</f>
        <v>-2600</v>
      </c>
      <c r="O40" s="3342">
        <v>25.90909090909091</v>
      </c>
      <c r="P40" s="3369">
        <f t="shared" ref="P40:P42" si="19">IFERROR(N40*O40/1000,"NA")</f>
        <v>-67.363636363636374</v>
      </c>
      <c r="Q40" s="3369" t="str">
        <f>'Table1.A(d)'!G40</f>
        <v>NA</v>
      </c>
      <c r="R40" s="3369">
        <f t="shared" si="7"/>
        <v>-67.363636363636374</v>
      </c>
      <c r="S40" s="2577">
        <f t="shared" ref="S40:S42" si="20">IF(R40="NO","NA",1)</f>
        <v>1</v>
      </c>
      <c r="T40" s="3375">
        <f t="shared" ref="T40:T42" si="21">IF(R40="NO","NO",R40*S40*44/12)</f>
        <v>-247.00000000000003</v>
      </c>
    </row>
    <row r="41" spans="2:20" ht="18" customHeight="1" x14ac:dyDescent="0.2">
      <c r="B41" s="1727"/>
      <c r="C41" s="1567"/>
      <c r="D41" s="31" t="s">
        <v>266</v>
      </c>
      <c r="E41" s="2575" t="s">
        <v>2150</v>
      </c>
      <c r="F41" s="3381"/>
      <c r="G41" s="3361" t="s">
        <v>2146</v>
      </c>
      <c r="H41" s="3361">
        <v>8000</v>
      </c>
      <c r="I41" s="3381"/>
      <c r="J41" s="3361">
        <v>10000</v>
      </c>
      <c r="K41" s="3369">
        <f t="shared" si="16"/>
        <v>-18000</v>
      </c>
      <c r="L41" s="2577">
        <f t="shared" si="17"/>
        <v>1</v>
      </c>
      <c r="M41" s="55" t="s">
        <v>1814</v>
      </c>
      <c r="N41" s="3369">
        <f t="shared" si="18"/>
        <v>-18000</v>
      </c>
      <c r="O41" s="3342">
        <v>28.897729272254121</v>
      </c>
      <c r="P41" s="3369">
        <f t="shared" si="19"/>
        <v>-520.15912690057417</v>
      </c>
      <c r="Q41" s="3369">
        <f>'Table1.A(d)'!G41</f>
        <v>2929.0400864878834</v>
      </c>
      <c r="R41" s="3369">
        <f t="shared" si="7"/>
        <v>-3449.1992133884578</v>
      </c>
      <c r="S41" s="2577">
        <f t="shared" si="20"/>
        <v>1</v>
      </c>
      <c r="T41" s="3375">
        <f t="shared" si="21"/>
        <v>-12647.063782424346</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84.266224392649832</v>
      </c>
      <c r="R42" s="3369">
        <f t="shared" si="7"/>
        <v>-84.266224392649832</v>
      </c>
      <c r="S42" s="2577">
        <f t="shared" si="20"/>
        <v>1</v>
      </c>
      <c r="T42" s="3375">
        <f t="shared" si="21"/>
        <v>-308.97615610638269</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1716050</v>
      </c>
      <c r="O45" s="3364"/>
      <c r="P45" s="3371">
        <f>SUM(P33:P43)</f>
        <v>42662.683114614476</v>
      </c>
      <c r="Q45" s="3371">
        <f>SUM(Q33:Q43)</f>
        <v>3219.6233443109509</v>
      </c>
      <c r="R45" s="3371">
        <f>SUM(R33:R43)</f>
        <v>39443.059770303524</v>
      </c>
      <c r="S45" s="41"/>
      <c r="T45" s="3377">
        <f>SUM(T33:T43)</f>
        <v>144624.55249111293</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1163139.5000000002</v>
      </c>
      <c r="G47" s="3361" t="s">
        <v>2146</v>
      </c>
      <c r="H47" s="3361">
        <v>381800</v>
      </c>
      <c r="I47" s="3361" t="s">
        <v>2146</v>
      </c>
      <c r="J47" s="3361" t="s">
        <v>2146</v>
      </c>
      <c r="K47" s="3369">
        <f t="shared" ref="K47" si="22">IF((SUM(F47:G47)-SUM(H47:J47))=0,"NO",(SUM(F47:G47)-SUM(H47:J47)))</f>
        <v>781339.50000000023</v>
      </c>
      <c r="L47" s="2577">
        <f t="shared" ref="L47" si="23">IF(K47="NO","NA",1)</f>
        <v>1</v>
      </c>
      <c r="M47" s="55" t="s">
        <v>1814</v>
      </c>
      <c r="N47" s="3369">
        <f t="shared" ref="N47" si="24">K47</f>
        <v>781339.50000000023</v>
      </c>
      <c r="O47" s="3342">
        <v>14.02025817091339</v>
      </c>
      <c r="P47" s="3369">
        <f t="shared" ref="P47" si="25">IFERROR(N47*O47/1000,"NA")</f>
        <v>10954.581509132386</v>
      </c>
      <c r="Q47" s="3369">
        <f>'Table1.A(d)'!G47</f>
        <v>306.71403675247456</v>
      </c>
      <c r="R47" s="3369">
        <f t="shared" ref="R47" si="26">IF(SUM(P47,-SUM(Q47))=0,"NO",SUM(P47,-SUM(Q47)))</f>
        <v>10647.86747237991</v>
      </c>
      <c r="S47" s="2577">
        <f t="shared" ref="S47" si="27">IF(R47="NO","NA",1)</f>
        <v>1</v>
      </c>
      <c r="T47" s="3375">
        <f t="shared" ref="T47" si="28">IF(R47="NO","NO",R47*S47*44/12)</f>
        <v>39042.180732059671</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781339.50000000023</v>
      </c>
      <c r="O50" s="3366"/>
      <c r="P50" s="3371">
        <f>SUM(P47:P48)</f>
        <v>10954.581509132386</v>
      </c>
      <c r="Q50" s="3371">
        <f>SUM(Q47:Q48)</f>
        <v>306.71403675247456</v>
      </c>
      <c r="R50" s="3371">
        <f>SUM(R47:R48)</f>
        <v>10647.86747237991</v>
      </c>
      <c r="S50" s="2354"/>
      <c r="T50" s="3377">
        <f>SUM(T47:T48)</f>
        <v>39042.180732059671</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3965841.7997033568</v>
      </c>
      <c r="O55" s="3367"/>
      <c r="P55" s="3373">
        <f>SUM(P31,P45,P50,P54)</f>
        <v>81313.238782648448</v>
      </c>
      <c r="Q55" s="3373">
        <f>SUM(Q31,Q45,Q50,Q54)</f>
        <v>5728.537501452347</v>
      </c>
      <c r="R55" s="3373">
        <f>SUM(R31,R45,R50,R54)</f>
        <v>75584.701281196089</v>
      </c>
      <c r="S55" s="2374"/>
      <c r="T55" s="3379">
        <f>SUM(T31,T45,T50,T54)</f>
        <v>277143.90469771903</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1468.4522997033571</v>
      </c>
      <c r="D10" s="4136">
        <f>C10-'Table1.A(d)'!E31/1000</f>
        <v>1354.6192500854963</v>
      </c>
      <c r="E10" s="4135">
        <f>'Table1.A(b)'!T31</f>
        <v>93477.171474546412</v>
      </c>
      <c r="F10" s="4135">
        <f>'Table1.A(a)s1'!C11/1000</f>
        <v>1376.432946542832</v>
      </c>
      <c r="G10" s="4135">
        <f>'Table1.A(a)s1'!H11</f>
        <v>93429.735235139189</v>
      </c>
      <c r="H10" s="4135">
        <f>100*((D10-F10)/F10)</f>
        <v>-1.5847990642860501</v>
      </c>
      <c r="I10" s="4137">
        <f>100*((E10-G10)/G10)</f>
        <v>5.0772100860436001E-2</v>
      </c>
      <c r="L10"/>
    </row>
    <row r="11" spans="2:12" ht="18" customHeight="1" x14ac:dyDescent="0.2">
      <c r="B11" s="50" t="s">
        <v>299</v>
      </c>
      <c r="C11" s="4135">
        <f>'Table1.A(b)'!N45/1000</f>
        <v>1716.05</v>
      </c>
      <c r="D11" s="4135">
        <f>C11-'Table1.A(d)'!E45/1000</f>
        <v>1602.5315974082853</v>
      </c>
      <c r="E11" s="4135">
        <f>'Table1.A(b)'!T45</f>
        <v>144624.55249111293</v>
      </c>
      <c r="F11" s="4135">
        <f>'Table1.A(a)s1'!C12/1000</f>
        <v>1587.124806697482</v>
      </c>
      <c r="G11" s="4135">
        <f>'Table1.A(a)s1'!H12</f>
        <v>144027.06613872873</v>
      </c>
      <c r="H11" s="4135">
        <f t="shared" ref="H11:H13" si="0">100*((D11-F11)/F11)</f>
        <v>0.97073592736931869</v>
      </c>
      <c r="I11" s="4137">
        <f t="shared" ref="I11:I13" si="1">100*((E11-G11)/G11)</f>
        <v>0.41484310442642791</v>
      </c>
      <c r="L11"/>
    </row>
    <row r="12" spans="2:12" ht="18" customHeight="1" x14ac:dyDescent="0.2">
      <c r="B12" s="50" t="s">
        <v>300</v>
      </c>
      <c r="C12" s="4135">
        <f>'Table1.A(b)'!N50/1000</f>
        <v>781.33950000000027</v>
      </c>
      <c r="D12" s="4135">
        <f>C12-'Table1.A(d)'!E50/1000</f>
        <v>759.46484192290291</v>
      </c>
      <c r="E12" s="4135">
        <f>'Table1.A(b)'!T50</f>
        <v>39042.180732059671</v>
      </c>
      <c r="F12" s="4135">
        <f>'Table1.A(a)s1'!C13/1000</f>
        <v>747.18666219503814</v>
      </c>
      <c r="G12" s="4135">
        <f>'Table1.A(a)s1'!H13</f>
        <v>38432.17438405654</v>
      </c>
      <c r="H12" s="4135">
        <f t="shared" si="0"/>
        <v>1.6432546710342368</v>
      </c>
      <c r="I12" s="4137">
        <f t="shared" si="1"/>
        <v>1.5872282996722413</v>
      </c>
      <c r="L12"/>
    </row>
    <row r="13" spans="2:12" ht="18" customHeight="1" x14ac:dyDescent="0.2">
      <c r="B13" s="50" t="s">
        <v>275</v>
      </c>
      <c r="C13" s="4135">
        <f>'Table1.A(b)'!N54/1000</f>
        <v>0</v>
      </c>
      <c r="D13" s="4135">
        <f>C13-SUM('Table1.A(d)'!E54)/1000</f>
        <v>0</v>
      </c>
      <c r="E13" s="4135">
        <f>'Table1.A(b)'!T54</f>
        <v>0</v>
      </c>
      <c r="F13" s="4135">
        <f>'Table1.A(a)s1'!C14/1000</f>
        <v>4.0206442413779335</v>
      </c>
      <c r="G13" s="4135">
        <f>'Table1.A(a)s1'!H14</f>
        <v>361.51322289300248</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3965.8417997033575</v>
      </c>
      <c r="D15" s="4138">
        <f>SUM(D10:D14)</f>
        <v>3716.6156894166847</v>
      </c>
      <c r="E15" s="4138">
        <f>SUM(E10:E14)</f>
        <v>277143.90469771903</v>
      </c>
      <c r="F15" s="4138">
        <f>SUM(F10:F14)</f>
        <v>3714.7650596767298</v>
      </c>
      <c r="G15" s="4138">
        <f>SUM(G10:G14)</f>
        <v>276250.48898081743</v>
      </c>
      <c r="H15" s="4139">
        <f t="shared" ref="H15" si="2">100*((D15-F15)/F15)</f>
        <v>4.9818217578367081E-2</v>
      </c>
      <c r="I15" s="4140">
        <f t="shared" ref="I15" si="3">100*((E15-G15)/G15)</f>
        <v>0.32340783185496336</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5B107C23-0E6B-48F8-866A-80BAF094208C}"/>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2023-04-13T06:04:26Z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