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CD1D6070-714C-45E4-AAAC-FD77B36196B2}" xr6:coauthVersionLast="47" xr6:coauthVersionMax="47" xr10:uidLastSave="{00000000-0000-0000-0000-000000000000}"/>
  <bookViews>
    <workbookView xWindow="1170" yWindow="117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I32" i="34"/>
  <c r="I31" i="34"/>
  <c r="G37" i="34"/>
  <c r="G59" i="34"/>
  <c r="I72" i="34"/>
  <c r="I30" i="34"/>
  <c r="G36" i="34"/>
  <c r="H37" i="34"/>
  <c r="I29" i="34"/>
  <c r="H36" i="34"/>
  <c r="I37" i="34"/>
  <c r="G88" i="34"/>
  <c r="G26" i="34"/>
  <c r="H27" i="34"/>
  <c r="I28" i="34"/>
  <c r="G34" i="34"/>
  <c r="H35" i="34"/>
  <c r="I36" i="34"/>
  <c r="G62" i="34"/>
  <c r="I75" i="34"/>
  <c r="I80" i="34"/>
  <c r="I84" i="34"/>
  <c r="I88" i="34"/>
  <c r="H26" i="34"/>
  <c r="I27" i="34"/>
  <c r="G33" i="34"/>
  <c r="H34" i="34"/>
  <c r="I35" i="34"/>
  <c r="I76" i="34"/>
  <c r="G85" i="34"/>
  <c r="G89" i="34"/>
  <c r="I26" i="34"/>
  <c r="G32" i="34"/>
  <c r="H33" i="34"/>
  <c r="I34" i="34"/>
  <c r="I81"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2" i="34"/>
  <c r="I53" i="34"/>
  <c r="I54" i="34"/>
  <c r="I55" i="34"/>
  <c r="I56" i="34"/>
  <c r="I57" i="34"/>
  <c r="I58" i="34"/>
  <c r="I59" i="34"/>
  <c r="I60" i="34"/>
  <c r="I61" i="34"/>
  <c r="I62" i="34"/>
  <c r="I63" i="34"/>
  <c r="G63" i="34"/>
  <c r="M51" i="34" l="1"/>
  <c r="L51" i="34"/>
  <c r="K51" i="34"/>
  <c r="J51"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68" i="34"/>
  <c r="I66" i="34"/>
  <c r="G81" i="34"/>
  <c r="H70" i="34"/>
  <c r="H68" i="34"/>
  <c r="H66" i="34"/>
  <c r="G55" i="34"/>
  <c r="M64" i="34"/>
  <c r="G54" i="34"/>
  <c r="G84" i="34"/>
  <c r="G80" i="34"/>
  <c r="I74" i="34"/>
  <c r="J64" i="34"/>
  <c r="G61" i="34"/>
  <c r="G53" i="34"/>
  <c r="G35" i="34"/>
  <c r="H28" i="34"/>
  <c r="G27" i="34"/>
  <c r="I73" i="34"/>
  <c r="I69" i="34"/>
  <c r="I67" i="34"/>
  <c r="I65" i="34"/>
  <c r="H29" i="34"/>
  <c r="G28" i="34"/>
  <c r="M25" i="34"/>
  <c r="G87" i="34"/>
  <c r="G83" i="34"/>
  <c r="G79" i="34"/>
  <c r="H69" i="34"/>
  <c r="H67" i="34"/>
  <c r="H65" i="34"/>
  <c r="H30" i="34"/>
  <c r="G29" i="34"/>
  <c r="L25" i="34"/>
  <c r="I71"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F28" i="33"/>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Z14" i="73"/>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Y14" i="73" l="1"/>
  <c r="I35" i="73"/>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<sst xmlns="http://schemas.openxmlformats.org/spreadsheetml/2006/main" count="19425" uniqueCount="2523">
  <si>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</si>
  <si>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</si>
  <si>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</si>
  <si>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</si>
  <si>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</si>
  <si>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</si>
  <si>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</si>
  <si>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</si>
  <si>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</si>
  <si>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</si>
  <si>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</si>
  <si>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</si>
  <si>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</si>
  <si>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</si>
  <si>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</si>
  <si>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</si>
  <si>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</si>
  <si>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</si>
  <si>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</si>
  <si>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</si>
  <si>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</si>
  <si>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</si>
  <si>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</si>
  <si>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</si>
  <si>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</si>
  <si>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</si>
  <si>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</si>
  <si>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</si>
  <si>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</si>
  <si>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</si>
  <si>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</si>
  <si>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</si>
  <si>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</si>
  <si>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</si>
  <si>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</si>
  <si>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</si>
  <si>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</si>
  <si>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</si>
  <si>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</si>
  <si>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</si>
  <si>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</si>
  <si>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</si>
  <si>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</si>
  <si>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</si>
  <si>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</si>
  <si>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</si>
  <si>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</si>
  <si>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</si>
  <si>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</si>
  <si>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</si>
  <si>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</si>
  <si>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</si>
  <si>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</si>
  <si>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</si>
  <si>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</si>
  <si>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</si>
  <si>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</si>
  <si>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</si>
  <si>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</si>
  <si>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</si>
  <si>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</si>
  <si>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</si>
  <si>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</si>
  <si>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</si>
  <si>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</si>
  <si>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</si>
  <si>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</si>
  <si>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</si>
  <si>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</si>
  <si>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</si>
  <si>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</si>
  <si>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</si>
  <si>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</si>
  <si>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</si>
  <si>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</si>
  <si>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</si>
  <si>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</si>
  <si>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</si>
  <si>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</si>
  <si>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</si>
  <si>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</si>
  <si>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</si>
  <si>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</si>
  <si>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</si>
  <si>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</si>
  <si>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</si>
  <si>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</si>
  <si>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</si>
  <si>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</si>
  <si>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</si>
  <si>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</si>
  <si>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</si>
  <si>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</si>
  <si>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</si>
  <si>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</si>
  <si>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</si>
  <si>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</si>
  <si>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</si>
  <si>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</si>
  <si>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</si>
  <si>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</si>
  <si>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</si>
  <si>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</si>
  <si>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</si>
  <si>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</si>
  <si>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</si>
  <si>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</si>
  <si>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</si>
  <si>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</si>
  <si>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</si>
  <si>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</si>
  <si>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</si>
  <si>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</si>
  <si>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</si>
  <si>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</si>
  <si>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</si>
  <si>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</si>
  <si>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</si>
  <si>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</si>
  <si>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</si>
  <si>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</si>
  <si>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</si>
  <si>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</si>
  <si>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</si>
  <si>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</si>
  <si>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</si>
  <si>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</si>
  <si>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</si>
  <si>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</si>
  <si>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</si>
  <si>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</si>
  <si>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</si>
  <si>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</si>
  <si>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</si>
  <si>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</si>
  <si>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</si>
  <si>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</si>
  <si>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</si>
  <si>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</si>
  <si>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</si>
  <si>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</si>
  <si>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</si>
  <si>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</si>
  <si>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</si>
  <si>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</si>
  <si>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</si>
  <si>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</si>
  <si>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</si>
  <si>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</si>
  <si>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</si>
  <si>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</si>
  <si>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</si>
  <si>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</si>
  <si>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</si>
  <si>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</si>
  <si>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</si>
  <si>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</si>
  <si>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</si>
  <si>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</si>
  <si>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</si>
  <si>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</si>
  <si>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</si>
  <si>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</si>
  <si>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</si>
  <si>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</si>
  <si>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</si>
  <si>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</si>
  <si>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</si>
  <si>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</si>
  <si>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</si>
  <si>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</si>
  <si>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</si>
  <si>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</si>
  <si>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</si>
  <si>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</si>
  <si>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</si>
  <si>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</si>
  <si>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</si>
  <si>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</si>
  <si>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</si>
  <si>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</si>
  <si>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</si>
  <si>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</si>
  <si>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</si>
  <si>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</si>
  <si>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</si>
  <si>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</si>
  <si>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</si>
  <si>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</si>
  <si>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</si>
  <si>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</si>
  <si>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</si>
  <si>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</si>
  <si>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</si>
  <si>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</si>
  <si>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</si>
  <si>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</si>
  <si>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</si>
  <si>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</si>
  <si>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</si>
  <si>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</si>
  <si>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</si>
  <si>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</si>
  <si>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</si>
  <si>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</si>
  <si>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</si>
  <si>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</si>
  <si>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</si>
  <si>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</si>
  <si>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</si>
  <si>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</si>
  <si>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</si>
  <si>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</si>
  <si>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</si>
  <si>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</si>
  <si>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</si>
  <si>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</si>
  <si>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</si>
  <si>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</si>
  <si>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</si>
  <si>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</si>
  <si>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</si>
  <si>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</si>
  <si>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</si>
  <si>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</si>
  <si>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</si>
  <si>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</si>
  <si>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</si>
  <si>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</si>
  <si>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</si>
  <si>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</si>
  <si>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</si>
  <si>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</si>
  <si>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</si>
  <si>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</si>
  <si>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</si>
  <si>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</si>
  <si>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</si>
  <si>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</si>
  <si>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</si>
  <si>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</si>
  <si>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</si>
  <si>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</si>
  <si>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</si>
  <si>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</si>
  <si>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</si>
  <si>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</si>
  <si>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</si>
  <si>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</si>
  <si>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</si>
  <si>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</si>
  <si>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</si>
  <si>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</si>
  <si>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</si>
  <si>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</si>
  <si>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</si>
  <si>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</si>
  <si>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</si>
  <si>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</si>
  <si>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</si>
  <si>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</si>
  <si>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</si>
  <si>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</si>
  <si>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</si>
  <si>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</si>
  <si>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</si>
  <si>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</si>
  <si>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</si>
  <si>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</si>
  <si>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</si>
  <si>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</si>
  <si>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</si>
  <si>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</si>
  <si>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</si>
  <si>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</si>
  <si>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</si>
  <si>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</si>
  <si>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</si>
  <si>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</si>
  <si>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</si>
  <si>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</si>
  <si>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</si>
  <si>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</si>
  <si>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</si>
  <si>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</si>
  <si>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</si>
  <si>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</si>
  <si>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</si>
  <si>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</si>
  <si>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</si>
  <si>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</si>
  <si>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</si>
  <si>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</si>
  <si>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</si>
  <si>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</si>
  <si>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</si>
  <si>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</si>
  <si>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</si>
  <si>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</si>
  <si>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</si>
  <si>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</si>
  <si>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</si>
  <si>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</si>
  <si>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</si>
  <si>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</si>
  <si>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</si>
  <si>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</si>
  <si>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</si>
  <si>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</si>
  <si>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</si>
  <si>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</si>
  <si>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</si>
  <si>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</si>
  <si>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</si>
  <si>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</si>
  <si>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</si>
  <si>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</si>
  <si>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</si>
  <si>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</si>
  <si>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</si>
  <si>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</si>
  <si>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</si>
  <si>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</si>
  <si>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</si>
  <si>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</si>
  <si>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</si>
  <si>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</si>
  <si>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</si>
  <si>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</si>
  <si>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</si>
  <si>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</si>
  <si>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</si>
  <si>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</si>
  <si>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</si>
  <si>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</si>
  <si>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</si>
  <si>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</si>
  <si>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</si>
  <si>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</si>
  <si>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</si>
  <si>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</si>
  <si>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</si>
  <si>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</si>
  <si>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</si>
  <si>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</si>
  <si>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</si>
  <si>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</si>
  <si>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</si>
  <si>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</si>
  <si>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</si>
  <si>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</si>
  <si>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</si>
  <si>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</si>
  <si>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</si>
  <si>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</si>
  <si>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</si>
  <si>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</si>
  <si>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</si>
  <si>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</si>
  <si>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</si>
  <si>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</si>
  <si>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</si>
  <si>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</si>
  <si>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</si>
  <si>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</si>
  <si>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</si>
  <si>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</si>
  <si>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</si>
  <si>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</si>
  <si>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</si>
  <si>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</si>
  <si>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</si>
  <si>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</si>
  <si>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</si>
  <si>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</si>
  <si>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</si>
  <si>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</si>
  <si>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</si>
  <si>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</si>
  <si>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</si>
  <si>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</si>
  <si>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</si>
  <si>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</si>
  <si>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</si>
  <si>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</si>
  <si>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</si>
  <si>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</si>
  <si>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</si>
  <si>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</si>
  <si>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</si>
  <si>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</si>
  <si>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</si>
  <si>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</si>
  <si>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</si>
  <si>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</si>
  <si>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</si>
  <si>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</si>
  <si>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</si>
  <si>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</si>
  <si>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</si>
  <si>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</si>
  <si>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</si>
  <si>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</si>
  <si>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</si>
  <si>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</si>
  <si>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</si>
  <si>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</si>
  <si>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</si>
  <si>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</si>
  <si>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</si>
  <si>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</si>
  <si>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</si>
  <si>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</si>
  <si>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</si>
  <si>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</si>
  <si>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</si>
  <si>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</si>
  <si>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</si>
  <si>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</si>
  <si>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</si>
  <si>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</si>
  <si>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</si>
  <si>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</si>
  <si>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</si>
  <si>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</si>
  <si>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</si>
  <si>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</si>
  <si>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</si>
  <si>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</si>
  <si>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</si>
  <si>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</si>
  <si>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</si>
  <si>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</si>
  <si>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</si>
  <si>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</si>
  <si>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</si>
  <si>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</si>
  <si>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</si>
  <si>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</si>
  <si>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</si>
  <si>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</si>
  <si>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</si>
  <si>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</si>
  <si>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</si>
  <si>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</si>
  <si>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</si>
  <si>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</si>
  <si>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</si>
  <si>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</si>
  <si>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</si>
  <si>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</si>
  <si>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</si>
  <si>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</si>
  <si>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</si>
  <si>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</si>
  <si>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</si>
  <si>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</si>
  <si>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</si>
  <si>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</si>
  <si>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</si>
  <si>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</si>
  <si>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</si>
  <si>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</si>
  <si>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</si>
  <si>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</si>
  <si>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</si>
  <si>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</si>
  <si>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</si>
  <si>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</si>
  <si>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</si>
  <si>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</si>
  <si>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</si>
  <si>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</si>
  <si>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</si>
  <si>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</si>
  <si>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</si>
  <si>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</si>
  <si>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</si>
  <si>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</si>
  <si>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</si>
  <si>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</si>
  <si>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</si>
  <si>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</si>
  <si>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</si>
  <si>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</si>
  <si>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</si>
  <si>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</si>
  <si>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</si>
  <si>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</si>
  <si>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</si>
  <si>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</si>
  <si>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</si>
  <si>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</si>
  <si>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</si>
  <si>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</si>
  <si>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</si>
  <si>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</si>
  <si>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</si>
  <si>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</si>
  <si>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</si>
  <si>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</si>
  <si>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</si>
  <si>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</si>
  <si>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</si>
  <si>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</si>
  <si>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</si>
  <si>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</si>
  <si>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</si>
  <si>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</si>
  <si>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</si>
  <si>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</si>
  <si>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</si>
  <si>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</si>
  <si>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</si>
  <si>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</si>
  <si>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</si>
  <si>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</si>
  <si>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</si>
  <si>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</si>
  <si>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</si>
  <si>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</si>
  <si>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</si>
  <si>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</si>
  <si>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</si>
  <si>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</si>
  <si>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</si>
  <si>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</si>
  <si>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</si>
  <si>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</si>
  <si>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</si>
  <si>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</si>
  <si>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</si>
  <si>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</si>
  <si>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</si>
  <si>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</si>
  <si>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</si>
  <si>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</si>
  <si>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</si>
  <si>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</si>
  <si>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</si>
  <si>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</si>
  <si>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</si>
  <si>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</si>
  <si>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</si>
  <si>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</si>
  <si>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</si>
  <si>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</si>
  <si>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</si>
  <si>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</si>
  <si>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</si>
  <si>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</si>
  <si>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</si>
  <si>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</si>
  <si>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</si>
  <si>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</si>
  <si>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</si>
  <si>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</si>
  <si>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</si>
  <si>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</si>
  <si>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</si>
  <si>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</si>
  <si>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</si>
  <si>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</si>
  <si>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</si>
  <si>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</si>
  <si>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</si>
  <si>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</si>
  <si>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</si>
  <si>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</si>
  <si>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</si>
  <si>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</si>
  <si>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</si>
  <si>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</si>
  <si>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</si>
  <si>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</si>
  <si>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</si>
  <si>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</si>
  <si>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</si>
  <si>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</si>
  <si>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</si>
  <si>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</si>
  <si>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</si>
  <si>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</si>
  <si>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</si>
  <si>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</si>
  <si>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</si>
  <si>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</si>
  <si>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</si>
  <si>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</si>
  <si>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</si>
  <si>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</si>
  <si>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</si>
  <si>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</si>
  <si>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</si>
  <si>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</si>
  <si>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</si>
  <si>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</si>
  <si>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</si>
  <si>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</si>
  <si>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</si>
  <si>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</si>
  <si>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</si>
  <si>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</si>
  <si>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</si>
  <si>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</si>
  <si>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</si>
  <si>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</si>
  <si>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</si>
  <si>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</si>
  <si>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</si>
  <si>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</si>
  <si>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</si>
  <si>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</si>
  <si>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</si>
  <si>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</si>
  <si>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</si>
  <si>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</si>
  <si>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</si>
  <si>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</si>
  <si>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</si>
  <si>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</si>
  <si>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</si>
  <si>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</si>
  <si>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</si>
  <si>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</si>
  <si>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</si>
  <si>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</si>
  <si>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</si>
  <si>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</si>
  <si>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</si>
  <si>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</si>
  <si>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</si>
  <si>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</si>
  <si>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</si>
  <si>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</si>
  <si>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</si>
  <si>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</si>
  <si>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</si>
  <si>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</si>
  <si>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</si>
  <si>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</si>
  <si>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</si>
  <si>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</si>
  <si>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</si>
  <si>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</si>
  <si>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</si>
  <si>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</si>
  <si>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</si>
  <si>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</si>
  <si>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</si>
  <si>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</si>
  <si>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</si>
  <si>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</si>
  <si>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</si>
  <si>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</si>
  <si>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</si>
  <si>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</si>
  <si>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</si>
  <si>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</si>
  <si>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</si>
  <si>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</si>
  <si>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</si>
  <si>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</si>
  <si>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</si>
  <si>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</si>
  <si>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</si>
  <si>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</si>
  <si>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</si>
  <si>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</si>
  <si>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</si>
  <si>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</si>
  <si>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</si>
  <si>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</si>
  <si>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</si>
  <si>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</si>
  <si>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</si>
  <si>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</si>
  <si>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</si>
  <si>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</si>
  <si>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</si>
  <si>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</si>
  <si>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</si>
  <si>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</si>
  <si>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</si>
  <si>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</si>
  <si>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</si>
  <si>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</si>
  <si>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</si>
  <si>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</si>
  <si>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</si>
  <si>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</si>
  <si>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</si>
  <si>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</si>
  <si>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</si>
  <si>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</si>
  <si>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</si>
  <si>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</si>
  <si>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</si>
  <si>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</si>
  <si>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</si>
  <si>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</si>
  <si>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</si>
  <si>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</si>
  <si>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</si>
  <si>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</si>
  <si>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</si>
  <si>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</si>
  <si>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</si>
  <si>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</si>
  <si>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</si>
  <si>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</si>
  <si>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</si>
  <si>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</si>
  <si>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</si>
  <si>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</si>
  <si>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</si>
  <si>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</si>
  <si>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</si>
  <si>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</si>
  <si>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</si>
  <si>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</si>
  <si>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</si>
  <si>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</si>
  <si>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</si>
  <si>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</si>
  <si>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</si>
  <si>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</si>
  <si>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</si>
  <si>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</si>
  <si>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</si>
  <si>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</si>
  <si>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</si>
  <si>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</si>
  <si>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</si>
  <si>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</si>
  <si>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</si>
  <si>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</si>
  <si>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</si>
  <si>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</si>
  <si>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</si>
  <si>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</si>
  <si>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</si>
  <si>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</si>
  <si>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</si>
  <si>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</si>
  <si>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</si>
  <si>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</si>
  <si>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</si>
  <si>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</si>
  <si>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</si>
  <si>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</si>
  <si>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</si>
  <si>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</si>
  <si>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</si>
  <si>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</si>
  <si>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</si>
  <si>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</si>
  <si>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</si>
  <si>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</si>
  <si>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</si>
  <si>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</si>
  <si>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</si>
  <si>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</si>
  <si>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</si>
  <si>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</si>
  <si>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</si>
  <si>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</si>
  <si>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</si>
  <si>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</si>
  <si>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</si>
  <si>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</si>
  <si>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</si>
  <si>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</si>
  <si>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</si>
  <si>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</si>
  <si>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</si>
  <si>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</si>
  <si>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</si>
  <si>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</si>
  <si>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</si>
  <si>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</si>
  <si>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</si>
  <si>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</si>
  <si>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</si>
  <si>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</si>
  <si>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</si>
  <si>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</si>
  <si>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</si>
  <si>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</si>
  <si>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</si>
  <si>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</si>
  <si>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</si>
  <si>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</si>
  <si>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</si>
  <si>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</si>
  <si>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</si>
  <si>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</si>
  <si>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</si>
  <si>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</si>
  <si>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</si>
  <si>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</si>
  <si>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</si>
  <si>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</si>
  <si>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</si>
  <si>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</si>
  <si>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</si>
  <si>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</si>
  <si>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</si>
  <si>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</si>
  <si>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</si>
  <si>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</si>
  <si>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</si>
  <si>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</si>
  <si>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</si>
  <si>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</si>
  <si>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</si>
  <si>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</si>
  <si>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</si>
  <si>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</si>
  <si>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</si>
  <si>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</si>
  <si>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</si>
  <si>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</si>
  <si>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</si>
  <si>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</si>
  <si>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</si>
  <si>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</si>
  <si>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</si>
  <si>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</si>
  <si>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</si>
  <si>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</si>
  <si>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</si>
  <si>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</si>
  <si>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</si>
  <si>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</si>
  <si>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</si>
  <si>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</si>
  <si>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</si>
  <si>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</si>
  <si>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</si>
  <si>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</si>
  <si>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</si>
  <si>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</si>
  <si>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</si>
  <si>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</si>
  <si>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</si>
  <si>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</si>
  <si>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</si>
  <si>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</si>
  <si>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</si>
  <si>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</si>
  <si>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</si>
  <si>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</si>
  <si>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</si>
  <si>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</si>
  <si>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</si>
  <si>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</si>
  <si>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</si>
  <si>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</si>
  <si>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</si>
  <si>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</si>
  <si>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</si>
  <si>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</si>
  <si>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</si>
  <si>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</si>
  <si>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</si>
  <si>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</si>
  <si>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</si>
  <si>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</si>
  <si>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</si>
  <si>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</si>
  <si>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</si>
  <si>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</si>
  <si>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</si>
  <si>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</si>
  <si>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</si>
  <si>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</si>
  <si>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</si>
  <si>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</si>
  <si>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</si>
  <si>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</si>
  <si>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</si>
  <si>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</si>
  <si>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</si>
  <si>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</si>
  <si>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</si>
  <si>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</si>
  <si>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</si>
  <si>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</si>
  <si>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</si>
  <si>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</si>
  <si>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</si>
  <si>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</si>
  <si>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</si>
  <si>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</si>
  <si>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</si>
  <si>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</si>
  <si>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</si>
  <si>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</si>
  <si>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</si>
  <si>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</si>
  <si>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</si>
  <si>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</si>
  <si>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</si>
  <si>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</si>
  <si>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</si>
  <si>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</si>
  <si>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</si>
  <si>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</si>
  <si>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</si>
  <si>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</si>
  <si>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</si>
  <si>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</si>
  <si>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</si>
  <si>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</si>
  <si>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</si>
  <si>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</si>
  <si>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</si>
  <si>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</si>
  <si>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</si>
  <si>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</si>
  <si>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</si>
  <si>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</si>
  <si>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</si>
  <si>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</si>
  <si>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</si>
  <si>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</si>
  <si>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</si>
  <si>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</si>
  <si>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</si>
  <si>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</si>
  <si>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</si>
  <si>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</si>
  <si>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</si>
  <si>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</si>
  <si>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</si>
  <si>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</si>
  <si>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</si>
  <si>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</si>
  <si>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</si>
  <si>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</si>
  <si>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</si>
  <si>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</si>
  <si>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</si>
  <si>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</si>
  <si>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</si>
  <si>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</si>
  <si>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</si>
  <si>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</si>
  <si>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</si>
  <si>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</si>
  <si>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</si>
  <si>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</si>
  <si>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</si>
  <si>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</si>
  <si>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</si>
  <si>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</si>
  <si>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</si>
  <si>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</si>
  <si>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</si>
  <si>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</si>
  <si>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</si>
  <si>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</si>
  <si>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</si>
  <si>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</si>
  <si>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</si>
  <si>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</si>
  <si>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</si>
  <si>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</si>
  <si>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</si>
  <si>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</si>
  <si>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</si>
  <si>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</si>
  <si>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</si>
  <si>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</si>
  <si>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</si>
  <si>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</si>
  <si>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</si>
  <si>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</si>
  <si>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</si>
  <si>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</si>
  <si>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</si>
  <si>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</si>
  <si>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</si>
  <si>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</si>
  <si>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</si>
  <si>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</si>
  <si>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</si>
  <si>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</si>
  <si>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</si>
  <si>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</si>
  <si>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</si>
  <si>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</si>
  <si>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</si>
  <si>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</si>
  <si>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</si>
  <si>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</si>
  <si>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</si>
  <si>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</si>
  <si>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</si>
  <si>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</si>
  <si>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</si>
  <si>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</si>
  <si>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</si>
  <si>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</si>
  <si>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</si>
  <si>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</si>
  <si>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</si>
  <si>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</si>
  <si>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</si>
  <si>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</si>
  <si>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</si>
  <si>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</si>
  <si>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</si>
  <si>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</si>
  <si>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</si>
  <si>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</si>
  <si>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</si>
  <si>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</si>
  <si>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</si>
  <si>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</si>
  <si>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</si>
  <si>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</si>
  <si>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</si>
  <si>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</si>
  <si>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</si>
  <si>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</si>
  <si>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</si>
  <si>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</si>
  <si>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</si>
  <si>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</si>
  <si>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</si>
  <si>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</si>
  <si>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</si>
  <si>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</si>
  <si>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</si>
  <si>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</si>
  <si>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</si>
  <si>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</si>
  <si>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</si>
  <si>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</si>
  <si>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</si>
  <si>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</si>
  <si>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</si>
  <si>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</si>
  <si>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</si>
  <si>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</si>
  <si>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</si>
  <si>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</si>
  <si>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</si>
  <si>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</si>
  <si>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</si>
  <si>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</si>
  <si>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</si>
  <si>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</si>
  <si>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</si>
  <si>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</si>
  <si>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</si>
  <si>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</si>
  <si>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</si>
  <si>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</si>
  <si>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</si>
  <si>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</si>
  <si>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</si>
  <si>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</si>
  <si>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</si>
  <si>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</si>
  <si>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</si>
  <si>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</si>
  <si>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</si>
  <si>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</si>
  <si>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</si>
  <si>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</si>
  <si>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</si>
  <si>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</si>
  <si>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</si>
  <si>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</si>
  <si>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</si>
  <si>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</si>
  <si>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</si>
  <si>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</si>
  <si>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</si>
  <si>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</si>
  <si>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</si>
  <si>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</si>
  <si>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</si>
  <si>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</si>
  <si>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</si>
  <si>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</si>
  <si>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</si>
  <si>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</si>
  <si>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</si>
  <si>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</si>
  <si>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</si>
  <si>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</si>
  <si>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</si>
  <si>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</si>
  <si>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</si>
  <si>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</si>
  <si>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</si>
  <si>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</si>
  <si>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</si>
  <si>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</si>
  <si>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</si>
  <si>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</si>
  <si>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</si>
  <si>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</si>
  <si>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</si>
  <si>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</si>
  <si>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</si>
  <si>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</si>
  <si>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</si>
  <si>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</si>
  <si>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</si>
  <si>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</si>
  <si>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</si>
  <si>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</si>
  <si>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</si>
  <si>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</si>
  <si>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</si>
  <si>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</si>
  <si>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</si>
  <si>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</si>
  <si>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</si>
  <si>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</si>
  <si>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</si>
  <si>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</si>
  <si>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</si>
  <si>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</si>
  <si>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</si>
  <si>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</si>
  <si>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</si>
  <si>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</si>
  <si>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</si>
  <si>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</si>
  <si>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</si>
  <si>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</si>
  <si>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</si>
  <si>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</si>
  <si>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</si>
  <si>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</si>
  <si>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</si>
  <si>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</si>
  <si>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</si>
  <si>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</si>
  <si>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</si>
  <si>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</si>
  <si>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</si>
  <si>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</si>
  <si>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</si>
  <si>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</si>
  <si>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</si>
  <si>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</si>
  <si>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</si>
  <si>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</si>
  <si>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</si>
  <si>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</si>
  <si>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</si>
  <si>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</si>
  <si>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</si>
  <si>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</si>
  <si>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</si>
  <si>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</si>
  <si>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</si>
  <si>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</si>
  <si>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</si>
  <si>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</si>
  <si>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</si>
  <si>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</si>
  <si>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</si>
  <si>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</si>
  <si>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</si>
  <si>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</si>
  <si>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</si>
  <si>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</si>
  <si>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</si>
  <si>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</si>
  <si>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</si>
  <si>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</si>
  <si>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</si>
  <si>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</si>
  <si>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</si>
  <si>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</si>
  <si>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</si>
  <si>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</si>
  <si>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</si>
  <si>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</si>
  <si>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</si>
  <si>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</si>
  <si>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</si>
  <si>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</si>
  <si>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</si>
  <si>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</si>
  <si>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</si>
  <si>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</si>
  <si>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</si>
  <si>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</si>
  <si>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</si>
  <si>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</si>
  <si>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</si>
  <si>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</si>
  <si>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</si>
  <si>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</si>
  <si>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</si>
  <si>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</si>
  <si>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</si>
  <si>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</si>
  <si>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</si>
  <si>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</si>
  <si>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</si>
  <si>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</si>
  <si>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</si>
  <si>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</si>
  <si>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</si>
  <si>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</si>
  <si>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</si>
  <si>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</si>
  <si>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</si>
  <si>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</si>
  <si>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</si>
  <si>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</si>
  <si>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</si>
  <si>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</si>
  <si>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</si>
  <si>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</si>
  <si>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</si>
  <si>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</si>
  <si>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</si>
  <si>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</si>
  <si>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</si>
  <si>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</si>
  <si>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</si>
  <si>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</si>
  <si>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</si>
  <si>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</si>
  <si>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</si>
  <si>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</si>
  <si>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</si>
  <si>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</si>
  <si>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</si>
  <si>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</si>
  <si>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</si>
  <si>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</si>
  <si>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</si>
  <si>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</si>
  <si>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</si>
  <si>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</si>
  <si>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</si>
  <si>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</si>
  <si>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</si>
  <si>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</si>
  <si>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</si>
  <si>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</si>
  <si>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</si>
  <si>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</si>
  <si>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</si>
  <si>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</si>
  <si>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</si>
  <si>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</si>
  <si>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</si>
  <si>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</si>
  <si>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</si>
  <si>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</si>
  <si>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</si>
  <si>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</si>
  <si>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</si>
  <si>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</si>
  <si>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</si>
  <si>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</si>
  <si>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</si>
  <si>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</si>
  <si>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</si>
  <si>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</si>
  <si>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</si>
  <si>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</si>
  <si>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</si>
  <si>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</si>
  <si>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</si>
  <si>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</si>
  <si>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</si>
  <si>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</si>
  <si>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</si>
  <si>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</si>
  <si>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</si>
  <si>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</si>
  <si>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</si>
  <si>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</si>
  <si>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</si>
  <si>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</si>
  <si>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</si>
  <si>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</si>
  <si>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</si>
  <si>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</si>
  <si>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</si>
  <si>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</si>
  <si>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</si>
  <si>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</si>
  <si>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</si>
  <si>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</si>
  <si>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</si>
  <si>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</si>
  <si>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</si>
  <si>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</si>
  <si>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</si>
  <si>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</si>
  <si>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</si>
  <si>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</si>
  <si>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</si>
  <si>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</si>
  <si>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</si>
  <si>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</si>
  <si>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</si>
  <si>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</si>
  <si>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</si>
  <si>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</si>
  <si>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</si>
  <si>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</si>
  <si>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</si>
  <si>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</si>
  <si>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</si>
  <si>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</si>
  <si>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</si>
  <si>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</si>
  <si>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</si>
  <si>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</si>
  <si>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</si>
  <si>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</si>
  <si>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</si>
  <si>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</si>
  <si>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</si>
  <si>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</si>
  <si>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</si>
  <si>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</si>
  <si>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</si>
  <si>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</si>
  <si>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</si>
  <si>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</si>
  <si>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</si>
  <si>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</si>
  <si>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</si>
  <si>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</si>
  <si>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</si>
  <si>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</si>
  <si>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</si>
  <si>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</si>
  <si>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</si>
  <si>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</si>
  <si>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</si>
  <si>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</si>
  <si>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</si>
  <si>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</si>
  <si>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</si>
  <si>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</si>
  <si>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</si>
  <si>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</si>
  <si>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</si>
  <si>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</si>
  <si>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</si>
  <si>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</si>
  <si>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</si>
  <si>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</si>
  <si>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</si>
  <si>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</si>
  <si>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</si>
  <si>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</si>
  <si>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</si>
  <si>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</si>
  <si>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</si>
  <si>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</si>
  <si>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</si>
  <si>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</si>
  <si>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</si>
  <si>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</si>
  <si>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</si>
  <si>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</si>
  <si>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</si>
  <si>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</si>
  <si>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</si>
  <si>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</si>
  <si>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</si>
  <si>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</si>
  <si>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</si>
  <si>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</si>
  <si>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</si>
  <si>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</si>
  <si>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</si>
  <si>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</si>
  <si>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</si>
  <si>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</si>
  <si>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</si>
  <si>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</si>
  <si>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</si>
  <si>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</si>
  <si>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</si>
  <si>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</si>
  <si>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</si>
  <si>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</si>
  <si>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</si>
  <si>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</si>
  <si>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</si>
  <si>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</si>
  <si>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</si>
  <si>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</si>
  <si>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</si>
  <si>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</si>
  <si>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</si>
  <si>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</si>
  <si>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</si>
  <si>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</si>
  <si>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</si>
  <si>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</si>
  <si>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</si>
  <si>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</si>
  <si>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</si>
  <si>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</si>
  <si>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</si>
  <si>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</si>
  <si>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</si>
  <si>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</si>
  <si>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</si>
  <si>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</si>
  <si>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</si>
  <si>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</si>
  <si>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</si>
  <si>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</si>
  <si>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</si>
  <si>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</si>
  <si>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</si>
  <si>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</si>
  <si>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</si>
  <si>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</si>
  <si>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</si>
  <si>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</si>
  <si>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</si>
  <si>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</si>
  <si>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</si>
  <si>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</si>
  <si>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</si>
  <si>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</si>
  <si>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</si>
  <si>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</si>
  <si>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</si>
  <si>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</si>
  <si>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</si>
  <si>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</si>
  <si>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</si>
  <si>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</si>
  <si>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</si>
  <si>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</si>
  <si>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</si>
  <si>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</si>
  <si>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</si>
  <si>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</si>
  <si>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</si>
  <si>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</si>
  <si>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</si>
  <si>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</si>
  <si>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</si>
  <si>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</si>
  <si>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</si>
  <si>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</si>
  <si>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</si>
  <si>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</si>
  <si>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</si>
  <si>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</si>
  <si>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</si>
  <si>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</si>
  <si>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</si>
  <si>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</si>
  <si>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</si>
  <si>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</si>
  <si>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</si>
  <si>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</si>
  <si>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</si>
  <si>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</si>
  <si>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</si>
  <si>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</si>
  <si>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</si>
  <si>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</si>
  <si>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</si>
  <si>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</si>
  <si>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</si>
  <si>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</si>
  <si>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</si>
  <si>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</si>
  <si>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</si>
  <si>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</si>
  <si>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</si>
  <si>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</si>
  <si>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</si>
  <si>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</si>
  <si>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</si>
  <si>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</si>
  <si>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</si>
  <si>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</si>
  <si>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</si>
  <si>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</si>
  <si>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</si>
  <si>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</si>
  <si>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</si>
  <si>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</si>
  <si>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</si>
  <si>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</si>
  <si>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</si>
  <si>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</si>
  <si>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</si>
  <si>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</si>
  <si>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</si>
  <si>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</si>
  <si>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</si>
  <si>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</si>
  <si>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</si>
  <si>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</si>
  <si>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</si>
  <si>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</si>
  <si>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</si>
  <si>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</si>
  <si>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</si>
  <si>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</si>
  <si>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</si>
  <si>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</si>
  <si>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</si>
  <si>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</si>
  <si>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</si>
  <si>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</si>
  <si>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</si>
  <si>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</si>
  <si>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</si>
  <si>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</si>
  <si>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</si>
  <si>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</si>
  <si>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</si>
  <si>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</si>
  <si>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</si>
  <si>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</si>
  <si>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</si>
  <si>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</si>
  <si>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</si>
  <si>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</si>
  <si>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</si>
  <si>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</si>
  <si>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</si>
  <si>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</si>
  <si>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</si>
  <si>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</si>
  <si>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</si>
  <si>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</si>
  <si>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</si>
  <si>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</si>
  <si>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</si>
  <si>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</si>
  <si>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</si>
  <si>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</si>
  <si>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</si>
  <si>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</si>
  <si>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</si>
  <si>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</si>
  <si>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</si>
  <si>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</si>
  <si>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</si>
  <si>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</si>
  <si>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</si>
  <si>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</si>
  <si>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</si>
  <si>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</si>
  <si>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</si>
  <si>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</si>
  <si>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</si>
  <si>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</si>
  <si>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</si>
  <si>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</si>
  <si>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</si>
  <si>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</si>
  <si>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</si>
  <si>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</si>
  <si>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</si>
  <si>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</si>
  <si>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</si>
  <si>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</si>
  <si>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</si>
  <si>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</si>
  <si>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</si>
  <si>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</si>
  <si>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</si>
  <si>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</si>
  <si>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</si>
  <si>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</si>
  <si>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</si>
  <si>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</si>
  <si>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</si>
  <si>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</si>
  <si>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</si>
  <si>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</si>
  <si>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</si>
  <si>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</si>
  <si>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</si>
  <si>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</si>
  <si>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</si>
  <si>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</si>
  <si>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</si>
  <si>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</si>
  <si>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</si>
  <si>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</si>
  <si>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</si>
  <si>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</si>
  <si>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</si>
  <si>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</si>
  <si>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</si>
  <si>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</si>
  <si>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</si>
  <si>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</si>
  <si>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</si>
  <si>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</si>
  <si>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</si>
  <si>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</si>
  <si>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</si>
  <si>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</si>
  <si>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</si>
  <si>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</si>
  <si>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</si>
  <si>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</si>
  <si>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</si>
  <si>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</si>
  <si>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</si>
  <si>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</si>
  <si>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</si>
  <si>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</si>
  <si>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</si>
  <si>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</si>
  <si>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</si>
  <si>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</si>
  <si>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</si>
  <si>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</si>
  <si>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</si>
  <si>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</si>
  <si>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</si>
  <si>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</si>
  <si>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</si>
  <si>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</si>
  <si>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</si>
  <si>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</si>
  <si>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</si>
  <si>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</si>
  <si>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</si>
  <si>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</si>
  <si>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</si>
  <si>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</si>
  <si>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</si>
  <si>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</si>
  <si>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</si>
  <si>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</si>
  <si>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</si>
  <si>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</si>
  <si>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</si>
  <si>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</si>
  <si>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</si>
  <si>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</si>
  <si>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</si>
  <si>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</si>
  <si>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</si>
  <si>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</si>
  <si>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</si>
  <si>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</si>
  <si>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</si>
  <si>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</si>
  <si>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</si>
  <si>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</si>
  <si>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</si>
  <si>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</si>
  <si>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</si>
  <si>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</si>
  <si>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</si>
  <si>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</si>
  <si>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</si>
  <si>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</si>
  <si>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</si>
  <si>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</si>
  <si>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</si>
  <si>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</si>
  <si>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</si>
  <si>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</si>
  <si>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</si>
  <si>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</si>
  <si>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</si>
  <si>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</si>
  <si>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</si>
  <si>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</si>
  <si>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</si>
  <si>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</si>
  <si>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</si>
  <si>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</si>
  <si>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</si>
  <si>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</si>
  <si>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</si>
  <si>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</si>
  <si>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</si>
  <si>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</si>
  <si>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</si>
  <si>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</si>
  <si>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</si>
  <si>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</si>
  <si>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</si>
  <si>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</si>
  <si>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</si>
  <si>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</si>
  <si>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</si>
  <si>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</si>
  <si>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</si>
  <si>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</si>
  <si>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</si>
  <si>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</si>
  <si>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</si>
  <si>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</si>
  <si>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</si>
  <si>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</si>
  <si>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</si>
  <si>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</si>
  <si>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</si>
  <si>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</si>
  <si>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</si>
  <si>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</si>
  <si>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</si>
  <si>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</si>
  <si>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</si>
  <si>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</si>
  <si>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</si>
  <si>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</si>
  <si>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</si>
  <si>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</si>
  <si>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</si>
  <si>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</si>
  <si>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</si>
  <si>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</si>
  <si>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</si>
  <si>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</si>
  <si>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</si>
  <si>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</si>
  <si>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</si>
  <si>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</si>
  <si>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</si>
  <si>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</si>
  <si>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</si>
  <si>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</si>
  <si>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</si>
  <si>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</si>
  <si>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</si>
  <si>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</si>
  <si>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</si>
  <si>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</si>
  <si>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</si>
  <si>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</si>
  <si>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</si>
  <si>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</si>
  <si>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</si>
  <si>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</si>
  <si>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</si>
  <si>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</si>
  <si>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</si>
  <si>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</si>
  <si>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</si>
  <si>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</si>
  <si>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</si>
  <si>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</si>
  <si>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</si>
  <si>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</si>
  <si>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</si>
  <si>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</si>
  <si>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</si>
  <si>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</si>
  <si>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</si>
  <si>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</si>
  <si>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</si>
  <si>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</si>
  <si>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</si>
  <si>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</si>
  <si>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</si>
  <si>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</si>
  <si>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</si>
  <si>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</si>
  <si>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</si>
  <si>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</si>
  <si>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</si>
  <si>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</si>
  <si>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</si>
  <si>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</si>
  <si>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</si>
  <si>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</si>
  <si>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</si>
  <si>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</si>
  <si>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</si>
  <si>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</si>
  <si>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</si>
  <si>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</si>
  <si>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</si>
  <si>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</si>
  <si>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</si>
  <si>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</si>
  <si>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</si>
  <si>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</si>
  <si>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</si>
  <si>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</si>
  <si>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</si>
  <si>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</si>
  <si>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</si>
  <si>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</si>
  <si>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</si>
  <si>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</si>
  <si>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</si>
  <si>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</si>
  <si>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</si>
  <si>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</si>
  <si>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</si>
  <si>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</si>
  <si>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</si>
  <si>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</si>
  <si>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</si>
  <si>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</si>
  <si>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</si>
  <si>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</si>
  <si>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</si>
  <si>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</si>
  <si>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</si>
  <si>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</si>
  <si>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</si>
  <si>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</si>
  <si>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</si>
  <si>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</si>
  <si>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</si>
  <si>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</si>
  <si>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</si>
  <si>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</si>
  <si>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</si>
  <si>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</si>
  <si>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</si>
  <si>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</si>
  <si>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</si>
  <si>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</si>
  <si>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</si>
  <si>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</si>
  <si>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</si>
  <si>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</si>
  <si>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</si>
  <si>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</si>
  <si>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</si>
  <si>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</si>
  <si>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</si>
  <si>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</si>
  <si>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</si>
  <si>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</si>
  <si>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</si>
  <si>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</si>
  <si>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</si>
  <si>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</si>
  <si>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</si>
  <si>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</si>
  <si>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</si>
  <si>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</si>
  <si>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</si>
  <si>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</si>
  <si>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</si>
  <si>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</si>
  <si>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</si>
  <si>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</si>
  <si>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</si>
  <si>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</si>
  <si>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</si>
  <si>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</si>
  <si>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</si>
  <si>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</si>
  <si>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</si>
  <si>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</si>
  <si>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</si>
  <si>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</si>
  <si>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</si>
  <si>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</si>
  <si>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</si>
  <si>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</si>
  <si>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</si>
  <si>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</si>
  <si>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</si>
  <si>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</si>
  <si>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</si>
  <si>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</si>
  <si>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</si>
  <si>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</si>
  <si>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</si>
  <si>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</si>
  <si>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</si>
  <si>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</si>
  <si>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</si>
  <si>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</si>
  <si>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</si>
  <si>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</si>
  <si>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</si>
  <si>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</si>
  <si>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</si>
  <si>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</si>
  <si>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</si>
  <si>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</si>
  <si>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</si>
  <si>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</si>
  <si>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</si>
  <si>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</si>
  <si>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</si>
  <si>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</si>
  <si>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</si>
  <si>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</si>
  <si>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</si>
  <si>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</si>
  <si>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</si>
  <si>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</si>
  <si>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</si>
  <si>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</si>
  <si>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</si>
  <si>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</si>
  <si>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</si>
  <si>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</si>
  <si>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</si>
  <si>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</si>
  <si>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</si>
  <si>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</si>
  <si>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</si>
  <si>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</si>
  <si>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</si>
  <si>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</si>
  <si>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</si>
  <si>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</si>
  <si>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</si>
  <si>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</si>
  <si>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</si>
  <si>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</si>
  <si>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</si>
  <si>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</si>
  <si>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</si>
  <si>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</si>
  <si>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</si>
  <si>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</si>
  <si>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</si>
  <si>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</si>
  <si>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</si>
  <si>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</si>
  <si>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</si>
  <si>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</si>
  <si>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</si>
  <si>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</si>
  <si>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</si>
  <si>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</si>
  <si>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</si>
  <si>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</si>
  <si>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</si>
  <si>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</si>
  <si>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</si>
  <si>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</si>
  <si>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</si>
  <si>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</si>
  <si>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</si>
  <si>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</si>
  <si>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</si>
  <si>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</si>
  <si>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</si>
  <si>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</si>
  <si>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</si>
  <si>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</si>
  <si>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</si>
  <si>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</si>
  <si>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</si>
  <si>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</si>
  <si>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</si>
  <si>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</si>
  <si>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</si>
  <si>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</si>
  <si>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</si>
  <si>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</si>
  <si>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</si>
  <si>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</si>
  <si>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</si>
  <si>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</si>
  <si>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</si>
  <si>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</si>
  <si>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</si>
  <si>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</si>
  <si>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</si>
  <si>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</si>
  <si>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</si>
  <si>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</si>
  <si>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</si>
  <si>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</si>
  <si>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</si>
  <si>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</si>
  <si>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</si>
  <si>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</si>
  <si>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</si>
  <si>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</si>
  <si>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</si>
  <si>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</si>
  <si>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</si>
  <si>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</si>
  <si>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</si>
  <si>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</si>
  <si>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</si>
  <si>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</si>
  <si>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</si>
  <si>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</si>
  <si>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</si>
  <si>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</si>
  <si>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</si>
  <si>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</si>
  <si>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</si>
  <si>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</si>
  <si>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</si>
  <si>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</si>
  <si>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</si>
  <si>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</si>
  <si>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</si>
  <si>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</si>
  <si>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</si>
  <si>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</si>
  <si>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</si>
  <si>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</si>
  <si>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</si>
  <si>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</si>
  <si>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</si>
  <si>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</si>
  <si>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</si>
  <si>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</si>
  <si>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</si>
  <si>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</si>
  <si>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</si>
  <si>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</si>
  <si>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</si>
  <si>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</si>
  <si>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</si>
  <si>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</si>
  <si>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</si>
  <si>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</si>
  <si>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</si>
  <si>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</si>
  <si>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</si>
  <si>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</si>
  <si>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</si>
  <si>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</si>
  <si>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</si>
  <si>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</si>
  <si>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</si>
  <si>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</si>
  <si>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</si>
  <si>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</si>
  <si>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</si>
  <si>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</si>
  <si>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</si>
  <si>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</si>
  <si>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</si>
  <si>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</si>
  <si>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</si>
  <si>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</si>
  <si>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</si>
  <si>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</si>
  <si>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</si>
  <si>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</si>
  <si>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</si>
  <si>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</si>
  <si>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</si>
  <si>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</si>
  <si>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</si>
  <si>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</si>
  <si>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</si>
  <si>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</si>
  <si>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</si>
  <si>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</si>
  <si>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</si>
  <si>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</si>
  <si>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</si>
  <si>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</si>
  <si>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</si>
  <si>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</si>
  <si>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</si>
  <si>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</si>
  <si>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</si>
  <si>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</si>
  <si>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</si>
  <si>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</si>
  <si>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</si>
  <si>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</si>
  <si>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</si>
  <si>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</si>
  <si>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</si>
  <si>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</si>
  <si>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</si>
  <si>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</si>
  <si>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</si>
  <si>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</si>
  <si>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</si>
  <si>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</si>
  <si>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</si>
  <si>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</si>
  <si>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</si>
  <si>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</si>
  <si>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</si>
  <si>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</si>
  <si>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</si>
  <si>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</si>
  <si>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</si>
  <si>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</si>
  <si>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</si>
  <si>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</si>
  <si>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</si>
  <si>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</si>
  <si>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</si>
  <si>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</si>
  <si>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</si>
  <si>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</si>
  <si>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</si>
  <si>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</si>
  <si>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</si>
  <si>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</si>
  <si>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</si>
  <si>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</si>
  <si>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</si>
  <si>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</si>
  <si>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</si>
  <si>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</si>
  <si>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</si>
  <si>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</si>
  <si>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</si>
  <si>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</si>
  <si>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</si>
  <si>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</si>
  <si>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</si>
  <si>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</si>
  <si>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</si>
  <si>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</si>
  <si>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</si>
  <si>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</si>
  <si>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</si>
  <si>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</si>
  <si>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</si>
  <si>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</si>
  <si>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</si>
  <si>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</si>
  <si>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</si>
  <si>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</si>
  <si>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</si>
  <si>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</si>
  <si>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</si>
  <si>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</si>
  <si>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</si>
  <si>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</si>
  <si>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</si>
  <si>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</si>
  <si>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</si>
  <si>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</si>
  <si>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</si>
  <si>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</si>
  <si>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</si>
  <si>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</si>
  <si>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</si>
  <si>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</si>
  <si>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</si>
  <si>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</si>
  <si>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</si>
  <si>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</si>
  <si>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</si>
  <si>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</si>
  <si>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</si>
  <si>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</si>
  <si>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</si>
  <si>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</si>
  <si>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</si>
  <si>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</si>
  <si>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</si>
  <si>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</si>
  <si>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</si>
  <si>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</si>
  <si>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</si>
  <si>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</si>
  <si>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</si>
  <si>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</si>
  <si>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</si>
  <si>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</si>
  <si>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</si>
  <si>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</si>
  <si>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</si>
  <si>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</si>
  <si>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</si>
  <si>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</si>
  <si>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</si>
  <si>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</si>
  <si>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</si>
  <si>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</si>
  <si>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</si>
  <si>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</si>
  <si>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</si>
  <si>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</si>
  <si>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</si>
  <si>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</si>
  <si>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</si>
  <si>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</si>
  <si>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</si>
  <si>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</si>
  <si>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</si>
  <si>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</si>
  <si>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</si>
  <si>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</si>
  <si>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</si>
  <si>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</si>
  <si>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</si>
  <si>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</si>
  <si>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</si>
  <si>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</si>
  <si>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</si>
  <si>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</si>
  <si>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</si>
  <si>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</si>
  <si>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</si>
  <si>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</si>
  <si>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</si>
  <si>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</si>
  <si>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</si>
  <si>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</si>
  <si>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</si>
  <si>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</si>
  <si>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</si>
  <si>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</si>
  <si>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</si>
  <si>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</si>
  <si>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</si>
  <si>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</si>
  <si>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</si>
  <si>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</si>
  <si>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</si>
  <si>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</si>
  <si>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</si>
  <si>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</si>
  <si>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</si>
  <si>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</si>
  <si>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</si>
  <si>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</si>
  <si>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</si>
  <si>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</si>
  <si>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</si>
  <si>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</si>
  <si>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</si>
  <si>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</si>
  <si>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</si>
  <si>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</si>
  <si>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</si>
  <si>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</si>
  <si>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</si>
  <si>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</si>
  <si>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</si>
  <si>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</si>
  <si>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</si>
  <si>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</si>
  <si>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</si>
  <si>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</si>
  <si>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</si>
  <si>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</si>
  <si>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</si>
  <si>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</si>
  <si>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</si>
  <si>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</si>
  <si>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</si>
  <si>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</si>
  <si>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</si>
  <si>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</si>
  <si>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</si>
  <si>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</si>
  <si>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</si>
  <si>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</si>
  <si>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</si>
  <si>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</si>
  <si>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</si>
  <si>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</si>
  <si>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</si>
  <si>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</si>
  <si>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</si>
  <si>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</si>
  <si>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</si>
  <si>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</si>
  <si>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</si>
  <si>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</si>
  <si>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</si>
  <si>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</si>
  <si>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</si>
  <si>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</si>
  <si>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</si>
  <si>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</si>
  <si>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</si>
  <si>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</si>
  <si>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</si>
  <si>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</si>
  <si>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</si>
  <si>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</si>
  <si>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</si>
  <si>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</si>
  <si>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</si>
  <si>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</si>
  <si>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</si>
  <si>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</si>
  <si>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</si>
  <si>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</si>
  <si>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</si>
  <si>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</si>
  <si>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</si>
  <si>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</si>
  <si>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</si>
  <si>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</si>
  <si>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</si>
  <si>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</si>
  <si>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</si>
  <si>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</si>
  <si>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</si>
  <si>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</si>
  <si>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</si>
  <si>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</si>
  <si>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</si>
  <si>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</si>
  <si>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</si>
  <si>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</si>
  <si>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</si>
  <si>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</si>
  <si>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</si>
  <si>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</si>
  <si>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</si>
  <si>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</si>
  <si>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</si>
  <si>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</si>
  <si>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</si>
  <si>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</si>
  <si>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</si>
  <si>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</si>
  <si>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</si>
  <si>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</si>
  <si>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</si>
  <si>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</si>
  <si>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</si>
  <si>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</si>
  <si>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</si>
  <si>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</si>
  <si>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</si>
  <si>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</si>
  <si>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</si>
  <si>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</si>
  <si>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</si>
  <si>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</si>
  <si>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</si>
  <si>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</si>
  <si>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</si>
  <si>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</si>
  <si>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</si>
  <si>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</si>
  <si>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</si>
  <si>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</si>
  <si>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</si>
  <si>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</si>
  <si>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</si>
  <si>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</si>
  <si>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</si>
  <si>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</si>
  <si>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</si>
  <si>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</si>
  <si>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</si>
  <si>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</si>
  <si>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</si>
  <si>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</si>
  <si>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</si>
  <si>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</si>
  <si>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</si>
  <si>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</si>
  <si>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</si>
  <si>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</si>
  <si>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</si>
  <si>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</si>
  <si>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</si>
  <si>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</si>
  <si>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</si>
  <si>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</si>
  <si>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</si>
  <si>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</si>
  <si>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</si>
  <si>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</si>
  <si>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</si>
  <si>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</si>
  <si>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</si>
  <si>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</si>
  <si>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</si>
  <si>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</si>
  <si>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</si>
  <si>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</si>
  <si>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</si>
  <si>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</si>
  <si>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</si>
  <si>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</si>
  <si>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</si>
  <si>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</si>
  <si>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</si>
  <si>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</si>
  <si>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</si>
  <si>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</si>
  <si>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</si>
  <si>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</si>
  <si>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</si>
  <si>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</si>
  <si>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</si>
  <si>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</si>
  <si>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</si>
  <si>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</si>
  <si>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</si>
  <si>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</si>
  <si>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</si>
  <si>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</si>
  <si>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</si>
  <si>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</si>
  <si>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</si>
  <si>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</si>
  <si>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</si>
  <si>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</si>
  <si>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</si>
  <si>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</si>
  <si>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</si>
  <si>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</si>
  <si>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</si>
  <si>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</si>
  <si>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</si>
  <si>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</si>
  <si>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</si>
  <si>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</si>
  <si>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</si>
  <si>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</si>
  <si>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</si>
  <si>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</si>
  <si>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</si>
  <si>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</si>
  <si>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</si>
  <si>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</si>
  <si>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</si>
  <si>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</si>
  <si>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</si>
  <si>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</si>
  <si>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</si>
  <si>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</si>
  <si>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</si>
  <si>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</si>
  <si>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</si>
  <si>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</si>
  <si>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</si>
  <si>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</si>
  <si>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</si>
  <si>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</si>
  <si>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</si>
  <si>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</si>
  <si>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</si>
  <si>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</si>
  <si>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</si>
  <si>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</si>
  <si>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</si>
  <si>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</si>
  <si>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</si>
  <si>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</si>
  <si>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</si>
  <si>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</si>
  <si>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</si>
  <si>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</si>
  <si>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</si>
  <si>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</si>
  <si>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</si>
  <si>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</si>
  <si>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</si>
  <si>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</si>
  <si>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</si>
  <si>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</si>
  <si>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</si>
  <si>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</si>
  <si>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</si>
  <si>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</si>
  <si>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</si>
  <si>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</si>
  <si>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</si>
  <si>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</si>
  <si>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</si>
  <si>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</si>
  <si>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</si>
  <si>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</si>
  <si>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</si>
  <si>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</si>
  <si>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</si>
  <si>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</si>
  <si>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</si>
  <si>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</si>
  <si>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</si>
  <si>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</si>
  <si>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</si>
  <si>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</si>
  <si>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</si>
  <si>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</si>
  <si>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</si>
  <si>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</si>
  <si>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</si>
  <si>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</si>
  <si>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</si>
  <si>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</si>
  <si>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</si>
  <si>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</si>
  <si>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</si>
  <si>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</si>
  <si>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</si>
  <si>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</si>
  <si>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</si>
  <si>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</si>
  <si>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</si>
  <si>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</si>
  <si>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</si>
  <si>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</si>
  <si>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</si>
  <si>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</si>
  <si>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</si>
  <si>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</si>
  <si>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</si>
  <si>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</si>
  <si>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</si>
  <si>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</si>
  <si>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1998</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</si>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</sst>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31400</v>
      </c>
      <c r="F24" s="3419" t="str">
        <f t="shared" si="0"/>
        <v>NA</v>
      </c>
      <c r="G24" s="3395">
        <v>691.08545454545458</v>
      </c>
      <c r="H24" s="3374">
        <f t="shared" si="1"/>
        <v>2533.98</v>
      </c>
      <c r="I24" s="2579" t="s">
        <v>2147</v>
      </c>
      <c r="J24" s="2580"/>
      <c r="M24" s="125"/>
    </row>
    <row r="25" spans="2:13" ht="18" customHeight="1" x14ac:dyDescent="0.2">
      <c r="B25" s="165"/>
      <c r="C25" s="1563"/>
      <c r="D25" s="1452" t="s">
        <v>1789</v>
      </c>
      <c r="E25" s="3414">
        <v>20100</v>
      </c>
      <c r="F25" s="3419" t="str">
        <f t="shared" si="0"/>
        <v>NA</v>
      </c>
      <c r="G25" s="3395">
        <v>381.7264090909091</v>
      </c>
      <c r="H25" s="3374">
        <f t="shared" si="1"/>
        <v>1399.6634999999999</v>
      </c>
      <c r="I25" s="2579" t="s">
        <v>2147</v>
      </c>
      <c r="J25" s="2580"/>
      <c r="M25" s="125"/>
    </row>
    <row r="26" spans="2:13" ht="18" customHeight="1" x14ac:dyDescent="0.2">
      <c r="B26" s="165"/>
      <c r="C26" s="1563"/>
      <c r="D26" s="1452" t="s">
        <v>1790</v>
      </c>
      <c r="E26" s="3418">
        <v>12550.156976532719</v>
      </c>
      <c r="F26" s="3419">
        <f t="shared" si="0"/>
        <v>25.261363636363633</v>
      </c>
      <c r="G26" s="3395">
        <v>317.03407907763903</v>
      </c>
      <c r="H26" s="3374">
        <f t="shared" si="1"/>
        <v>1162.4582899513432</v>
      </c>
      <c r="I26" s="3395">
        <v>1162.458289951343</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38488.967881040524</v>
      </c>
      <c r="F28" s="3419">
        <f>IF(I28="NA","NA",I28/(44/12)*1000/E28)</f>
        <v>0.92720082400870751</v>
      </c>
      <c r="G28" s="3395">
        <v>672.48286949362603</v>
      </c>
      <c r="H28" s="3374">
        <f>IF(G28="NA","NA",IF(G28="NO","NO",G28*44/12))</f>
        <v>2465.7705214766288</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119435.25604357882</v>
      </c>
      <c r="F31" s="3359">
        <f t="shared" ref="F31" si="3">IF(I31="NA","NA",I31/(44/12)*1000/E31)</f>
        <v>2.9532408896371916</v>
      </c>
      <c r="G31" s="3423">
        <f>SUM(G11:G29)</f>
        <v>2322.6828336647145</v>
      </c>
      <c r="H31" s="3371">
        <f t="shared" ref="H31" si="4">IF(G31="NA","NA",IF(G31="NO","NO",G31*44/12))</f>
        <v>8516.5037234372867</v>
      </c>
      <c r="I31" s="3423">
        <f>SUM(I11:I29)</f>
        <v>1293.3106333113431</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9534.7474817664934</v>
      </c>
      <c r="F35" s="3419">
        <f>IF(I35="NA","NA",I35/(44/12)*1000/E35)</f>
        <v>24.605057172696299</v>
      </c>
      <c r="G35" s="3399">
        <v>234.6030069160866</v>
      </c>
      <c r="H35" s="3396">
        <f t="shared" si="5"/>
        <v>860.2110253589841</v>
      </c>
      <c r="I35" s="3395">
        <v>860.21102535898422</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96698.430399999997</v>
      </c>
      <c r="F41" s="3419">
        <f t="shared" ref="F41" si="8">IF(I41="NA","NA",I41/(44/12)*1000/E41)</f>
        <v>28.639297108548643</v>
      </c>
      <c r="G41" s="3395">
        <v>2795.346797980731</v>
      </c>
      <c r="H41" s="3396">
        <f t="shared" si="5"/>
        <v>10249.604925929347</v>
      </c>
      <c r="I41" s="3395">
        <v>10154.375286571676</v>
      </c>
      <c r="J41" s="3416" t="s">
        <v>2274</v>
      </c>
      <c r="M41" s="125"/>
    </row>
    <row r="42" spans="2:13" ht="18" customHeight="1" x14ac:dyDescent="0.2">
      <c r="B42" s="1434"/>
      <c r="C42" s="1564"/>
      <c r="D42" s="1452" t="s">
        <v>1792</v>
      </c>
      <c r="E42" s="3414">
        <v>4767.6701844492291</v>
      </c>
      <c r="F42" s="3419">
        <f>IF(I42="NA","NA",I42/(44/12)*1000/E42)</f>
        <v>22.309090909090909</v>
      </c>
      <c r="G42" s="3395">
        <v>106.36238756944007</v>
      </c>
      <c r="H42" s="3396">
        <f t="shared" si="5"/>
        <v>389.99542108794691</v>
      </c>
      <c r="I42" s="3395">
        <v>389.99542108794691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111000.84806621572</v>
      </c>
      <c r="F45" s="3343">
        <f>IF(I45="NA","NA",I45/(44/12)*1000/E45)</f>
        <v>28.020871253037779</v>
      </c>
      <c r="G45" s="3423">
        <f>SUM(G33:G43)</f>
        <v>3136.3121924662578</v>
      </c>
      <c r="H45" s="3371">
        <f t="shared" ref="H45" si="9">IF(G45="NA","NA",IF(G45="NO","NO",G45*44/12))</f>
        <v>11499.811372376278</v>
      </c>
      <c r="I45" s="3423">
        <f>SUM(I33:I43)</f>
        <v>11404.581733018607</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21986.069456638485</v>
      </c>
      <c r="F47" s="3419">
        <f t="shared" ref="F47" si="10">IF(I47="NA","NA",I47/(44/12)*1000/E47)</f>
        <v>14.02143227434499</v>
      </c>
      <c r="G47" s="3395">
        <v>308.27618386530156</v>
      </c>
      <c r="H47" s="3374">
        <f t="shared" ref="H47" si="11">IF(G47="NA","NA",IF(G47="NO","NO",G47*44/12))</f>
        <v>1130.3460075061057</v>
      </c>
      <c r="I47" s="3395">
        <v>1130.3460075061055</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21986.069456638485</v>
      </c>
      <c r="F50" s="3343">
        <f>IF(I50="NA","NA",I50/(44/12)*1000/E50)</f>
        <v>14.02143227434499</v>
      </c>
      <c r="G50" s="3423">
        <f>SUM(G47:G48)</f>
        <v>308.27618386530156</v>
      </c>
      <c r="H50" s="3397">
        <f t="shared" ref="H50" si="13">IF(G50="NA","NA",IF(G50="NO","NO",G50*44/12))</f>
        <v>1130.3460075061057</v>
      </c>
      <c r="I50" s="3423">
        <f>SUM(I47:I48)</f>
        <v>1130.3460075061055</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252422.17356643302</v>
      </c>
      <c r="F55" s="3354">
        <f t="shared" si="14"/>
        <v>14.940596085654001</v>
      </c>
      <c r="G55" s="3423">
        <f>SUM(G31,G45,G50,G54)</f>
        <v>5767.2712099962737</v>
      </c>
      <c r="H55" s="3398">
        <f t="shared" si="15"/>
        <v>21146.661103319671</v>
      </c>
      <c r="I55" s="3423">
        <f>SUM(I31,I45,I50,I54)</f>
        <v>13828.238373836055</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343.865342</v>
      </c>
      <c r="D10" s="3127"/>
      <c r="E10" s="3127"/>
      <c r="F10" s="3078">
        <f>SUM(F11,F18)</f>
        <v>1017.4840896373296</v>
      </c>
      <c r="G10" s="3078">
        <f>SUM(G11,G18)</f>
        <v>1320.7717624290267</v>
      </c>
      <c r="H10" s="3078">
        <f>H11</f>
        <v>-3.5646695086700002</v>
      </c>
      <c r="I10" s="3128" t="s">
        <v>2146</v>
      </c>
      <c r="L10" s="3750"/>
    </row>
    <row r="11" spans="2:12" ht="18" customHeight="1" x14ac:dyDescent="0.2">
      <c r="B11" s="1252" t="s">
        <v>334</v>
      </c>
      <c r="C11" s="3033">
        <v>82.064413999999999</v>
      </c>
      <c r="D11" s="3078">
        <f>IFERROR(SUM(F11,H11)/$C$11,"NA")</f>
        <v>9.7812677481692418</v>
      </c>
      <c r="E11" s="3078">
        <f>IFERROR(SUM(G11,I11)/$C$11,"NA")</f>
        <v>15.236996552118173</v>
      </c>
      <c r="F11" s="3078">
        <f>SUM(F12:F16)</f>
        <v>806.25867543927836</v>
      </c>
      <c r="G11" s="3078">
        <f>SUM(G12:G16)</f>
        <v>1250.4151931695983</v>
      </c>
      <c r="H11" s="3078">
        <f>H12</f>
        <v>-3.5646695086700002</v>
      </c>
      <c r="I11" s="3128" t="s">
        <v>2146</v>
      </c>
    </row>
    <row r="12" spans="2:12" ht="18" customHeight="1" x14ac:dyDescent="0.2">
      <c r="B12" s="160" t="s">
        <v>335</v>
      </c>
      <c r="C12" s="3046"/>
      <c r="D12" s="3078">
        <f t="shared" ref="D12:D14" si="0">IFERROR(SUM(F12,H12)/$C$11,"NA")</f>
        <v>9.0673006708401633</v>
      </c>
      <c r="E12" s="3078">
        <f>IFERROR(SUM(G12,I12)/$C$11,"NA")</f>
        <v>15.114316512459265</v>
      </c>
      <c r="F12" s="3126">
        <v>747.66738562297485</v>
      </c>
      <c r="G12" s="3126">
        <v>1240.3475276054933</v>
      </c>
      <c r="H12" s="3126">
        <v>-3.5646695086700002</v>
      </c>
      <c r="I12" s="3034" t="s">
        <v>2146</v>
      </c>
    </row>
    <row r="13" spans="2:12" ht="18" customHeight="1" x14ac:dyDescent="0.2">
      <c r="B13" s="160" t="s">
        <v>336</v>
      </c>
      <c r="C13" s="3046"/>
      <c r="D13" s="3078">
        <f t="shared" si="0"/>
        <v>0.37814002289029935</v>
      </c>
      <c r="E13" s="3078" t="s">
        <v>2147</v>
      </c>
      <c r="F13" s="3126">
        <v>31.031839388439003</v>
      </c>
      <c r="G13" s="3126" t="s">
        <v>2154</v>
      </c>
      <c r="H13" s="3126" t="s">
        <v>2146</v>
      </c>
      <c r="I13" s="3034" t="s">
        <v>2146</v>
      </c>
    </row>
    <row r="14" spans="2:12" ht="18" customHeight="1" x14ac:dyDescent="0.2">
      <c r="B14" s="160" t="s">
        <v>337</v>
      </c>
      <c r="C14" s="3046"/>
      <c r="D14" s="3078">
        <f t="shared" si="0"/>
        <v>0.3354371411344369</v>
      </c>
      <c r="E14" s="3078" t="s">
        <v>2147</v>
      </c>
      <c r="F14" s="3126">
        <v>27.527452421032859</v>
      </c>
      <c r="G14" s="3126" t="s">
        <v>2147</v>
      </c>
      <c r="H14" s="3126" t="s">
        <v>2146</v>
      </c>
      <c r="I14" s="3034" t="s">
        <v>2146</v>
      </c>
    </row>
    <row r="15" spans="2:12" ht="18" customHeight="1" x14ac:dyDescent="0.2">
      <c r="B15" s="160" t="s">
        <v>338</v>
      </c>
      <c r="C15" s="3033">
        <v>3.5646695086700001E-3</v>
      </c>
      <c r="D15" s="3078">
        <f>IFERROR(SUM(F15,H15)/$C15,"NA")</f>
        <v>8.9764301441764243</v>
      </c>
      <c r="E15" s="3078">
        <f>IFERROR(SUM(G15,I15)/$C15,"NA")</f>
        <v>2824.291435606729</v>
      </c>
      <c r="F15" s="3126">
        <v>3.1998006831651951E-2</v>
      </c>
      <c r="G15" s="3126">
        <v>10.067665564105129</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261.800928</v>
      </c>
      <c r="D18" s="3078">
        <f>IFERROR(SUM(F18,H18)/$C$18,"NA")</f>
        <v>0.80681690401819839</v>
      </c>
      <c r="E18" s="3078">
        <f>IFERROR(SUM(G18,I18)/$C$18,"NA")</f>
        <v>0.2687407176013844</v>
      </c>
      <c r="F18" s="3078">
        <f>SUM(F19:F21)</f>
        <v>211.22541419805125</v>
      </c>
      <c r="G18" s="3131">
        <f t="shared" ref="G18" si="2">SUM(G19:G21)</f>
        <v>70.356569259428369</v>
      </c>
      <c r="H18" s="3078" t="s">
        <v>2146</v>
      </c>
      <c r="I18" s="3128" t="s">
        <v>2146</v>
      </c>
    </row>
    <row r="19" spans="2:9" ht="18" customHeight="1" x14ac:dyDescent="0.2">
      <c r="B19" s="160" t="s">
        <v>341</v>
      </c>
      <c r="C19" s="3046"/>
      <c r="D19" s="3078">
        <f>IFERROR(SUM(F19,H19)/$C$18,"NA")</f>
        <v>0.80681690401819839</v>
      </c>
      <c r="E19" s="3078">
        <f>IFERROR(SUM(G19,I19)/$C$18,"NA")</f>
        <v>0.2687407176013844</v>
      </c>
      <c r="F19" s="3126">
        <v>211.22541419805125</v>
      </c>
      <c r="G19" s="3126">
        <v>70.356569259428369</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472.79281969214941</v>
      </c>
      <c r="J10" s="3145">
        <f>IF(SUM(J11:J16)=0,"NO",SUM(J11:J16))</f>
        <v>3.2210873518660805</v>
      </c>
      <c r="K10" s="1913">
        <f>IF(SUM(K11:K16)=0,"NO",SUM(K11:K16))</f>
        <v>1.4222277710355528E-2</v>
      </c>
      <c r="L10" s="3146" t="s">
        <v>2146</v>
      </c>
    </row>
    <row r="11" spans="2:12" ht="18" customHeight="1" x14ac:dyDescent="0.2">
      <c r="B11" s="1252" t="s">
        <v>363</v>
      </c>
      <c r="C11" s="2165" t="s">
        <v>2159</v>
      </c>
      <c r="D11" s="2165" t="s">
        <v>2275</v>
      </c>
      <c r="E11" s="691">
        <v>93.946431574484706</v>
      </c>
      <c r="F11" s="1913">
        <f>I11*1000000/$E11</f>
        <v>3199.9999999999986</v>
      </c>
      <c r="G11" s="1913">
        <f>J11*1000000/$E11</f>
        <v>0.33333333333333309</v>
      </c>
      <c r="H11" s="1913">
        <f>K11*1000000/$E11</f>
        <v>0.22580645161290319</v>
      </c>
      <c r="I11" s="3141">
        <v>0.30062858103835094</v>
      </c>
      <c r="J11" s="691">
        <v>3.1315477191494883E-5</v>
      </c>
      <c r="K11" s="3142">
        <v>2.1213710355528799E-5</v>
      </c>
      <c r="L11" s="3093" t="s">
        <v>2146</v>
      </c>
    </row>
    <row r="12" spans="2:12" ht="18" customHeight="1" x14ac:dyDescent="0.2">
      <c r="B12" s="1252" t="s">
        <v>364</v>
      </c>
      <c r="C12" s="2165" t="s">
        <v>2160</v>
      </c>
      <c r="D12" s="2165" t="s">
        <v>2161</v>
      </c>
      <c r="E12" s="691">
        <v>1256.5999999999999</v>
      </c>
      <c r="F12" s="1913" t="s">
        <v>2147</v>
      </c>
      <c r="G12" s="1913">
        <f>J12*1000000/$E12</f>
        <v>221.23189559127803</v>
      </c>
      <c r="H12" s="3096"/>
      <c r="I12" s="3147" t="s">
        <v>2147</v>
      </c>
      <c r="J12" s="691">
        <v>0.27799999999999997</v>
      </c>
      <c r="K12" s="3046"/>
      <c r="L12" s="3093" t="s">
        <v>2146</v>
      </c>
    </row>
    <row r="13" spans="2:12" ht="18" customHeight="1" x14ac:dyDescent="0.2">
      <c r="B13" s="1252" t="s">
        <v>365</v>
      </c>
      <c r="C13" s="2165" t="s">
        <v>2162</v>
      </c>
      <c r="D13" s="2165" t="s">
        <v>2161</v>
      </c>
      <c r="E13" s="691">
        <v>845.2</v>
      </c>
      <c r="F13" s="1913" t="s">
        <v>2147</v>
      </c>
      <c r="G13" s="1913">
        <f>J13*1000000/$E13</f>
        <v>262.84784666351152</v>
      </c>
      <c r="H13" s="3096"/>
      <c r="I13" s="3147" t="s">
        <v>2147</v>
      </c>
      <c r="J13" s="691">
        <v>0.22215899999999994</v>
      </c>
      <c r="K13" s="3046"/>
      <c r="L13" s="3093" t="s">
        <v>2146</v>
      </c>
    </row>
    <row r="14" spans="2:12" ht="18" customHeight="1" x14ac:dyDescent="0.2">
      <c r="B14" s="1252" t="s">
        <v>366</v>
      </c>
      <c r="C14" s="2165" t="s">
        <v>2163</v>
      </c>
      <c r="D14" s="2165" t="s">
        <v>2161</v>
      </c>
      <c r="E14" s="691">
        <v>1671.5</v>
      </c>
      <c r="F14" s="1913">
        <f>I14*1000000/$E14</f>
        <v>282675.55555555556</v>
      </c>
      <c r="G14" s="1913">
        <f>J14*1000000/$E14</f>
        <v>1598.2444444444445</v>
      </c>
      <c r="H14" s="1913">
        <f>K14*1000000/$E14</f>
        <v>8.4959999999999987</v>
      </c>
      <c r="I14" s="3147">
        <v>472.49219111111108</v>
      </c>
      <c r="J14" s="691">
        <v>2.6714655888888892</v>
      </c>
      <c r="K14" s="3142">
        <v>1.4201063999999999E-2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4.9431447499999996E-2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1929</v>
      </c>
      <c r="F18" s="1913" t="s">
        <v>2147</v>
      </c>
      <c r="G18" s="1913">
        <f>J18*1000000/$E18</f>
        <v>25.625426386728872</v>
      </c>
      <c r="H18" s="3148"/>
      <c r="I18" s="3150" t="s">
        <v>2147</v>
      </c>
      <c r="J18" s="2190">
        <v>4.9431447499999996E-2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20.612197355061294</v>
      </c>
      <c r="J21" s="3155">
        <f>IF(SUM(J22:J27)=0,"NO",SUM(J22:J27))</f>
        <v>149.82974180937745</v>
      </c>
      <c r="K21" s="3067">
        <f>IF(SUM(K22:K27)=0,"NO",SUM(K22:K27))</f>
        <v>3.2981912300359914E-4</v>
      </c>
      <c r="L21" s="3068" t="str">
        <f>IF(SUM(L22:L27)=0,"NO",SUM(L22:L27))</f>
        <v>NO</v>
      </c>
    </row>
    <row r="22" spans="2:12" ht="18" customHeight="1" x14ac:dyDescent="0.2">
      <c r="B22" s="1469" t="s">
        <v>371</v>
      </c>
      <c r="C22" s="2165" t="s">
        <v>2164</v>
      </c>
      <c r="D22" s="2165" t="s">
        <v>2147</v>
      </c>
      <c r="E22" s="691">
        <v>167.20870183635014</v>
      </c>
      <c r="F22" s="1913">
        <f>I22*1000000/$E22</f>
        <v>67056.979565894537</v>
      </c>
      <c r="G22" s="1913">
        <f>J22*1000000/$E22</f>
        <v>1625.9737544345517</v>
      </c>
      <c r="H22" s="1913">
        <f>K22*1000000/$E22</f>
        <v>1.9724997525930106</v>
      </c>
      <c r="I22" s="3141">
        <v>11.212510502279885</v>
      </c>
      <c r="J22" s="692">
        <v>0.27187696069897777</v>
      </c>
      <c r="K22" s="4141">
        <v>3.2981912300359914E-4</v>
      </c>
      <c r="L22" s="3156" t="s">
        <v>2146</v>
      </c>
    </row>
    <row r="23" spans="2:12" ht="18" customHeight="1" x14ac:dyDescent="0.2">
      <c r="B23" s="1252" t="s">
        <v>372</v>
      </c>
      <c r="C23" s="2165" t="s">
        <v>2165</v>
      </c>
      <c r="D23" s="2165" t="s">
        <v>2161</v>
      </c>
      <c r="E23" s="691">
        <v>2408.7361222190602</v>
      </c>
      <c r="F23" s="1913">
        <f>I23*1000000/$E23</f>
        <v>210.86602694963636</v>
      </c>
      <c r="G23" s="1913">
        <f>J23*1000000/$E23</f>
        <v>2647.9288661534329</v>
      </c>
      <c r="H23" s="3096"/>
      <c r="I23" s="3147">
        <v>0.5079206160624069</v>
      </c>
      <c r="J23" s="691">
        <v>6.3781619089703323</v>
      </c>
      <c r="K23" s="3046"/>
      <c r="L23" s="3156" t="s">
        <v>2146</v>
      </c>
    </row>
    <row r="24" spans="2:12" ht="18" customHeight="1" x14ac:dyDescent="0.2">
      <c r="B24" s="1252" t="s">
        <v>373</v>
      </c>
      <c r="C24" s="2165" t="s">
        <v>2165</v>
      </c>
      <c r="D24" s="2165" t="s">
        <v>2161</v>
      </c>
      <c r="E24" s="691">
        <v>2408.7361222190602</v>
      </c>
      <c r="F24" s="1913">
        <f t="shared" ref="F24:F26" si="0">I24*1000000/$E24</f>
        <v>867.75719618798178</v>
      </c>
      <c r="G24" s="1913">
        <f t="shared" ref="G24:G26" si="1">J24*1000000/$E24</f>
        <v>4876.5219612217343</v>
      </c>
      <c r="H24" s="1879"/>
      <c r="I24" s="691">
        <v>2.0901981037735236</v>
      </c>
      <c r="J24" s="691">
        <v>11.746254598789326</v>
      </c>
      <c r="K24" s="1914"/>
      <c r="L24" s="3093" t="str">
        <f>IF(Table1.C!E21="NO","NO",-Table1.C!E21)</f>
        <v>NO</v>
      </c>
    </row>
    <row r="25" spans="2:12" ht="18" customHeight="1" x14ac:dyDescent="0.2">
      <c r="B25" s="1252" t="s">
        <v>374</v>
      </c>
      <c r="C25" s="2165" t="s">
        <v>2276</v>
      </c>
      <c r="D25" s="2165" t="s">
        <v>2171</v>
      </c>
      <c r="E25" s="691">
        <v>14115.999999999998</v>
      </c>
      <c r="F25" s="1913">
        <f t="shared" si="0"/>
        <v>20.000000000000004</v>
      </c>
      <c r="G25" s="1913">
        <f t="shared" si="1"/>
        <v>414.28571428571433</v>
      </c>
      <c r="H25" s="3096"/>
      <c r="I25" s="3147">
        <v>0.28232000000000002</v>
      </c>
      <c r="J25" s="691">
        <v>5.8480571428571428</v>
      </c>
      <c r="K25" s="3046"/>
      <c r="L25" s="3093" t="s">
        <v>2146</v>
      </c>
    </row>
    <row r="26" spans="2:12" ht="18" customHeight="1" x14ac:dyDescent="0.2">
      <c r="B26" s="1252" t="s">
        <v>375</v>
      </c>
      <c r="C26" s="2165" t="s">
        <v>2166</v>
      </c>
      <c r="D26" s="2165" t="s">
        <v>2161</v>
      </c>
      <c r="E26" s="691">
        <v>328.06319649029501</v>
      </c>
      <c r="F26" s="1913">
        <f t="shared" si="0"/>
        <v>18616.714515682615</v>
      </c>
      <c r="G26" s="1913">
        <f t="shared" si="1"/>
        <v>346827.82127385889</v>
      </c>
      <c r="H26" s="3096"/>
      <c r="I26" s="3147">
        <v>6.1074588721621126</v>
      </c>
      <c r="J26" s="691">
        <v>113.78144367886689</v>
      </c>
      <c r="K26" s="3046"/>
      <c r="L26" s="3093" t="s">
        <v>2146</v>
      </c>
    </row>
    <row r="27" spans="2:12" ht="18" customHeight="1" x14ac:dyDescent="0.2">
      <c r="B27" s="2414" t="s">
        <v>376</v>
      </c>
      <c r="C27" s="621"/>
      <c r="D27" s="621"/>
      <c r="E27" s="628"/>
      <c r="F27" s="628"/>
      <c r="G27" s="628"/>
      <c r="H27" s="3148"/>
      <c r="I27" s="1913">
        <f>IF(SUM(I29:I31)=0,"NO",SUM(I29:I31))</f>
        <v>0.41178926078336564</v>
      </c>
      <c r="J27" s="1913">
        <f>IF(SUM(J29:J31)=0,"NO",SUM(J29:J31))</f>
        <v>11.803947519194791</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0.41178926078336564</v>
      </c>
      <c r="J29" s="3150">
        <v>7.2208092189947912</v>
      </c>
      <c r="K29" s="3132"/>
      <c r="L29" s="3102" t="s">
        <v>2146</v>
      </c>
    </row>
    <row r="30" spans="2:12" ht="18" customHeight="1" x14ac:dyDescent="0.2">
      <c r="B30" s="2415" t="s">
        <v>378</v>
      </c>
      <c r="C30" s="2165" t="s">
        <v>2156</v>
      </c>
      <c r="D30" s="2165" t="s">
        <v>2155</v>
      </c>
      <c r="E30" s="691">
        <v>6503</v>
      </c>
      <c r="F30" s="1913" t="s">
        <v>2147</v>
      </c>
      <c r="G30" s="1913">
        <f t="shared" ref="G30" si="2">J30*1000000/$E30</f>
        <v>23.395094602491152</v>
      </c>
      <c r="H30" s="3148"/>
      <c r="I30" s="3150" t="s">
        <v>2147</v>
      </c>
      <c r="J30" s="3150">
        <v>0.15213830019999997</v>
      </c>
      <c r="K30" s="3132"/>
      <c r="L30" s="3102" t="s">
        <v>2146</v>
      </c>
    </row>
    <row r="31" spans="2:12" ht="18" customHeight="1" x14ac:dyDescent="0.2">
      <c r="B31" s="1242" t="s">
        <v>379</v>
      </c>
      <c r="C31" s="621"/>
      <c r="D31" s="621"/>
      <c r="E31" s="628"/>
      <c r="F31" s="628"/>
      <c r="G31" s="628"/>
      <c r="H31" s="3148"/>
      <c r="I31" s="1913" t="s">
        <v>2147</v>
      </c>
      <c r="J31" s="1913">
        <f>IF(SUM(J32:J34)=0,"NO",SUM(J32:J34))</f>
        <v>4.431</v>
      </c>
      <c r="K31" s="3132"/>
      <c r="L31" s="3149" t="str">
        <f>IF(SUM(L32:L34)=0,"NO",SUM(L32:L34))</f>
        <v>NO</v>
      </c>
    </row>
    <row r="32" spans="2:12" ht="18" customHeight="1" x14ac:dyDescent="0.2">
      <c r="B32" s="2592" t="s">
        <v>2173</v>
      </c>
      <c r="C32" s="310" t="s">
        <v>2172</v>
      </c>
      <c r="D32" s="310" t="s">
        <v>2172</v>
      </c>
      <c r="E32" s="2190">
        <v>2</v>
      </c>
      <c r="F32" s="3095" t="s">
        <v>2147</v>
      </c>
      <c r="G32" s="3095">
        <f t="shared" ref="G32:G33" si="3">J32*1000000/$E32</f>
        <v>554500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1480000</v>
      </c>
      <c r="H34" s="3158"/>
      <c r="I34" s="3159" t="s">
        <v>2147</v>
      </c>
      <c r="J34" s="3159">
        <v>1.48</v>
      </c>
      <c r="K34" s="3160"/>
      <c r="L34" s="3161" t="s">
        <v>2146</v>
      </c>
    </row>
    <row r="35" spans="2:12" ht="18" customHeight="1" x14ac:dyDescent="0.2">
      <c r="B35" s="1255" t="s">
        <v>380</v>
      </c>
      <c r="C35" s="2167"/>
      <c r="D35" s="2167"/>
      <c r="E35" s="3216"/>
      <c r="F35" s="3216"/>
      <c r="G35" s="3216"/>
      <c r="H35" s="3216"/>
      <c r="I35" s="3155">
        <f>IF(SUM(I36,I40)=0,"NO",SUM(I36,I40))</f>
        <v>5087.781862971935</v>
      </c>
      <c r="J35" s="3067">
        <f>IF(SUM(J36,J40)=0,"NO",SUM(J36,J40))</f>
        <v>147.63357542430799</v>
      </c>
      <c r="K35" s="3067">
        <f>IF(SUM(K36,K40)=0,"NO",SUM(K36,K40))</f>
        <v>7.1252771641855769E-2</v>
      </c>
      <c r="L35" s="3068" t="str">
        <f>IF(SUM(L36,L40)=0,"NO",SUM(L36,L40))</f>
        <v>NO</v>
      </c>
    </row>
    <row r="36" spans="2:12" ht="18" customHeight="1" x14ac:dyDescent="0.2">
      <c r="B36" s="1468" t="s">
        <v>381</v>
      </c>
      <c r="C36" s="2170"/>
      <c r="D36" s="2170"/>
      <c r="E36" s="3025"/>
      <c r="F36" s="3025"/>
      <c r="G36" s="3025"/>
      <c r="H36" s="3025"/>
      <c r="I36" s="3162">
        <f>IF(SUM(I37:I39)=0,"NO",SUM(I37:I39))</f>
        <v>2815.4783196219437</v>
      </c>
      <c r="J36" s="1913">
        <f>IF(SUM(J37:J39)=0,"NO",SUM(J37:J39))</f>
        <v>130.35003030882049</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3665.3361222190601</v>
      </c>
      <c r="F39" s="1913">
        <f t="shared" ref="F39" si="5">SUM(I39,L39)*1000000/$E39</f>
        <v>768136.46163435688</v>
      </c>
      <c r="G39" s="1913">
        <f t="shared" ref="G39" si="6">J39*1000000/$E39</f>
        <v>35562.913185136276</v>
      </c>
      <c r="H39" s="1913">
        <f t="shared" ref="H39" si="7">K39*1000000/$E39</f>
        <v>0</v>
      </c>
      <c r="I39" s="691">
        <v>2815.4783196219437</v>
      </c>
      <c r="J39" s="691">
        <v>130.35003030882049</v>
      </c>
      <c r="K39" s="3132"/>
      <c r="L39" s="3093" t="s">
        <v>2146</v>
      </c>
    </row>
    <row r="40" spans="2:12" ht="18" customHeight="1" x14ac:dyDescent="0.2">
      <c r="B40" s="1468" t="s">
        <v>385</v>
      </c>
      <c r="C40" s="2170"/>
      <c r="D40" s="2170"/>
      <c r="E40" s="3025"/>
      <c r="F40" s="3025"/>
      <c r="G40" s="3025"/>
      <c r="H40" s="3025"/>
      <c r="I40" s="3162">
        <f>IF(SUM(I41:I43)=0,"NO",SUM(I41:I43))</f>
        <v>2272.3035433499908</v>
      </c>
      <c r="J40" s="3162">
        <f>IF(SUM(J41:J43)=0,"NO",SUM(J41:J43))</f>
        <v>17.283545115487509</v>
      </c>
      <c r="K40" s="1913">
        <f>IF(SUM(K41:K43)=0,"NO",SUM(K41:K43))</f>
        <v>7.1252771641855769E-2</v>
      </c>
      <c r="L40" s="3065" t="str">
        <f>IF(SUM(L41:L43)=0,"NO",SUM(L41:L43))</f>
        <v>NO</v>
      </c>
    </row>
    <row r="41" spans="2:12" ht="18" customHeight="1" x14ac:dyDescent="0.2">
      <c r="B41" s="1470" t="s">
        <v>386</v>
      </c>
      <c r="C41" s="277" t="s">
        <v>2169</v>
      </c>
      <c r="D41" s="277" t="s">
        <v>2170</v>
      </c>
      <c r="E41" s="691">
        <v>444.22936188441577</v>
      </c>
      <c r="F41" s="1913">
        <f t="shared" ref="F41:F42" si="8">SUM(I41,L41)*1000000/$E41</f>
        <v>2900000.0000000005</v>
      </c>
      <c r="G41" s="1913">
        <f t="shared" ref="G41:H42" si="9">J41*1000000/$E41</f>
        <v>35000.000000000007</v>
      </c>
      <c r="H41" s="1913">
        <f t="shared" si="9"/>
        <v>81</v>
      </c>
      <c r="I41" s="692">
        <v>1288.2651494648057</v>
      </c>
      <c r="J41" s="692">
        <v>15.548027665954555</v>
      </c>
      <c r="K41" s="692">
        <v>3.5982578312637681E-2</v>
      </c>
      <c r="L41" s="3156" t="s">
        <v>2146</v>
      </c>
    </row>
    <row r="42" spans="2:12" ht="18" customHeight="1" x14ac:dyDescent="0.2">
      <c r="B42" s="1470" t="s">
        <v>387</v>
      </c>
      <c r="C42" s="277" t="s">
        <v>2169</v>
      </c>
      <c r="D42" s="277" t="s">
        <v>2170</v>
      </c>
      <c r="E42" s="691">
        <v>21113.2451518212</v>
      </c>
      <c r="F42" s="1913">
        <f t="shared" si="8"/>
        <v>46607.633587786149</v>
      </c>
      <c r="G42" s="1913">
        <f t="shared" si="9"/>
        <v>82.200411971404165</v>
      </c>
      <c r="H42" s="1913">
        <f t="shared" si="9"/>
        <v>1.6705245013543422</v>
      </c>
      <c r="I42" s="691">
        <v>984.03839388518486</v>
      </c>
      <c r="J42" s="691">
        <v>1.7355174495329542</v>
      </c>
      <c r="K42" s="691">
        <v>3.5270193329218089E-2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40.239428303280299</v>
      </c>
      <c r="M9" s="3358">
        <f>100*C10/SUM(C10,'Table1.A(a)s3'!C16)</f>
        <v>59.760571696719701</v>
      </c>
    </row>
    <row r="10" spans="1:13" ht="18" customHeight="1" thickTop="1" thickBot="1" x14ac:dyDescent="0.25">
      <c r="B10" s="223" t="s">
        <v>430</v>
      </c>
      <c r="C10" s="3338">
        <f>IF(SUM(C11:C13)=0,"NO",SUM(C11:C13))</f>
        <v>104790</v>
      </c>
      <c r="D10" s="3339"/>
      <c r="E10" s="3340"/>
      <c r="F10" s="3340"/>
      <c r="G10" s="3338">
        <f>IF(SUM(G11:G13)=0,"NO",SUM(G11:G13))</f>
        <v>7293.3839999999991</v>
      </c>
      <c r="H10" s="3338">
        <f>IF(SUM(H11:H13)=0,"NO",SUM(H11:H13))</f>
        <v>1.2182496666666667E-2</v>
      </c>
      <c r="I10" s="1154">
        <f>IF(SUM(I11:I13)=0,"NO",SUM(I11:I13))</f>
        <v>3.7203807064912282E-2</v>
      </c>
      <c r="J10" s="4"/>
      <c r="K10" s="68" t="s">
        <v>431</v>
      </c>
      <c r="L10" s="3359">
        <f>100-M10</f>
        <v>48.770618534950387</v>
      </c>
      <c r="M10" s="3360">
        <f>100*C14/SUM(C14,'Table1.A(a)s3'!C88)</f>
        <v>51.229381465049613</v>
      </c>
    </row>
    <row r="11" spans="1:13" ht="18" customHeight="1" x14ac:dyDescent="0.2">
      <c r="B11" s="1258" t="s">
        <v>178</v>
      </c>
      <c r="C11" s="3341">
        <v>104790</v>
      </c>
      <c r="D11" s="116">
        <f>IF(G11="NO","NA",G11*1000/$C11)</f>
        <v>69.599999999999994</v>
      </c>
      <c r="E11" s="116">
        <f t="shared" ref="E11:F13" si="0">IF(H11="NO","NA",H11*1000000/$C11)</f>
        <v>0.11625629035849477</v>
      </c>
      <c r="F11" s="116">
        <f t="shared" si="0"/>
        <v>0.35503203611902168</v>
      </c>
      <c r="G11" s="3062">
        <v>7293.3839999999991</v>
      </c>
      <c r="H11" s="3062">
        <v>1.2182496666666667E-2</v>
      </c>
      <c r="I11" s="3063">
        <v>3.7203807064912282E-2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30710</v>
      </c>
      <c r="D14" s="3348"/>
      <c r="E14" s="3349"/>
      <c r="F14" s="3350"/>
      <c r="G14" s="3347">
        <f>IF(SUM(G15:G18,G20:G22)=0,"NO",SUM(G15:G18,G20:G22))</f>
        <v>2239.6099999999997</v>
      </c>
      <c r="H14" s="3347">
        <f>IF(SUM(H15:H18,H20:H22)=0,"NO",SUM(H15:H18,H20:H22))</f>
        <v>0.21496999999999999</v>
      </c>
      <c r="I14" s="1155">
        <f>IF(SUM(I15:I18,I20:I22)=0,"NO",SUM(I15:I18,I20:I22))</f>
        <v>6.1420000000000009E-2</v>
      </c>
      <c r="J14" s="4"/>
      <c r="K14" s="1047"/>
      <c r="L14" s="1047"/>
      <c r="M14" s="1047"/>
    </row>
    <row r="15" spans="1:13" ht="18" customHeight="1" x14ac:dyDescent="0.2">
      <c r="B15" s="1260" t="s">
        <v>190</v>
      </c>
      <c r="C15" s="143">
        <v>25130</v>
      </c>
      <c r="D15" s="116">
        <f>IF(G15="NO","NA",G15*1000/$C15)</f>
        <v>73.599999999999994</v>
      </c>
      <c r="E15" s="116">
        <f t="shared" ref="E15:F17" si="1">IF(H15="NO","NA",H15*1000000/$C15)</f>
        <v>7</v>
      </c>
      <c r="F15" s="116">
        <f t="shared" si="1"/>
        <v>2.0000000000000004</v>
      </c>
      <c r="G15" s="3064">
        <v>1849.5679999999998</v>
      </c>
      <c r="H15" s="3064">
        <v>0.17591000000000001</v>
      </c>
      <c r="I15" s="135">
        <v>5.0260000000000006E-2</v>
      </c>
      <c r="J15" s="4"/>
      <c r="K15" s="1047"/>
      <c r="L15" s="1047"/>
      <c r="M15" s="1047"/>
    </row>
    <row r="16" spans="1:13" ht="18" customHeight="1" x14ac:dyDescent="0.2">
      <c r="B16" s="1260" t="s">
        <v>191</v>
      </c>
      <c r="C16" s="3351">
        <v>5580</v>
      </c>
      <c r="D16" s="116">
        <f>IF(G16="NO","NA",G16*1000/$C16)</f>
        <v>69.900000000000006</v>
      </c>
      <c r="E16" s="116">
        <f t="shared" si="1"/>
        <v>7</v>
      </c>
      <c r="F16" s="116">
        <f t="shared" si="1"/>
        <v>2.0000000000000004</v>
      </c>
      <c r="G16" s="3064">
        <v>390.04200000000003</v>
      </c>
      <c r="H16" s="3064">
        <v>3.9059999999999997E-2</v>
      </c>
      <c r="I16" s="135">
        <v>1.1160000000000002E-2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21491.85503553482</v>
      </c>
      <c r="D10" s="2913">
        <f t="shared" ref="D10:N10" si="0">IF(SUM(D11,D16,D27,D35,D39,D45,D52,D57)=0,"NO",SUM(D11,D16,D27,D35,D39,D45,D52,D57))</f>
        <v>4.1110775527353738</v>
      </c>
      <c r="E10" s="2913">
        <f t="shared" si="0"/>
        <v>5.7119542878577212</v>
      </c>
      <c r="F10" s="2913">
        <f t="shared" si="0"/>
        <v>607.0172347661329</v>
      </c>
      <c r="G10" s="2913">
        <f t="shared" si="0"/>
        <v>1493.4649028585516</v>
      </c>
      <c r="H10" s="2913" t="str">
        <f t="shared" si="0"/>
        <v>NO</v>
      </c>
      <c r="I10" s="2913">
        <f t="shared" si="0"/>
        <v>1.0535412065542095E-2</v>
      </c>
      <c r="J10" s="2913" t="str">
        <f t="shared" si="0"/>
        <v>NO</v>
      </c>
      <c r="K10" s="2913">
        <f t="shared" si="0"/>
        <v>41.934228405168355</v>
      </c>
      <c r="L10" s="2914">
        <f t="shared" si="0"/>
        <v>11.157493179011729</v>
      </c>
      <c r="M10" s="2915">
        <f t="shared" si="0"/>
        <v>223.72721530468368</v>
      </c>
      <c r="N10" s="2916">
        <f t="shared" si="0"/>
        <v>1117.2794647599378</v>
      </c>
      <c r="O10" s="3020">
        <f t="shared" ref="O10:O58" si="1">IF(SUM(C10:J10)=0,"NO",SUM(C10,F10:H10)+28*SUM(D10)+265*SUM(E10)+23500*SUM(I10)+16100*SUM(J10))</f>
        <v>25468.697414458627</v>
      </c>
    </row>
    <row r="11" spans="1:15" ht="18" customHeight="1" x14ac:dyDescent="0.2">
      <c r="B11" s="1263" t="s">
        <v>444</v>
      </c>
      <c r="C11" s="2137">
        <f>IF(SUM(C12:C15)=0,"NO",SUM(C12:C15))</f>
        <v>6357.0664970637499</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6357.0664970637499</v>
      </c>
    </row>
    <row r="12" spans="1:15" ht="18" customHeight="1" x14ac:dyDescent="0.2">
      <c r="B12" s="1264" t="s">
        <v>445</v>
      </c>
      <c r="C12" s="2920">
        <f>'Table2(I).A-H'!H11</f>
        <v>3475.4130879999998</v>
      </c>
      <c r="D12" s="2136"/>
      <c r="E12" s="2136"/>
      <c r="F12" s="628"/>
      <c r="G12" s="628"/>
      <c r="H12" s="2135"/>
      <c r="I12" s="628"/>
      <c r="J12" s="2135"/>
      <c r="K12" s="2135"/>
      <c r="L12" s="2135"/>
      <c r="M12" s="2135"/>
      <c r="N12" s="2919" t="s">
        <v>2146</v>
      </c>
      <c r="O12" s="2934">
        <f t="shared" si="1"/>
        <v>3475.4130879999998</v>
      </c>
    </row>
    <row r="13" spans="1:15" ht="18" customHeight="1" x14ac:dyDescent="0.2">
      <c r="B13" s="1264" t="s">
        <v>446</v>
      </c>
      <c r="C13" s="1878">
        <f>'Table2(I).A-H'!H12</f>
        <v>1275.3390589252986</v>
      </c>
      <c r="D13" s="2108"/>
      <c r="E13" s="2108"/>
      <c r="F13" s="628"/>
      <c r="G13" s="628"/>
      <c r="H13" s="2135"/>
      <c r="I13" s="628"/>
      <c r="J13" s="2135"/>
      <c r="K13" s="628"/>
      <c r="L13" s="628"/>
      <c r="M13" s="628"/>
      <c r="N13" s="1838"/>
      <c r="O13" s="1880">
        <f t="shared" si="1"/>
        <v>1275.3390589252986</v>
      </c>
    </row>
    <row r="14" spans="1:15" ht="18" customHeight="1" x14ac:dyDescent="0.2">
      <c r="B14" s="1264" t="s">
        <v>447</v>
      </c>
      <c r="C14" s="1878">
        <f>'Table2(I).A-H'!H13</f>
        <v>104.36361082758083</v>
      </c>
      <c r="D14" s="2108"/>
      <c r="E14" s="2108"/>
      <c r="F14" s="628"/>
      <c r="G14" s="628"/>
      <c r="H14" s="2135"/>
      <c r="I14" s="628"/>
      <c r="J14" s="2135"/>
      <c r="K14" s="628"/>
      <c r="L14" s="628"/>
      <c r="M14" s="628"/>
      <c r="N14" s="1838"/>
      <c r="O14" s="1880">
        <f t="shared" si="1"/>
        <v>104.36361082758083</v>
      </c>
    </row>
    <row r="15" spans="1:15" ht="18" customHeight="1" thickBot="1" x14ac:dyDescent="0.25">
      <c r="B15" s="1264" t="s">
        <v>448</v>
      </c>
      <c r="C15" s="1878">
        <f>'Table2(I).A-H'!H14</f>
        <v>1501.9507393108702</v>
      </c>
      <c r="D15" s="1879"/>
      <c r="E15" s="1879"/>
      <c r="F15" s="3021"/>
      <c r="G15" s="3021"/>
      <c r="H15" s="3021"/>
      <c r="I15" s="3021"/>
      <c r="J15" s="3021"/>
      <c r="K15" s="2606" t="s">
        <v>2146</v>
      </c>
      <c r="L15" s="2606" t="s">
        <v>2146</v>
      </c>
      <c r="M15" s="2606" t="s">
        <v>2146</v>
      </c>
      <c r="N15" s="2607" t="s">
        <v>2146</v>
      </c>
      <c r="O15" s="1880">
        <f t="shared" si="1"/>
        <v>1501.9507393108702</v>
      </c>
    </row>
    <row r="16" spans="1:15" ht="18" customHeight="1" x14ac:dyDescent="0.2">
      <c r="B16" s="1265" t="s">
        <v>449</v>
      </c>
      <c r="C16" s="2137">
        <f>IF(SUM(C17:C26)=0,"NO",SUM(C17:C26))</f>
        <v>1604.0621241970471</v>
      </c>
      <c r="D16" s="2137">
        <f t="shared" ref="D16:N16" si="3">IF(SUM(D17:D26)=0,"NO",SUM(D17:D26))</f>
        <v>0.51080000000000003</v>
      </c>
      <c r="E16" s="2137">
        <f t="shared" si="3"/>
        <v>5.6305063564516136</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0.4906838</v>
      </c>
      <c r="N16" s="2918" t="str">
        <f t="shared" si="3"/>
        <v>NO</v>
      </c>
      <c r="O16" s="2941">
        <f t="shared" si="1"/>
        <v>3110.4487086567246</v>
      </c>
    </row>
    <row r="17" spans="2:15" ht="18" customHeight="1" x14ac:dyDescent="0.2">
      <c r="B17" s="1266" t="s">
        <v>450</v>
      </c>
      <c r="C17" s="2920">
        <f>SUM('Table2(I).A-H'!H23,'Table2(I).A-H'!K23:L23)</f>
        <v>643.49858896294234</v>
      </c>
      <c r="D17" s="2139" t="str">
        <f>'Table2(I).A-H'!I23</f>
        <v>NO</v>
      </c>
      <c r="E17" s="2139" t="str">
        <f>'Table2(I).A-H'!J23</f>
        <v>NO</v>
      </c>
      <c r="F17" s="2135"/>
      <c r="G17" s="2135"/>
      <c r="H17" s="2135"/>
      <c r="I17" s="2135"/>
      <c r="J17" s="2135"/>
      <c r="K17" s="692" t="s">
        <v>2146</v>
      </c>
      <c r="L17" s="692" t="s">
        <v>2146</v>
      </c>
      <c r="M17" s="692" t="s">
        <v>2146</v>
      </c>
      <c r="N17" s="692" t="s">
        <v>2146</v>
      </c>
      <c r="O17" s="2934">
        <f t="shared" si="1"/>
        <v>643.49858896294234</v>
      </c>
    </row>
    <row r="18" spans="2:15" ht="18" customHeight="1" x14ac:dyDescent="0.2">
      <c r="B18" s="1264" t="s">
        <v>451</v>
      </c>
      <c r="C18" s="1910"/>
      <c r="D18" s="2136"/>
      <c r="E18" s="2139">
        <f>'Table2(I).A-H'!J24</f>
        <v>5.6305063564516136</v>
      </c>
      <c r="F18" s="628"/>
      <c r="G18" s="628"/>
      <c r="H18" s="2135"/>
      <c r="I18" s="628"/>
      <c r="J18" s="2135"/>
      <c r="K18" s="692" t="s">
        <v>2146</v>
      </c>
      <c r="L18" s="628"/>
      <c r="M18" s="628"/>
      <c r="N18" s="1838"/>
      <c r="O18" s="2934">
        <f t="shared" si="1"/>
        <v>1492.0841844596775</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784.15125677170454</v>
      </c>
      <c r="D22" s="1914"/>
      <c r="E22" s="628"/>
      <c r="F22" s="628"/>
      <c r="G22" s="628"/>
      <c r="H22" s="2135"/>
      <c r="I22" s="628"/>
      <c r="J22" s="2135"/>
      <c r="K22" s="1914"/>
      <c r="L22" s="1914"/>
      <c r="M22" s="1914"/>
      <c r="N22" s="2921"/>
      <c r="O22" s="1880">
        <f t="shared" si="1"/>
        <v>784.15125677170454</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53.6</v>
      </c>
      <c r="D24" s="1878">
        <f>'Table2(I).A-H'!I35</f>
        <v>0.51080000000000003</v>
      </c>
      <c r="E24" s="628"/>
      <c r="F24" s="628"/>
      <c r="G24" s="628"/>
      <c r="H24" s="2135"/>
      <c r="I24" s="628"/>
      <c r="J24" s="2135"/>
      <c r="K24" s="692" t="s">
        <v>2146</v>
      </c>
      <c r="L24" s="692" t="s">
        <v>2146</v>
      </c>
      <c r="M24" s="691">
        <v>0.4906838</v>
      </c>
      <c r="N24" s="692" t="s">
        <v>2146</v>
      </c>
      <c r="O24" s="1880">
        <f t="shared" si="1"/>
        <v>67.9024</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122.8122784624001</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122.8122784624001</v>
      </c>
    </row>
    <row r="27" spans="2:15" ht="18" customHeight="1" x14ac:dyDescent="0.2">
      <c r="B27" s="1263" t="s">
        <v>459</v>
      </c>
      <c r="C27" s="2137">
        <f>IF(SUM(C28:C34)=0,"NO",SUM(C28:C34))</f>
        <v>13111.731997972498</v>
      </c>
      <c r="D27" s="2137">
        <f t="shared" ref="D27:N27" si="4">IF(SUM(D28:D34)=0,"NO",SUM(D28:D34))</f>
        <v>3.6002775527353736</v>
      </c>
      <c r="E27" s="2137">
        <f t="shared" si="4"/>
        <v>8.1447931406107357E-2</v>
      </c>
      <c r="F27" s="2138" t="str">
        <f t="shared" si="4"/>
        <v>NO</v>
      </c>
      <c r="G27" s="2138">
        <f t="shared" si="4"/>
        <v>1493.4649028585516</v>
      </c>
      <c r="H27" s="2138" t="str">
        <f t="shared" si="4"/>
        <v>NO</v>
      </c>
      <c r="I27" s="2138">
        <f t="shared" si="4"/>
        <v>1.5300000000000001E-4</v>
      </c>
      <c r="J27" s="2138" t="str">
        <f t="shared" si="4"/>
        <v>NO</v>
      </c>
      <c r="K27" s="2137">
        <f t="shared" si="4"/>
        <v>41.934228405168355</v>
      </c>
      <c r="L27" s="2137">
        <f t="shared" si="4"/>
        <v>11.157493179011729</v>
      </c>
      <c r="M27" s="2917">
        <f t="shared" si="4"/>
        <v>0.10137318843286794</v>
      </c>
      <c r="N27" s="2918">
        <f t="shared" si="4"/>
        <v>1117.2794647599378</v>
      </c>
      <c r="O27" s="2941">
        <f t="shared" si="1"/>
        <v>14731.18387413026</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2672.2123910012106</v>
      </c>
      <c r="D30" s="1879"/>
      <c r="E30" s="628"/>
      <c r="F30" s="628"/>
      <c r="G30" s="2140">
        <f>SUM('Table2(II)'!X41:Y41)</f>
        <v>1493.4649028585516</v>
      </c>
      <c r="H30" s="2136"/>
      <c r="I30" s="2142" t="s">
        <v>2146</v>
      </c>
      <c r="J30" s="2135"/>
      <c r="K30" s="691" t="s">
        <v>2147</v>
      </c>
      <c r="L30" s="691" t="s">
        <v>2147</v>
      </c>
      <c r="M30" s="691" t="s">
        <v>2147</v>
      </c>
      <c r="N30" s="2911">
        <v>40.583059999999996</v>
      </c>
      <c r="O30" s="1880">
        <f t="shared" si="1"/>
        <v>4165.6772938597624</v>
      </c>
    </row>
    <row r="31" spans="2:15" ht="18" customHeight="1" x14ac:dyDescent="0.2">
      <c r="B31" s="1267" t="s">
        <v>463</v>
      </c>
      <c r="C31" s="1878" t="str">
        <f>'Table2(I).A-H'!H64</f>
        <v>NA</v>
      </c>
      <c r="D31" s="2143"/>
      <c r="E31" s="2108"/>
      <c r="F31" s="2139" t="s">
        <v>2146</v>
      </c>
      <c r="G31" s="2139" t="s">
        <v>2146</v>
      </c>
      <c r="H31" s="2139" t="s">
        <v>2146</v>
      </c>
      <c r="I31" s="3022">
        <f>IFERROR('Table2(II).B-Hs1'!G28/1000,'Table2(II).B-Hs1'!G28)</f>
        <v>1.5300000000000001E-4</v>
      </c>
      <c r="J31" s="2135"/>
      <c r="K31" s="691" t="s">
        <v>2147</v>
      </c>
      <c r="L31" s="691" t="s">
        <v>2147</v>
      </c>
      <c r="M31" s="691" t="s">
        <v>2147</v>
      </c>
      <c r="N31" s="2911" t="s">
        <v>2147</v>
      </c>
      <c r="O31" s="2145">
        <f t="shared" si="1"/>
        <v>3.5954999999999999</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10439.519606971287</v>
      </c>
      <c r="D34" s="1881">
        <f>'Table2(I).A-H'!I67</f>
        <v>3.6002775527353736</v>
      </c>
      <c r="E34" s="1881">
        <f>'Table2(I).A-H'!J67</f>
        <v>8.1447931406107357E-2</v>
      </c>
      <c r="F34" s="2146" t="s">
        <v>2146</v>
      </c>
      <c r="G34" s="2146" t="s">
        <v>2146</v>
      </c>
      <c r="H34" s="2146" t="s">
        <v>2146</v>
      </c>
      <c r="I34" s="2146" t="s">
        <v>2146</v>
      </c>
      <c r="J34" s="2146" t="s">
        <v>2146</v>
      </c>
      <c r="K34" s="2606">
        <v>41.934228405168355</v>
      </c>
      <c r="L34" s="2606">
        <v>11.157493179011729</v>
      </c>
      <c r="M34" s="2606">
        <v>0.10137318843286794</v>
      </c>
      <c r="N34" s="2607">
        <v>1076.6964047599379</v>
      </c>
      <c r="O34" s="1882">
        <f t="shared" si="1"/>
        <v>10561.911080270496</v>
      </c>
    </row>
    <row r="35" spans="2:15" ht="18" customHeight="1" x14ac:dyDescent="0.2">
      <c r="B35" s="2470" t="s">
        <v>2014</v>
      </c>
      <c r="C35" s="2920">
        <f>IF(SUM(C36:C38)=0,"NO",SUM(C36:C38))</f>
        <v>278.53303649999992</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163.87263031625082</v>
      </c>
      <c r="N35" s="2048" t="str">
        <f t="shared" ref="N35" si="7">IF(SUM(N36:N38)=0,"NO",SUM(N36:N38))</f>
        <v>NO</v>
      </c>
      <c r="O35" s="2934">
        <f t="shared" si="1"/>
        <v>278.53303649999992</v>
      </c>
    </row>
    <row r="36" spans="2:15" ht="18" customHeight="1" x14ac:dyDescent="0.2">
      <c r="B36" s="1270" t="s">
        <v>466</v>
      </c>
      <c r="C36" s="1878">
        <f>'Table2(I).A-H'!H73</f>
        <v>278.53303649999992</v>
      </c>
      <c r="D36" s="2140" t="str">
        <f>'Table2(I).A-H'!I73</f>
        <v>NO</v>
      </c>
      <c r="E36" s="2140" t="str">
        <f>'Table2(I).A-H'!J73</f>
        <v>NO</v>
      </c>
      <c r="F36" s="628"/>
      <c r="G36" s="628"/>
      <c r="H36" s="2135"/>
      <c r="I36" s="628"/>
      <c r="J36" s="2135"/>
      <c r="K36" s="2147" t="s">
        <v>2147</v>
      </c>
      <c r="L36" s="2147" t="s">
        <v>2147</v>
      </c>
      <c r="M36" s="691" t="s">
        <v>2147</v>
      </c>
      <c r="N36" s="2141" t="s">
        <v>2147</v>
      </c>
      <c r="O36" s="1880">
        <f t="shared" si="1"/>
        <v>278.53303649999992</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163.87263031625082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607.0172347661329</v>
      </c>
      <c r="G45" s="2137" t="str">
        <f t="shared" ref="G45:J45" si="9">IF(SUM(G46:G51)=0,"NO",SUM(G46:G51))</f>
        <v>NO</v>
      </c>
      <c r="H45" s="2920" t="str">
        <f t="shared" si="9"/>
        <v>NO</v>
      </c>
      <c r="I45" s="2920" t="str">
        <f t="shared" si="9"/>
        <v>NO</v>
      </c>
      <c r="J45" s="2139" t="str">
        <f t="shared" si="9"/>
        <v>NO</v>
      </c>
      <c r="K45" s="1929"/>
      <c r="L45" s="1929"/>
      <c r="M45" s="1929"/>
      <c r="N45" s="2153"/>
      <c r="O45" s="2941">
        <f t="shared" si="1"/>
        <v>607.0172347661329</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565.4878301020151</v>
      </c>
      <c r="G46" s="1878" t="s">
        <v>2146</v>
      </c>
      <c r="H46" s="1878" t="s">
        <v>2146</v>
      </c>
      <c r="I46" s="1878" t="s">
        <v>2146</v>
      </c>
      <c r="J46" s="2139" t="str">
        <f t="shared" ref="J46" si="10">IF(SUM(J47:J52)=0,"NO",SUM(J47:J52))</f>
        <v>NO</v>
      </c>
      <c r="K46" s="628"/>
      <c r="L46" s="628"/>
      <c r="M46" s="628"/>
      <c r="N46" s="1838"/>
      <c r="O46" s="1880">
        <f t="shared" si="1"/>
        <v>565.4878301020151</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15.861015960234836</v>
      </c>
      <c r="G47" s="1878" t="s">
        <v>2146</v>
      </c>
      <c r="H47" s="1878" t="s">
        <v>2146</v>
      </c>
      <c r="I47" s="1878" t="s">
        <v>2146</v>
      </c>
      <c r="J47" s="2139" t="str">
        <f t="shared" ref="J47" si="11">IF(SUM(J48:J53)=0,"NO",SUM(J48:J53))</f>
        <v>NO</v>
      </c>
      <c r="K47" s="628"/>
      <c r="L47" s="628"/>
      <c r="M47" s="628"/>
      <c r="N47" s="1838"/>
      <c r="O47" s="1880">
        <f t="shared" si="1"/>
        <v>15.861015960234836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2.4998331613468157</v>
      </c>
      <c r="G48" s="1878" t="s">
        <v>2146</v>
      </c>
      <c r="H48" s="1878" t="s">
        <v>2146</v>
      </c>
      <c r="I48" s="1878" t="s">
        <v>2146</v>
      </c>
      <c r="J48" s="2139" t="str">
        <f t="shared" ref="J48" si="12">IF(SUM(J49:J54)=0,"NO",SUM(J49:J54))</f>
        <v>NO</v>
      </c>
      <c r="K48" s="628"/>
      <c r="L48" s="628"/>
      <c r="M48" s="628"/>
      <c r="N48" s="1838"/>
      <c r="O48" s="1880">
        <f t="shared" si="1"/>
        <v>2.4998331613468157</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3.2288323959979599</v>
      </c>
      <c r="G49" s="1878" t="s">
        <v>2146</v>
      </c>
      <c r="H49" s="1878" t="s">
        <v>2146</v>
      </c>
      <c r="I49" s="1878" t="s">
        <v>2146</v>
      </c>
      <c r="J49" s="2139" t="str">
        <f t="shared" ref="J49" si="13">IF(SUM(J50:J55)=0,"NO",SUM(J50:J55))</f>
        <v>NO</v>
      </c>
      <c r="K49" s="628"/>
      <c r="L49" s="628"/>
      <c r="M49" s="628"/>
      <c r="N49" s="1838"/>
      <c r="O49" s="1880">
        <f t="shared" si="1"/>
        <v>3.2288323959979599</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19.939723146538203</v>
      </c>
      <c r="G50" s="1878" t="s">
        <v>2146</v>
      </c>
      <c r="H50" s="1878" t="s">
        <v>2146</v>
      </c>
      <c r="I50" s="1878" t="s">
        <v>2146</v>
      </c>
      <c r="J50" s="2139" t="str">
        <f t="shared" ref="J50" si="14">IF(SUM(J51:J56)=0,"NO",SUM(J51:J56))</f>
        <v>NO</v>
      </c>
      <c r="K50" s="628"/>
      <c r="L50" s="628"/>
      <c r="M50" s="628"/>
      <c r="N50" s="1838"/>
      <c r="O50" s="1880">
        <f t="shared" si="1"/>
        <v>19.939723146538203</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1.0382412065542095E-2</v>
      </c>
      <c r="J52" s="2139" t="str">
        <f t="shared" si="16"/>
        <v>NO</v>
      </c>
      <c r="K52" s="2139" t="str">
        <f t="shared" si="16"/>
        <v>NO</v>
      </c>
      <c r="L52" s="2139" t="str">
        <f t="shared" si="16"/>
        <v>NO</v>
      </c>
      <c r="M52" s="2139" t="str">
        <f t="shared" si="16"/>
        <v>NO</v>
      </c>
      <c r="N52" s="2048" t="str">
        <f t="shared" si="16"/>
        <v>NO</v>
      </c>
      <c r="O52" s="2934">
        <f t="shared" si="1"/>
        <v>243.98668354023923</v>
      </c>
    </row>
    <row r="53" spans="2:15" ht="18" customHeight="1" x14ac:dyDescent="0.2">
      <c r="B53" s="1270" t="s">
        <v>481</v>
      </c>
      <c r="C53" s="2135"/>
      <c r="D53" s="2135"/>
      <c r="E53" s="2135"/>
      <c r="F53" s="2920" t="s">
        <v>2146</v>
      </c>
      <c r="G53" s="2920" t="s">
        <v>2146</v>
      </c>
      <c r="H53" s="2920" t="s">
        <v>2146</v>
      </c>
      <c r="I53" s="2920">
        <f>SUM('Table2(II).B-Hs2'!J163:M163)/1000</f>
        <v>9.7435171270652213E-3</v>
      </c>
      <c r="J53" s="2920" t="s">
        <v>2146</v>
      </c>
      <c r="K53" s="2135"/>
      <c r="L53" s="2135"/>
      <c r="M53" s="2135"/>
      <c r="N53" s="2149"/>
      <c r="O53" s="2934">
        <f t="shared" si="1"/>
        <v>228.9726524860327</v>
      </c>
    </row>
    <row r="54" spans="2:15" ht="18" customHeight="1" x14ac:dyDescent="0.2">
      <c r="B54" s="1270" t="s">
        <v>482</v>
      </c>
      <c r="C54" s="2135"/>
      <c r="D54" s="2135"/>
      <c r="E54" s="2135"/>
      <c r="F54" s="2135"/>
      <c r="G54" s="2920" t="s">
        <v>2146</v>
      </c>
      <c r="H54" s="3025"/>
      <c r="I54" s="2920">
        <f>SUM('Table2(II).B-Hs2'!J165:M165)/1000</f>
        <v>6.3889493847687367E-4</v>
      </c>
      <c r="J54" s="2135"/>
      <c r="K54" s="2135"/>
      <c r="L54" s="2135"/>
      <c r="M54" s="2135"/>
      <c r="N54" s="2149"/>
      <c r="O54" s="2934">
        <f t="shared" si="1"/>
        <v>15.014031054206532</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140.46137980152514</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59.262528000000003</v>
      </c>
      <c r="N57" s="2073" t="str">
        <f>N58</f>
        <v>NA</v>
      </c>
      <c r="O57" s="2941">
        <f t="shared" si="1"/>
        <v>140.46137980152514</v>
      </c>
    </row>
    <row r="58" spans="2:15" ht="18" customHeight="1" thickBot="1" x14ac:dyDescent="0.25">
      <c r="B58" s="2596" t="s">
        <v>2180</v>
      </c>
      <c r="C58" s="2500">
        <f>'Table2(I).A-H'!H97</f>
        <v>140.46137980152514</v>
      </c>
      <c r="D58" s="2500" t="str">
        <f>'Table2(I).A-H'!I97</f>
        <v>NO</v>
      </c>
      <c r="E58" s="2500" t="str">
        <f>'Table2(I).A-H'!J97</f>
        <v>NO</v>
      </c>
      <c r="F58" s="2500" t="s">
        <v>2146</v>
      </c>
      <c r="G58" s="2500" t="s">
        <v>2146</v>
      </c>
      <c r="H58" s="2500" t="s">
        <v>2146</v>
      </c>
      <c r="I58" s="2500" t="s">
        <v>2146</v>
      </c>
      <c r="J58" s="2500" t="s">
        <v>2146</v>
      </c>
      <c r="K58" s="2912" t="s">
        <v>2147</v>
      </c>
      <c r="L58" s="2912" t="s">
        <v>2147</v>
      </c>
      <c r="M58" s="2912">
        <v>59.262528000000003</v>
      </c>
      <c r="N58" s="2922" t="s">
        <v>2147</v>
      </c>
      <c r="O58" s="2925">
        <f t="shared" si="1"/>
        <v>140.46137980152514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2.8593489906308875E-2</v>
      </c>
      <c r="D10" s="2044">
        <f t="shared" ref="D10:X10" si="0">IF(SUM(D11,D16,D20,D26,D33,D37)=0,"NO",SUM(D11,D16,D20,D26,D33,D37))</f>
        <v>4.4691144261847437</v>
      </c>
      <c r="E10" s="2044" t="str">
        <f t="shared" si="0"/>
        <v>NO</v>
      </c>
      <c r="F10" s="2044">
        <f t="shared" si="0"/>
        <v>6.6346537507643591E-2</v>
      </c>
      <c r="G10" s="2044">
        <f t="shared" si="0"/>
        <v>80.882928831044566</v>
      </c>
      <c r="H10" s="2044">
        <f t="shared" si="0"/>
        <v>9.0556801227673664E-2</v>
      </c>
      <c r="I10" s="2044">
        <f t="shared" si="0"/>
        <v>231.27843326821812</v>
      </c>
      <c r="J10" s="2044" t="str">
        <f t="shared" si="0"/>
        <v>NO</v>
      </c>
      <c r="K10" s="2044">
        <f t="shared" si="0"/>
        <v>7.7419445632716881</v>
      </c>
      <c r="L10" s="2044" t="str">
        <f t="shared" si="0"/>
        <v>NO</v>
      </c>
      <c r="M10" s="2044" t="str">
        <f t="shared" si="0"/>
        <v>NO</v>
      </c>
      <c r="N10" s="2044" t="str">
        <f t="shared" si="0"/>
        <v>NO</v>
      </c>
      <c r="O10" s="2044">
        <f t="shared" si="0"/>
        <v>2.7467572442551837</v>
      </c>
      <c r="P10" s="2044" t="str">
        <f t="shared" si="0"/>
        <v>NO</v>
      </c>
      <c r="Q10" s="2044" t="str">
        <f t="shared" si="0"/>
        <v>NO</v>
      </c>
      <c r="R10" s="2044">
        <f t="shared" si="0"/>
        <v>2.9420663166885566E-4</v>
      </c>
      <c r="S10" s="2044" t="str">
        <f t="shared" si="0"/>
        <v>NO</v>
      </c>
      <c r="T10" s="2044" t="str">
        <f t="shared" si="0"/>
        <v>NO</v>
      </c>
      <c r="U10" s="2044" t="str">
        <f t="shared" si="0"/>
        <v>NO</v>
      </c>
      <c r="V10" s="2045" t="str">
        <f t="shared" si="0"/>
        <v>NO</v>
      </c>
      <c r="W10" s="2046"/>
      <c r="X10" s="2044">
        <f t="shared" si="0"/>
        <v>185.02807279074997</v>
      </c>
      <c r="Y10" s="2044">
        <f t="shared" ref="Y10" si="1">IF(SUM(Y11,Y16,Y20,Y26,Y33,Y37)=0,"NO",SUM(Y11,Y16,Y20,Y26,Y33,Y37))</f>
        <v>24.029619842871995</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10.535412065542095</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185.02807279074997</v>
      </c>
      <c r="Y16" s="2050">
        <f t="shared" ref="Y16" si="35">IF(SUM(Y17:Y19)=0,"NO",SUM(Y17:Y19))</f>
        <v>24.029619842871995</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f t="shared" ref="AJ16" si="44">IF(SUM(AJ17:AJ19)=0,"NO",SUM(AJ17:AJ19))</f>
        <v>0.153</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185.02807279074997</v>
      </c>
      <c r="Y17" s="2050">
        <f>'Table2(II).B-Hs1'!G26</f>
        <v>24.029619842871995</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f>'Table2(II).B-Hs1'!G28</f>
        <v>0.153</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2.8593489906308875E-2</v>
      </c>
      <c r="D26" s="2069">
        <f t="shared" ref="D26:AK26" si="58">IF(SUM(D27:D32)=0,"NO",SUM(D27:D32))</f>
        <v>4.4691144261847437</v>
      </c>
      <c r="E26" s="2069" t="str">
        <f t="shared" si="58"/>
        <v>NO</v>
      </c>
      <c r="F26" s="2069">
        <f t="shared" si="58"/>
        <v>6.6346537507643591E-2</v>
      </c>
      <c r="G26" s="2069">
        <f t="shared" si="58"/>
        <v>80.882928831044566</v>
      </c>
      <c r="H26" s="2069">
        <f t="shared" si="58"/>
        <v>9.0556801227673664E-2</v>
      </c>
      <c r="I26" s="2069">
        <f t="shared" si="58"/>
        <v>231.27843326821812</v>
      </c>
      <c r="J26" s="2069" t="str">
        <f t="shared" si="58"/>
        <v>NO</v>
      </c>
      <c r="K26" s="2069">
        <f t="shared" si="58"/>
        <v>7.7419445632716881</v>
      </c>
      <c r="L26" s="2069" t="str">
        <f t="shared" si="58"/>
        <v>NO</v>
      </c>
      <c r="M26" s="2069" t="str">
        <f t="shared" si="58"/>
        <v>NO</v>
      </c>
      <c r="N26" s="2069" t="str">
        <f t="shared" si="58"/>
        <v>NO</v>
      </c>
      <c r="O26" s="2069">
        <f t="shared" si="58"/>
        <v>2.7467572442551837</v>
      </c>
      <c r="P26" s="2069" t="str">
        <f t="shared" si="58"/>
        <v>NO</v>
      </c>
      <c r="Q26" s="2069" t="str">
        <f t="shared" si="58"/>
        <v>NO</v>
      </c>
      <c r="R26" s="2069">
        <f t="shared" si="58"/>
        <v>2.9420663166885566E-4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2.6637251195004458E-2</v>
      </c>
      <c r="D27" s="2044">
        <f>IF(SUM('Table2(II).B-Hs2'!J14:M14,'Table2(II).B-Hs2'!J27:M27,'Table2(II).B-Hs2'!J40:M40,'Table2(II).B-Hs2'!J53:M53,'Table2(II).B-Hs2'!J66:M66,'Table2(II).B-Hs2'!J79:M79)=0,"NO",SUM('Table2(II).B-Hs2'!J14:M14,'Table2(II).B-Hs2'!J27:M27,'Table2(II).B-Hs2'!J40:M40,'Table2(II).B-Hs2'!J53:M53,'Table2(II).B-Hs2'!J66:M66,'Table2(II).B-Hs2'!J79:M79))</f>
        <v>4.1633576027120478</v>
      </c>
      <c r="E27" s="2044" t="s">
        <v>2146</v>
      </c>
      <c r="F27" s="2044">
        <f>IF(SUM('Table2(II).B-Hs2'!J15:M15,'Table2(II).B-Hs2'!J28:M28,'Table2(II).B-Hs2'!J41:M41,'Table2(II).B-Hs2'!J54:M54,'Table2(II).B-Hs2'!J67:M67,'Table2(II).B-Hs2'!J80:M80)=0,"NO",SUM('Table2(II).B-Hs2'!J15:M15,'Table2(II).B-Hs2'!J28:M28,'Table2(II).B-Hs2'!J41:M41,'Table2(II).B-Hs2'!J54:M54,'Table2(II).B-Hs2'!J67:M67,'Table2(II).B-Hs2'!J80:M80))</f>
        <v>6.1807404108441918E-2</v>
      </c>
      <c r="G27" s="2044">
        <f>IF(SUM('Table2(II).B-Hs2'!J16:M16,'Table2(II).B-Hs2'!J29:M29,'Table2(II).B-Hs2'!J42:M42,'Table2(II).B-Hs2'!J55:M55,'Table2(II).B-Hs2'!J68:M68,'Table2(II).B-Hs2'!J81:M81)=0,"NO",SUM('Table2(II).B-Hs2'!J16:M16,'Table2(II).B-Hs2'!J29:M29,'Table2(II).B-Hs2'!J42:M42,'Table2(II).B-Hs2'!J55:M55,'Table2(II).B-Hs2'!J68:M68,'Table2(II).B-Hs2'!J81:M81))</f>
        <v>75.349280543220189</v>
      </c>
      <c r="H27" s="2044">
        <f>IF(SUM('Table2(II).B-Hs2'!J17:M17,'Table2(II).B-Hs2'!J30:M30,'Table2(II).B-Hs2'!J43:M43,'Table2(II).B-Hs2'!J56:M56,'Table2(II).B-Hs2'!J69:M69,'Table2(II).B-Hs2'!J82:M82)=0,"NO",SUM('Table2(II).B-Hs2'!J17:M17,'Table2(II).B-Hs2'!J30:M30,'Table2(II).B-Hs2'!J43:M43,'Table2(II).B-Hs2'!J56:M56,'Table2(II).B-Hs2'!J69:M69,'Table2(II).B-Hs2'!J82:M82))</f>
        <v>8.4361309851352095E-2</v>
      </c>
      <c r="I27" s="2044">
        <f>IF(SUM('Table2(II).B-Hs2'!J18:M18,'Table2(II).B-Hs2'!J31:M31,'Table2(II).B-Hs2'!J44:M44,'Table2(II).B-Hs2'!J57:M57,'Table2(II).B-Hs2'!J70:M70,'Table2(II).B-Hs2'!J83:M83)=0,"NO",SUM('Table2(II).B-Hs2'!J18:M18,'Table2(II).B-Hs2'!J31:M31,'Table2(II).B-Hs2'!J44:M44,'Table2(II).B-Hs2'!J57:M57,'Table2(II).B-Hs2'!J70:M70,'Table2(II).B-Hs2'!J83:M83))</f>
        <v>215.45539712497012</v>
      </c>
      <c r="J27" s="2044" t="s">
        <v>2146</v>
      </c>
      <c r="K27" s="2044">
        <f>IF(SUM('Table2(II).B-Hs2'!J19:M19,'Table2(II).B-Hs2'!J32:M32,'Table2(II).B-Hs2'!J45:M45,'Table2(II).B-Hs2'!J58:M58,'Table2(II).B-Hs2'!J71:M71,'Table2(II).B-Hs2'!J84:M84)=0,"NO",SUM('Table2(II).B-Hs2'!J19:M19,'Table2(II).B-Hs2'!J32:M32,'Table2(II).B-Hs2'!J45:M45,'Table2(II).B-Hs2'!J58:M58,'Table2(II).B-Hs2'!J71:M71,'Table2(II).B-Hs2'!J84:M84))</f>
        <v>7.2122753376867683</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2.5588363969093599</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2.7407832960153408E-4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7.4713166906621384E-4</v>
      </c>
      <c r="D28" s="2044">
        <f>IF(SUM('Table2(II).B-Hs2'!J93:M93,'Table2(II).B-Hs2'!J106:M106)=0,"NO",SUM('Table2(II).B-Hs2'!J93:M93,'Table2(II).B-Hs2'!J106:M106))</f>
        <v>0.11677542445585075</v>
      </c>
      <c r="E28" s="2044" t="s">
        <v>2146</v>
      </c>
      <c r="F28" s="2044">
        <f>IF(SUM('Table2(II).B-Hs2'!J94:M94,'Table2(II).B-Hs2'!J107:M107)=0,"NO",SUM('Table2(II).B-Hs2'!J94:M94,'Table2(II).B-Hs2'!J107:M107))</f>
        <v>1.7335973841343818E-3</v>
      </c>
      <c r="G28" s="2044">
        <f>IF(SUM('Table2(II).B-Hs2'!J95:M95,'Table2(II).B-Hs2'!J108:M108)=0,"NO",SUM('Table2(II).B-Hs2'!J95:M95,'Table2(II).B-Hs2'!J108:M108))</f>
        <v>2.1134250423614356</v>
      </c>
      <c r="H28" s="2044">
        <f>IF(SUM('Table2(II).B-Hs2'!J96:M96,'Table2(II).B-Hs2'!J109:M109)=0,"NO",SUM('Table2(II).B-Hs2'!J96:M96,'Table2(II).B-Hs2'!J109:M109))</f>
        <v>2.3661978397257893E-3</v>
      </c>
      <c r="I28" s="2044">
        <f>IF(SUM('Table2(II).B-Hs2'!J97:M97,'Table2(II).B-Hs2'!J110:M110)=0,"NO",SUM('Table2(II).B-Hs2'!J97:M97,'Table2(II).B-Hs2'!J110:M110))</f>
        <v>6.0431742481555961</v>
      </c>
      <c r="J28" s="2044" t="s">
        <v>2146</v>
      </c>
      <c r="K28" s="2044">
        <f>IF(SUM('Table2(II).B-Hs2'!J98:M98,'Table2(II).B-Hs2'!J111:M111)=0,"NO",SUM('Table2(II).B-Hs2'!J98:M98,'Table2(II).B-Hs2'!J111:M111))</f>
        <v>0.20229261913562491</v>
      </c>
      <c r="L28" s="2044" t="s">
        <v>2146</v>
      </c>
      <c r="M28" s="2044" t="str">
        <f>IF(SUM('Table2(II).B-Hs2'!J99:M99,'Table2(II).B-Hs2'!J112:M112)=0,"NO",SUM('Table2(II).B-Hs2'!J99:M99,'Table2(II).B-Hs2'!J112:M112))</f>
        <v>NO</v>
      </c>
      <c r="N28" s="2044" t="s">
        <v>2146</v>
      </c>
      <c r="O28" s="2044">
        <f>IF(SUM('Table2(II).B-Hs2'!J100:M100,'Table2(II).B-Hs2'!J113:M113)=0,"NO",SUM('Table2(II).B-Hs2'!J100:M100,'Table2(II).B-Hs2'!J113:M113))</f>
        <v>7.1771208451448756E-2</v>
      </c>
      <c r="P28" s="2044" t="s">
        <v>2146</v>
      </c>
      <c r="Q28" s="2044" t="s">
        <v>2146</v>
      </c>
      <c r="R28" s="2044">
        <f>IF(SUM('Table2(II).B-Hs2'!J101:M101,'Table2(II).B-Hs2'!J114:M114)=0,"NO",SUM('Table2(II).B-Hs2'!J101:M101,'Table2(II).B-Hs2'!J114:M114))</f>
        <v>7.6874523707790445E-6</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1.1775440658446095E-4</v>
      </c>
      <c r="D29" s="2044">
        <f>IF(SUM('Table2(II).B-Hs2'!J119:M119)=0,"NO",SUM('Table2(II).B-Hs2'!J119:M119))</f>
        <v>1.8404815884238201E-2</v>
      </c>
      <c r="E29" s="2044" t="s">
        <v>2146</v>
      </c>
      <c r="F29" s="2044">
        <f>IF(SUM('Table2(II).B-Hs2'!J120:M120)=0,"NO",SUM('Table2(II).B-Hs2'!J120:M120))</f>
        <v>2.7322992676813743E-4</v>
      </c>
      <c r="G29" s="2044">
        <f>IF(SUM('Table2(II).B-Hs2'!J121:M121)=0,"NO",SUM('Table2(II).B-Hs2'!J121:M121))</f>
        <v>0.33309404757938937</v>
      </c>
      <c r="H29" s="2044">
        <f>IF(SUM('Table2(II).B-Hs2'!J122:M122)=0,"NO",SUM('Table2(II).B-Hs2'!J122:M122))</f>
        <v>3.7293322450992279E-4</v>
      </c>
      <c r="I29" s="2044">
        <f>IF(SUM('Table2(II).B-Hs2'!J123:M123)=0,"NO",SUM('Table2(II).B-Hs2'!J123:M123))</f>
        <v>0.95245647713936255</v>
      </c>
      <c r="J29" s="2044" t="s">
        <v>2146</v>
      </c>
      <c r="K29" s="2044">
        <f>IF(SUM('Table2(II).B-Hs2'!J124:M124)=0,"NO",SUM('Table2(II).B-Hs2'!J124:M124))</f>
        <v>3.1883064671189537E-2</v>
      </c>
      <c r="L29" s="2044" t="s">
        <v>2146</v>
      </c>
      <c r="M29" s="2044" t="str">
        <f>IF(SUM('Table2(II).B-Hs2'!J125:M125)=0,"NO",SUM('Table2(II).B-Hs2'!J125:M125))</f>
        <v>NO</v>
      </c>
      <c r="N29" s="2044" t="s">
        <v>2146</v>
      </c>
      <c r="O29" s="2044">
        <f>IF(SUM('Table2(II).B-Hs2'!J126:M126)=0,"NO",SUM('Table2(II).B-Hs2'!J126:M126))</f>
        <v>1.1311762586121883E-2</v>
      </c>
      <c r="P29" s="2044" t="s">
        <v>2146</v>
      </c>
      <c r="Q29" s="2044" t="s">
        <v>2146</v>
      </c>
      <c r="R29" s="2044">
        <f>IF(SUM('Table2(II).B-Hs2'!J127:M127)=0,"NO",SUM('Table2(II).B-Hs2'!J127:M127))</f>
        <v>1.2116089165364617E-6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1.5209384715361588E-4</v>
      </c>
      <c r="D30" s="2044">
        <f>IF(SUM('Table2(II).B-Hs2'!J133:M133)=0,"NO",SUM('Table2(II).B-Hs2'!J133:M133))</f>
        <v>2.3772012743998327E-2</v>
      </c>
      <c r="E30" s="2044" t="s">
        <v>2146</v>
      </c>
      <c r="F30" s="2044">
        <f>IF(SUM('Table2(II).B-Hs2'!J134:M134)=0,"NO",SUM('Table2(II).B-Hs2'!J134:M134))</f>
        <v>3.5290900718742719E-4</v>
      </c>
      <c r="G30" s="2044">
        <f>IF(SUM('Table2(II).B-Hs2'!J135:M135)=0,"NO",SUM('Table2(II).B-Hs2'!J135:M135))</f>
        <v>0.43023065233640501</v>
      </c>
      <c r="H30" s="2044">
        <f>IF(SUM('Table2(II).B-Hs2'!J136:M136)=0,"NO",SUM('Table2(II).B-Hs2'!J136:M136))</f>
        <v>4.8168769638725587E-4</v>
      </c>
      <c r="I30" s="2044">
        <f>IF(SUM('Table2(II).B-Hs2'!J137:M137)=0,"NO",SUM('Table2(II).B-Hs2'!J137:M137))</f>
        <v>1.230211030366841</v>
      </c>
      <c r="J30" s="2044" t="s">
        <v>2146</v>
      </c>
      <c r="K30" s="2044">
        <f>IF(SUM('Table2(II).B-Hs2'!J138:M138)=0,"NO",SUM('Table2(II).B-Hs2'!J138:M138))</f>
        <v>4.1180777055766352E-2</v>
      </c>
      <c r="L30" s="2044" t="s">
        <v>2146</v>
      </c>
      <c r="M30" s="2044" t="str">
        <f>IF(SUM('Table2(II).B-Hs2'!J139:M139)=0,"NO",SUM('Table2(II).B-Hs2'!J139:M139))</f>
        <v>NO</v>
      </c>
      <c r="N30" s="2044" t="s">
        <v>2146</v>
      </c>
      <c r="O30" s="2044">
        <f>IF(SUM('Table2(II).B-Hs2'!J140:M140)=0,"NO",SUM('Table2(II).B-Hs2'!J140:M140))</f>
        <v>1.4610489235301753E-2</v>
      </c>
      <c r="P30" s="2044" t="s">
        <v>2146</v>
      </c>
      <c r="Q30" s="2044" t="s">
        <v>2146</v>
      </c>
      <c r="R30" s="2044">
        <f>IF(SUM('Table2(II).B-Hs2'!J141:M141)=0,"NO",SUM('Table2(II).B-Hs2'!J141:M141))</f>
        <v>1.5649372852087588E-6</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9.3925878850012424E-4</v>
      </c>
      <c r="D31" s="2044">
        <f>IF(SUM('Table2(II).B-Hs2'!J148:M148)=0,"NO",SUM('Table2(II).B-Hs2'!J148:M148))</f>
        <v>0.14680457038860928</v>
      </c>
      <c r="E31" s="2044" t="s">
        <v>2146</v>
      </c>
      <c r="F31" s="2044">
        <f>IF(SUM('Table2(II).B-Hs2'!J149:M149)=0,"NO",SUM('Table2(II).B-Hs2'!J149:M149))</f>
        <v>2.1793970811117328E-3</v>
      </c>
      <c r="G31" s="2044">
        <f>IF(SUM('Table2(II).B-Hs2'!J150:M150)=0,"NO",SUM('Table2(II).B-Hs2'!J150:M150))</f>
        <v>2.6568985455471328</v>
      </c>
      <c r="H31" s="2044">
        <f>IF(SUM('Table2(II).B-Hs2'!J151:M151)=0,"NO",SUM('Table2(II).B-Hs2'!J151:M151))</f>
        <v>2.9746726156986004E-3</v>
      </c>
      <c r="I31" s="2044">
        <f>IF(SUM('Table2(II).B-Hs2'!J152:M152)=0,"NO",SUM('Table2(II).B-Hs2'!J152:M152))</f>
        <v>7.5971943875862324</v>
      </c>
      <c r="J31" s="2044" t="s">
        <v>2146</v>
      </c>
      <c r="K31" s="2044">
        <f>IF(SUM('Table2(II).B-Hs2'!J153:M153)=0,"NO",SUM('Table2(II).B-Hs2'!J153:M153))</f>
        <v>0.25431276472233844</v>
      </c>
      <c r="L31" s="2044" t="s">
        <v>2146</v>
      </c>
      <c r="M31" s="2044" t="str">
        <f>IF(SUM('Table2(II).B-Hs2'!J154:M154)=0,"NO",SUM('Table2(II).B-Hs2'!J154:M154))</f>
        <v>NO</v>
      </c>
      <c r="N31" s="2044" t="s">
        <v>2146</v>
      </c>
      <c r="O31" s="2044">
        <f>IF(SUM('Table2(II).B-Hs2'!J155:M155)=0,"NO",SUM('Table2(II).B-Hs2'!J155:M155))</f>
        <v>9.0227387072951554E-2</v>
      </c>
      <c r="P31" s="2044" t="s">
        <v>2146</v>
      </c>
      <c r="Q31" s="2044" t="s">
        <v>2146</v>
      </c>
      <c r="R31" s="2044">
        <f>IF(SUM('Table2(II).B-Hs2'!J156:M156)=0,"NO",SUM('Table2(II).B-Hs2'!J156:M156))</f>
        <v>9.6643034947972724E-6</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10.382412065542095</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9.7435171270652212</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0.63889493847687362</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0.35455927483823008</v>
      </c>
      <c r="D39" s="4196">
        <f t="shared" ref="D39:AK39" si="72">IF(SUM(D40:D45)=0,"NO",SUM(D40:D45))</f>
        <v>3.0255904665270714</v>
      </c>
      <c r="E39" s="4196" t="str">
        <f t="shared" si="72"/>
        <v>NO</v>
      </c>
      <c r="F39" s="4196">
        <f t="shared" si="72"/>
        <v>0.10947178688761193</v>
      </c>
      <c r="G39" s="4196">
        <f t="shared" si="72"/>
        <v>256.39888439441131</v>
      </c>
      <c r="H39" s="4196">
        <f t="shared" si="72"/>
        <v>0.1014236173749945</v>
      </c>
      <c r="I39" s="4196">
        <f t="shared" si="72"/>
        <v>300.66196324868355</v>
      </c>
      <c r="J39" s="4196" t="str">
        <f t="shared" si="72"/>
        <v>NO</v>
      </c>
      <c r="K39" s="4196">
        <f t="shared" si="72"/>
        <v>37.161333903704097</v>
      </c>
      <c r="L39" s="4196" t="str">
        <f t="shared" si="72"/>
        <v>NO</v>
      </c>
      <c r="M39" s="4196" t="str">
        <f t="shared" si="72"/>
        <v>NO</v>
      </c>
      <c r="N39" s="4196" t="str">
        <f t="shared" si="72"/>
        <v>NO</v>
      </c>
      <c r="O39" s="4196">
        <f t="shared" si="72"/>
        <v>9.2016367682548665</v>
      </c>
      <c r="P39" s="4196" t="str">
        <f t="shared" si="72"/>
        <v>NO</v>
      </c>
      <c r="Q39" s="4196" t="str">
        <f t="shared" si="72"/>
        <v>NO</v>
      </c>
      <c r="R39" s="4196">
        <f t="shared" si="72"/>
        <v>2.3713054512509765E-3</v>
      </c>
      <c r="S39" s="4196" t="str">
        <f t="shared" si="72"/>
        <v>NO</v>
      </c>
      <c r="T39" s="4196" t="str">
        <f t="shared" si="72"/>
        <v>NO</v>
      </c>
      <c r="U39" s="4196" t="str">
        <f t="shared" si="72"/>
        <v>NO</v>
      </c>
      <c r="V39" s="4196" t="str">
        <f t="shared" si="72"/>
        <v>NO</v>
      </c>
      <c r="W39" s="4196">
        <f t="shared" si="72"/>
        <v>607.0172347661329</v>
      </c>
      <c r="X39" s="4196">
        <f t="shared" si="72"/>
        <v>1226.7361226026724</v>
      </c>
      <c r="Y39" s="4196">
        <f t="shared" si="72"/>
        <v>266.72878025587914</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1493.4649028585516</v>
      </c>
      <c r="AI39" s="4197" t="str">
        <f t="shared" si="72"/>
        <v>NO</v>
      </c>
      <c r="AJ39" s="4197">
        <f t="shared" si="72"/>
        <v>247.58218354023921</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1226.7361226026724</v>
      </c>
      <c r="Y41" s="4199">
        <f>IF(SUM(Y16)=0,"NO",Y16*11100/1000)</f>
        <v>266.72878025587914</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1493.4649028585516</v>
      </c>
      <c r="AI41" s="4200" t="str">
        <f>IF(SUM(AI16)=0,"NO",AI16*1/1000)</f>
        <v>NO</v>
      </c>
      <c r="AJ41" s="4200">
        <f>IF(SUM(AJ16)=0,"NO",AJ16*23500/1000)</f>
        <v>3.5954999999999999</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0.35455927483823008</v>
      </c>
      <c r="D43" s="4199">
        <f>IF(SUM(D26)=0,"NO",D26*677/1000)</f>
        <v>3.0255904665270714</v>
      </c>
      <c r="E43" s="4199" t="str">
        <f>IF(SUM(E26)=0,"NO",E26*116/1000)</f>
        <v>NO</v>
      </c>
      <c r="F43" s="4199">
        <f>IF(SUM(F26)=0,"NO",F26*1650/1000)</f>
        <v>0.10947178688761193</v>
      </c>
      <c r="G43" s="4199">
        <f>IF(SUM(G26)=0,"NO",G26*3170/1000)</f>
        <v>256.39888439441131</v>
      </c>
      <c r="H43" s="4199">
        <f>IF(SUM(H26)=0,"NO",H26*1120/1000)</f>
        <v>0.1014236173749945</v>
      </c>
      <c r="I43" s="4199">
        <f>IF(SUM(I26)=0,"NO",I26*1300/1000)</f>
        <v>300.66196324868355</v>
      </c>
      <c r="J43" s="4199" t="str">
        <f>IF(SUM(J26)=0,"NO",J26*328/1000)</f>
        <v>NO</v>
      </c>
      <c r="K43" s="4199">
        <f>IF(SUM(K26)=0,"NO",K26*4800/1000)</f>
        <v>37.161333903704097</v>
      </c>
      <c r="L43" s="4199" t="str">
        <f>IF(SUM(L26)=0,"NO",L26*16/1000)</f>
        <v>NO</v>
      </c>
      <c r="M43" s="4199" t="str">
        <f>IF(SUM(M26)=0,"NO",M26*138/1000)</f>
        <v>NO</v>
      </c>
      <c r="N43" s="4199" t="str">
        <f>IF(SUM(N26)=0,"NO",N26*4/1000)</f>
        <v>NO</v>
      </c>
      <c r="O43" s="4199">
        <f>IF(SUM(O26)=0,"NO",O26*3350/1000)</f>
        <v>9.2016367682548665</v>
      </c>
      <c r="P43" s="4199" t="str">
        <f>IF(SUM(P26)=0,"NO",P26*1210/1000)</f>
        <v>NO</v>
      </c>
      <c r="Q43" s="4199" t="str">
        <f>IF(SUM(Q26)=0,"NO",Q26*1330/1000)</f>
        <v>NO</v>
      </c>
      <c r="R43" s="4199">
        <f>IF(SUM(R26)=0,"NO",R26*8060/1000)</f>
        <v>2.3713054512509765E-3</v>
      </c>
      <c r="S43" s="4199" t="str">
        <f>IF(SUM(S26)=0,"NO",S26*716/1000)</f>
        <v>NO</v>
      </c>
      <c r="T43" s="4199" t="str">
        <f>IF(SUM(T26)=0,"NO",T26*858/1000)</f>
        <v>NO</v>
      </c>
      <c r="U43" s="4199" t="str">
        <f>IF(SUM(U26)=0,"NO",U26*804/1000)</f>
        <v>NO</v>
      </c>
      <c r="V43" s="4199" t="str">
        <f>IF(SUM(V26)=0,"NO",V26*1/1000)</f>
        <v>NO</v>
      </c>
      <c r="W43" s="4199">
        <f t="shared" si="73"/>
        <v>607.0172347661329</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243.98668354023923</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6357.0664970637499</v>
      </c>
      <c r="I10" s="628"/>
      <c r="J10" s="628"/>
      <c r="K10" s="3192" t="str">
        <f>IF(SUM(K11:K14)=0,"NO",SUM(K11:K14))</f>
        <v>NO</v>
      </c>
      <c r="L10" s="3192" t="str">
        <f>IF(SUM(L11:L14)=0,"NO",SUM(L11:L14))</f>
        <v>NO</v>
      </c>
      <c r="M10" s="628"/>
      <c r="N10" s="1838"/>
    </row>
    <row r="11" spans="2:14" ht="18" customHeight="1" x14ac:dyDescent="0.2">
      <c r="B11" s="287" t="s">
        <v>491</v>
      </c>
      <c r="C11" s="2099" t="s">
        <v>2181</v>
      </c>
      <c r="D11" s="691">
        <v>6231.8049999999994</v>
      </c>
      <c r="E11" s="1913">
        <f>IF(SUM($D11)=0,"NA",H11/$D11)</f>
        <v>0.5576896401604351</v>
      </c>
      <c r="F11" s="628"/>
      <c r="G11" s="628"/>
      <c r="H11" s="3180">
        <v>3475.4130879999998</v>
      </c>
      <c r="I11" s="628"/>
      <c r="J11" s="628"/>
      <c r="K11" s="3180" t="s">
        <v>2146</v>
      </c>
      <c r="L11" s="691" t="s">
        <v>2146</v>
      </c>
      <c r="M11" s="628"/>
      <c r="N11" s="1838"/>
    </row>
    <row r="12" spans="2:14" ht="18" customHeight="1" x14ac:dyDescent="0.2">
      <c r="B12" s="287" t="s">
        <v>492</v>
      </c>
      <c r="C12" s="2100" t="s">
        <v>2182</v>
      </c>
      <c r="D12" s="691">
        <v>1702.6408398186559</v>
      </c>
      <c r="E12" s="1913">
        <f>IF(SUM($D12)=0,"NA",H12/$D12)</f>
        <v>0.74903586775302056</v>
      </c>
      <c r="F12" s="628"/>
      <c r="G12" s="628"/>
      <c r="H12" s="3180">
        <v>1275.3390589252986</v>
      </c>
      <c r="I12" s="628"/>
      <c r="J12" s="628"/>
      <c r="K12" s="3180" t="s">
        <v>2146</v>
      </c>
      <c r="L12" s="691" t="s">
        <v>2146</v>
      </c>
      <c r="M12" s="628"/>
      <c r="N12" s="1838"/>
    </row>
    <row r="13" spans="2:14" ht="18" customHeight="1" x14ac:dyDescent="0.2">
      <c r="B13" s="287" t="s">
        <v>493</v>
      </c>
      <c r="C13" s="2100" t="s">
        <v>2267</v>
      </c>
      <c r="D13" s="691">
        <v>263.71828611175749</v>
      </c>
      <c r="E13" s="1913">
        <f>IF(SUM($D13)=0,"NA",H13/$D13)</f>
        <v>0.39573900000000012</v>
      </c>
      <c r="F13" s="628"/>
      <c r="G13" s="628"/>
      <c r="H13" s="3180">
        <v>104.36361082758083</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1501.9507393108702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32.506997435466673</v>
      </c>
      <c r="I15" s="628"/>
      <c r="J15" s="628"/>
      <c r="K15" s="3180" t="s">
        <v>2146</v>
      </c>
      <c r="L15" s="691" t="s">
        <v>2146</v>
      </c>
      <c r="M15" s="628"/>
      <c r="N15" s="1838"/>
    </row>
    <row r="16" spans="2:14" ht="18" customHeight="1" x14ac:dyDescent="0.2">
      <c r="B16" s="160" t="s">
        <v>496</v>
      </c>
      <c r="C16" s="484" t="s">
        <v>2316</v>
      </c>
      <c r="D16" s="2905">
        <v>343.57750300000004</v>
      </c>
      <c r="E16" s="1913">
        <f>IF(SUM($D16)=0,"NA",H16/$D16)</f>
        <v>0.41491999999999996</v>
      </c>
      <c r="F16" s="628"/>
      <c r="G16" s="628"/>
      <c r="H16" s="3180">
        <v>142.55717754476001</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1326.8865643306435</v>
      </c>
      <c r="I18" s="628"/>
      <c r="J18" s="628"/>
      <c r="K18" s="3181" t="str">
        <f>K19</f>
        <v>NO</v>
      </c>
      <c r="L18" s="3193" t="str">
        <f>L19</f>
        <v>NO</v>
      </c>
      <c r="M18" s="628"/>
      <c r="N18" s="1838"/>
    </row>
    <row r="19" spans="2:14" ht="18" customHeight="1" x14ac:dyDescent="0.2">
      <c r="B19" s="3182" t="s">
        <v>2265</v>
      </c>
      <c r="C19" s="484" t="s">
        <v>2267</v>
      </c>
      <c r="D19" s="2905">
        <v>2570.4665931282425</v>
      </c>
      <c r="E19" s="1913">
        <f>IF(SUM($D19)=0,"NA",H19/$D19)</f>
        <v>0.41350201074136717</v>
      </c>
      <c r="F19" s="628"/>
      <c r="G19" s="628"/>
      <c r="H19" s="3180">
        <v>1062.8931048020399</v>
      </c>
      <c r="I19" s="628"/>
      <c r="J19" s="628"/>
      <c r="K19" s="3180" t="s">
        <v>2146</v>
      </c>
      <c r="L19" s="3180" t="s">
        <v>2146</v>
      </c>
      <c r="M19" s="628"/>
      <c r="N19" s="1838"/>
    </row>
    <row r="20" spans="2:14" ht="18" customHeight="1" x14ac:dyDescent="0.2">
      <c r="B20" s="3183" t="s">
        <v>2264</v>
      </c>
      <c r="C20" s="484" t="s">
        <v>2267</v>
      </c>
      <c r="D20" s="2905">
        <v>425.58007168917737</v>
      </c>
      <c r="E20" s="1913">
        <f>IF(SUM($D20)=0,"NA",H20/$D20)</f>
        <v>0.51375260716927063</v>
      </c>
      <c r="F20" s="628"/>
      <c r="G20" s="628"/>
      <c r="H20" s="3180">
        <v>218.64287138959997</v>
      </c>
      <c r="I20" s="628"/>
      <c r="J20" s="628"/>
      <c r="K20" s="3180" t="s">
        <v>2146</v>
      </c>
      <c r="L20" s="3180" t="s">
        <v>2146</v>
      </c>
      <c r="M20" s="2135"/>
      <c r="N20" s="2149"/>
    </row>
    <row r="21" spans="2:14" ht="18" customHeight="1" thickBot="1" x14ac:dyDescent="0.25">
      <c r="B21" s="3183" t="s">
        <v>2266</v>
      </c>
      <c r="C21" s="484" t="s">
        <v>2267</v>
      </c>
      <c r="D21" s="2905">
        <v>589.43548150000004</v>
      </c>
      <c r="E21" s="1913">
        <f>IF(SUM($D21)=0,"NA",H21/$D21)</f>
        <v>7.6939019727137861E-2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1751.69664800839</v>
      </c>
      <c r="I22" s="3067">
        <f>IF(SUM(I23:I26,I30,I33:I35,I47)=0,"IE",SUM(I23:I26,I30,I33:I35,I47))</f>
        <v>0.51080000000000003</v>
      </c>
      <c r="J22" s="3067">
        <f>IF(SUM(J23:J26,J30,J33:J35,J47)=0,"IE",SUM(J23:J26,J30,J33:J35,J47))</f>
        <v>5.6305063564516136</v>
      </c>
      <c r="K22" s="3067">
        <f>IF(SUM(K23:K26,K30,K33:K35,K47)=0,"NO",SUM(K23:K26,K30,K33:K35,K47))</f>
        <v>-147.634523811343</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561.68840178599999</v>
      </c>
      <c r="E23" s="1913">
        <f>IF(SUM($D23)=0,"NA",H23/$D23)</f>
        <v>1.408491096235422</v>
      </c>
      <c r="F23" s="1913" t="str">
        <f>IFERROR(IF(SUM($D23)=0,"NA",I23/$D23),"NA")</f>
        <v>NA</v>
      </c>
      <c r="G23" s="1913" t="str">
        <f>IFERROR(IF(SUM($D23)=0,"NA",J23/$D23),"NA")</f>
        <v>NA</v>
      </c>
      <c r="H23" s="691">
        <v>791.13311277428534</v>
      </c>
      <c r="I23" s="691" t="s">
        <v>2146</v>
      </c>
      <c r="J23" s="691" t="s">
        <v>2146</v>
      </c>
      <c r="K23" s="3180">
        <v>-147.634523811343</v>
      </c>
      <c r="L23" s="691" t="s">
        <v>2146</v>
      </c>
      <c r="M23" s="691" t="s">
        <v>2146</v>
      </c>
      <c r="N23" s="2911" t="s">
        <v>2146</v>
      </c>
    </row>
    <row r="24" spans="2:14" ht="18" customHeight="1" x14ac:dyDescent="0.2">
      <c r="B24" s="287" t="s">
        <v>500</v>
      </c>
      <c r="C24" s="484" t="s">
        <v>220</v>
      </c>
      <c r="D24" s="691">
        <v>527.17499999999995</v>
      </c>
      <c r="E24" s="2108"/>
      <c r="F24" s="2108"/>
      <c r="G24" s="1913">
        <f>IF(SUM($D24)=0,"NA",J24/$D24)</f>
        <v>1.0680526118369829E-2</v>
      </c>
      <c r="H24" s="2108"/>
      <c r="I24" s="2108"/>
      <c r="J24" s="691">
        <v>5.6305063564516136</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784.15125677170454</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53.6</v>
      </c>
      <c r="I35" s="3196">
        <f>I46</f>
        <v>0.51080000000000003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53.6</v>
      </c>
      <c r="I42" s="3198">
        <f>IF(SUM(I44:I45)=0,"NO",SUM(I44:I45))</f>
        <v>0.51080000000000003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53.6</v>
      </c>
      <c r="I45" s="3198">
        <f>I46</f>
        <v>0.51080000000000003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53.6</v>
      </c>
      <c r="I46" s="691">
        <v>0.51080000000000003</v>
      </c>
      <c r="J46" s="628"/>
      <c r="K46" s="691" t="s">
        <v>2146</v>
      </c>
      <c r="L46" s="691" t="s">
        <v>2146</v>
      </c>
      <c r="M46" s="691" t="s">
        <v>2146</v>
      </c>
      <c r="N46" s="1838"/>
    </row>
    <row r="47" spans="2:16" ht="18" customHeight="1" x14ac:dyDescent="0.2">
      <c r="B47" s="287" t="s">
        <v>520</v>
      </c>
      <c r="C47" s="2104"/>
      <c r="D47" s="628"/>
      <c r="E47" s="628"/>
      <c r="F47" s="628"/>
      <c r="G47" s="628"/>
      <c r="H47" s="3198">
        <f>H50</f>
        <v>122.8122784624001</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122.8122784624001</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122.8122784624001</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13111.731997972498</v>
      </c>
      <c r="I52" s="3192">
        <f>IF(SUM(I53,I62:I67)=0,"IE",SUM(I53,I62:I67))</f>
        <v>3.6002775527353736</v>
      </c>
      <c r="J52" s="1909">
        <f>J67</f>
        <v>8.1447931406107357E-2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1588.9999999999998</v>
      </c>
      <c r="E63" s="4130">
        <f>IF(SUM($D63)=0,"NA",H63/$D63)</f>
        <v>1.6816943933299</v>
      </c>
      <c r="F63" s="1892"/>
      <c r="G63" s="2107"/>
      <c r="H63" s="691">
        <v>2672.2123910012106</v>
      </c>
      <c r="I63" s="1879"/>
      <c r="J63" s="2108"/>
      <c r="K63" s="3180" t="s">
        <v>2146</v>
      </c>
      <c r="L63" s="691" t="s">
        <v>2146</v>
      </c>
      <c r="M63" s="3119"/>
      <c r="N63" s="2109"/>
    </row>
    <row r="64" spans="2:14" s="83" customFormat="1" ht="18" customHeight="1" x14ac:dyDescent="0.2">
      <c r="B64" s="1283" t="s">
        <v>533</v>
      </c>
      <c r="C64" s="2604" t="s">
        <v>2188</v>
      </c>
      <c r="D64" s="277">
        <v>0.153</v>
      </c>
      <c r="E64" s="276" t="e">
        <f>IF(SUM($D64)=0,"NA",H64/$D64)</f>
        <v>#VALUE!</v>
      </c>
      <c r="F64" s="1892"/>
      <c r="G64" s="2107"/>
      <c r="H64" s="691" t="str">
        <f>IF(D64="NO","NO","NA")</f>
        <v>NA</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10439.519606971287</v>
      </c>
      <c r="I67" s="3199">
        <f t="shared" ref="I67:N67" si="8">IF(SUM(I69:I70)=0,I70,SUM(I69:I70))</f>
        <v>3.6002775527353736</v>
      </c>
      <c r="J67" s="3199">
        <f t="shared" si="8"/>
        <v>8.1447931406107357E-2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10439.519606971287</v>
      </c>
      <c r="I70" s="3095">
        <f t="shared" si="9"/>
        <v>3.6002775527353736</v>
      </c>
      <c r="J70" s="3095">
        <f t="shared" si="9"/>
        <v>8.1447931406107357E-2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10439.519606971287</v>
      </c>
      <c r="I71" s="3123">
        <v>3.6002775527353736</v>
      </c>
      <c r="J71" s="3123">
        <v>8.1447931406107357E-2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278.53303649999992</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518.04123715100002</v>
      </c>
      <c r="E73" s="4130">
        <f t="shared" ref="E73:G74" si="11">IF(SUM($D73)=0,"NA",H73/$D73)</f>
        <v>0.5376657619609776</v>
      </c>
      <c r="F73" s="276" t="s">
        <v>2147</v>
      </c>
      <c r="G73" s="276" t="s">
        <v>2147</v>
      </c>
      <c r="H73" s="3122">
        <v>278.53303649999992</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308.71909090909099</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140.46137980152514</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140.46137980152514</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209.21069263362196</v>
      </c>
      <c r="H22" s="2611" t="str">
        <f>H23</f>
        <v>NO</v>
      </c>
    </row>
    <row r="23" spans="2:8" ht="18" customHeight="1" x14ac:dyDescent="0.2">
      <c r="B23" s="169" t="s">
        <v>636</v>
      </c>
      <c r="C23" s="2507"/>
      <c r="D23" s="76"/>
      <c r="E23" s="76"/>
      <c r="F23" s="4322"/>
      <c r="G23" s="3188">
        <f>IF(SUM(G24,G27)=0,"NO",SUM(G24,G27))</f>
        <v>209.05769263362197</v>
      </c>
      <c r="H23" s="2611" t="str">
        <f>H24</f>
        <v>NO</v>
      </c>
    </row>
    <row r="24" spans="2:8" ht="18" customHeight="1" x14ac:dyDescent="0.2">
      <c r="B24" s="171" t="s">
        <v>637</v>
      </c>
      <c r="C24" s="2507"/>
      <c r="D24" s="76"/>
      <c r="E24" s="76"/>
      <c r="F24" s="4322"/>
      <c r="G24" s="3188">
        <f>IF(SUM(G25:G26)=0,"NO",SUM(G25:G26))</f>
        <v>209.05769263362197</v>
      </c>
      <c r="H24" s="2611" t="str">
        <f>H25</f>
        <v>NO</v>
      </c>
    </row>
    <row r="25" spans="2:8" ht="18" customHeight="1" x14ac:dyDescent="0.25">
      <c r="B25" s="2609" t="s">
        <v>1741</v>
      </c>
      <c r="C25" s="2620" t="s">
        <v>1741</v>
      </c>
      <c r="D25" s="73" t="s">
        <v>638</v>
      </c>
      <c r="E25" s="691">
        <v>1588999.9999999998</v>
      </c>
      <c r="F25" s="4320">
        <f t="shared" ref="F25:F28" si="2">IF(SUM(E25)=0,"NA",G25*1000/E25)</f>
        <v>0.11644309175000001</v>
      </c>
      <c r="G25" s="691">
        <v>185.02807279074997</v>
      </c>
      <c r="H25" s="2610" t="s">
        <v>2146</v>
      </c>
    </row>
    <row r="26" spans="2:8" ht="18" customHeight="1" x14ac:dyDescent="0.25">
      <c r="B26" s="2609" t="s">
        <v>1742</v>
      </c>
      <c r="C26" s="2620" t="s">
        <v>1742</v>
      </c>
      <c r="D26" s="73" t="s">
        <v>638</v>
      </c>
      <c r="E26" s="691">
        <v>1588999.9999999998</v>
      </c>
      <c r="F26" s="4320">
        <f t="shared" si="2"/>
        <v>1.5122479447999999E-2</v>
      </c>
      <c r="G26" s="691">
        <v>24.029619842871995</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v>0.153</v>
      </c>
      <c r="F28" s="4320">
        <f t="shared" si="2"/>
        <v>1000</v>
      </c>
      <c r="G28" s="691">
        <v>0.153</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20.927781967255765</v>
      </c>
      <c r="K10" s="3224">
        <f>IF(SUM(K11,K90,K117,K130,K146,K159)=0,"NO",SUM(K11,K90,K117,K130,K146,K159))</f>
        <v>302.82868717118004</v>
      </c>
      <c r="L10" s="3225">
        <f>IF(SUM(L11,L90,L117,L130,L146,L159)=0,"NO",SUM(L11,L90,L117,L130,L146,L159))</f>
        <v>15.050188282257821</v>
      </c>
      <c r="M10" s="3498">
        <f>IF(SUM(M11,M90,M117,M130,M146,M159)=0,"NO",SUM(M11,M90,M117,M130,M146,M159))</f>
        <v>-11.501688052446021</v>
      </c>
    </row>
    <row r="11" spans="1:13" ht="18" customHeight="1" x14ac:dyDescent="0.2">
      <c r="B11" s="147" t="s">
        <v>667</v>
      </c>
      <c r="C11" s="2508"/>
      <c r="D11" s="2108"/>
      <c r="E11" s="2108"/>
      <c r="F11" s="2108"/>
      <c r="G11" s="2108"/>
      <c r="H11" s="2108"/>
      <c r="I11" s="2108"/>
      <c r="J11" s="3103">
        <f>IF(SUM(J12,J25,J38,J51,J64,J77)=0,"NO",SUM(J12,J25,J38,J51,J64,J77))</f>
        <v>12.658380565030484</v>
      </c>
      <c r="K11" s="3103">
        <f t="shared" ref="K11:M11" si="0">IF(SUM(K12,K25,K38,K51,K64,K77)=0,"NO",SUM(K12,K25,K38,K51,K64,K77))</f>
        <v>291.17390895478223</v>
      </c>
      <c r="L11" s="3103">
        <f t="shared" si="0"/>
        <v>12.581625581616162</v>
      </c>
      <c r="M11" s="3226">
        <f t="shared" si="0"/>
        <v>-11.501688052446021</v>
      </c>
    </row>
    <row r="12" spans="1:13" ht="18" customHeight="1" x14ac:dyDescent="0.2">
      <c r="B12" s="104" t="s">
        <v>668</v>
      </c>
      <c r="C12" s="2508"/>
      <c r="D12" s="2108"/>
      <c r="E12" s="2108"/>
      <c r="F12" s="2108"/>
      <c r="G12" s="2108"/>
      <c r="H12" s="2108"/>
      <c r="I12" s="2108"/>
      <c r="J12" s="3103">
        <f>IF(SUM(J13:J24)=0,"NO",SUM(J13:J24))</f>
        <v>6.8960255534928789</v>
      </c>
      <c r="K12" s="3103">
        <f>IF(SUM(K13:K24)=0,"NO",SUM(K13:K24))</f>
        <v>110.51051163439189</v>
      </c>
      <c r="L12" s="3103">
        <f>IF(SUM(L13:L24)=0,"NO",SUM(L13:L24))</f>
        <v>2.7335813192023994E-14</v>
      </c>
      <c r="M12" s="3226" t="str">
        <f>IF(SUM(M13:M24)=0,"NO",SUM(M13:M24))</f>
        <v>NO</v>
      </c>
    </row>
    <row r="13" spans="1:13" ht="18" customHeight="1" x14ac:dyDescent="0.2">
      <c r="B13" s="2616" t="s">
        <v>559</v>
      </c>
      <c r="C13" s="2618" t="s">
        <v>559</v>
      </c>
      <c r="D13" s="3227">
        <v>3.4425113406451192E-2</v>
      </c>
      <c r="E13" s="3227">
        <v>8.4461250608725863E-2</v>
      </c>
      <c r="F13" s="3227" t="s">
        <v>2146</v>
      </c>
      <c r="G13" s="3103">
        <f>IF(SUM(D13)=0,"NA",J13/D13)</f>
        <v>1.7500000000000002E-2</v>
      </c>
      <c r="H13" s="3103">
        <f>IF(SUM(E13)=0,"NA",K13/E13)</f>
        <v>0.11430379459134155</v>
      </c>
      <c r="I13" s="3103" t="str">
        <f>IF(SUM(F13)=0,"NA",(SUM(L13:M13))/F13)</f>
        <v>NA</v>
      </c>
      <c r="J13" s="3227">
        <v>6.024394846128959E-4</v>
      </c>
      <c r="K13" s="3227">
        <v>9.6542414405076226E-3</v>
      </c>
      <c r="L13" s="3227">
        <v>3.4694469519536142E-18</v>
      </c>
      <c r="M13" s="3497" t="s">
        <v>2146</v>
      </c>
    </row>
    <row r="14" spans="1:13" ht="18" customHeight="1" x14ac:dyDescent="0.2">
      <c r="B14" s="2616" t="s">
        <v>560</v>
      </c>
      <c r="C14" s="2618" t="s">
        <v>560</v>
      </c>
      <c r="D14" s="3227">
        <v>5.3805873802718773</v>
      </c>
      <c r="E14" s="3227">
        <v>13.201151548338187</v>
      </c>
      <c r="F14" s="3227" t="s">
        <v>2146</v>
      </c>
      <c r="G14" s="3103">
        <f t="shared" ref="G14:G24" si="1">IF(SUM(D14)=0,"NA",J14/D14)</f>
        <v>1.7500000000000002E-2</v>
      </c>
      <c r="H14" s="3103">
        <f t="shared" ref="H14:H24" si="2">IF(SUM(E14)=0,"NA",K14/E14)</f>
        <v>0.11430379459134156</v>
      </c>
      <c r="I14" s="3103" t="str">
        <f t="shared" ref="I14:I78" si="3">IF(SUM(F14)=0,"NA",(SUM(L14:M14))/F14)</f>
        <v>NA</v>
      </c>
      <c r="J14" s="3227">
        <v>9.4160279154757859E-2</v>
      </c>
      <c r="K14" s="3227">
        <v>1.5089417149504187</v>
      </c>
      <c r="L14" s="3227">
        <v>6.6613381477509392E-16</v>
      </c>
      <c r="M14" s="3497" t="s">
        <v>2146</v>
      </c>
    </row>
    <row r="15" spans="1:13" ht="18" customHeight="1" x14ac:dyDescent="0.2">
      <c r="B15" s="2616" t="s">
        <v>562</v>
      </c>
      <c r="C15" s="2618" t="s">
        <v>562</v>
      </c>
      <c r="D15" s="3227">
        <v>7.9877870288301484E-2</v>
      </c>
      <c r="E15" s="3227">
        <v>0.19597857938348096</v>
      </c>
      <c r="F15" s="3227" t="s">
        <v>2146</v>
      </c>
      <c r="G15" s="3103">
        <f t="shared" ref="G15" si="4">IF(SUM(D15)=0,"NA",J15/D15)</f>
        <v>1.7499999999999998E-2</v>
      </c>
      <c r="H15" s="3103">
        <f t="shared" ref="H15" si="5">IF(SUM(E15)=0,"NA",K15/E15)</f>
        <v>0.11430379459134152</v>
      </c>
      <c r="I15" s="3103" t="str">
        <f t="shared" si="3"/>
        <v>NA</v>
      </c>
      <c r="J15" s="3227">
        <v>1.3978627300452759E-3</v>
      </c>
      <c r="K15" s="3227">
        <v>2.2401095282152325E-2</v>
      </c>
      <c r="L15" s="3227">
        <v>1.3877787807814457E-17</v>
      </c>
      <c r="M15" s="3497" t="s">
        <v>2146</v>
      </c>
    </row>
    <row r="16" spans="1:13" ht="18" customHeight="1" x14ac:dyDescent="0.2">
      <c r="B16" s="2616" t="s">
        <v>563</v>
      </c>
      <c r="C16" s="2618" t="s">
        <v>563</v>
      </c>
      <c r="D16" s="3227">
        <v>97.378949081702601</v>
      </c>
      <c r="E16" s="3227">
        <v>238.91708722338558</v>
      </c>
      <c r="F16" s="3227" t="s">
        <v>2146</v>
      </c>
      <c r="G16" s="3103">
        <f t="shared" si="1"/>
        <v>1.7500000000000002E-2</v>
      </c>
      <c r="H16" s="3103">
        <f t="shared" si="2"/>
        <v>0.11430379459134153</v>
      </c>
      <c r="I16" s="3103" t="str">
        <f t="shared" si="3"/>
        <v>NA</v>
      </c>
      <c r="J16" s="3227">
        <v>1.7041316089297958</v>
      </c>
      <c r="K16" s="3227">
        <v>27.309129662343494</v>
      </c>
      <c r="L16" s="3227">
        <v>1.0658141036401503E-14</v>
      </c>
      <c r="M16" s="3497" t="s">
        <v>2146</v>
      </c>
    </row>
    <row r="17" spans="2:13" ht="18" customHeight="1" x14ac:dyDescent="0.2">
      <c r="B17" s="2616" t="s">
        <v>564</v>
      </c>
      <c r="C17" s="2618" t="s">
        <v>564</v>
      </c>
      <c r="D17" s="3227">
        <v>0.10902580140454611</v>
      </c>
      <c r="E17" s="3227">
        <v>0.26749238053405805</v>
      </c>
      <c r="F17" s="3227" t="s">
        <v>2146</v>
      </c>
      <c r="G17" s="3103">
        <f t="shared" si="1"/>
        <v>1.7500000000000002E-2</v>
      </c>
      <c r="H17" s="3103">
        <f t="shared" si="2"/>
        <v>0.11430379459134155</v>
      </c>
      <c r="I17" s="3103" t="str">
        <f t="shared" si="3"/>
        <v>NA</v>
      </c>
      <c r="J17" s="3227">
        <v>1.9079515245795571E-3</v>
      </c>
      <c r="K17" s="3227">
        <v>3.0575394119313939E-2</v>
      </c>
      <c r="L17" s="3227">
        <v>6.9388939039072284E-18</v>
      </c>
      <c r="M17" s="3497" t="s">
        <v>2146</v>
      </c>
    </row>
    <row r="18" spans="2:13" ht="18" customHeight="1" x14ac:dyDescent="0.2">
      <c r="B18" s="2616" t="s">
        <v>565</v>
      </c>
      <c r="C18" s="2618" t="s">
        <v>565</v>
      </c>
      <c r="D18" s="3227">
        <v>278.44751794246957</v>
      </c>
      <c r="E18" s="3227">
        <v>683.16479648573602</v>
      </c>
      <c r="F18" s="3227" t="s">
        <v>2146</v>
      </c>
      <c r="G18" s="3103">
        <f t="shared" si="1"/>
        <v>1.7499999999999998E-2</v>
      </c>
      <c r="H18" s="3103">
        <f t="shared" si="2"/>
        <v>0.11430379459134156</v>
      </c>
      <c r="I18" s="3103" t="str">
        <f t="shared" si="3"/>
        <v>NA</v>
      </c>
      <c r="J18" s="3227">
        <v>4.8728315639932172</v>
      </c>
      <c r="K18" s="3227">
        <v>78.088328569541233</v>
      </c>
      <c r="L18" s="3227">
        <v>1.4210854715202004E-14</v>
      </c>
      <c r="M18" s="3497" t="s">
        <v>2146</v>
      </c>
    </row>
    <row r="19" spans="2:13" ht="18" customHeight="1" x14ac:dyDescent="0.2">
      <c r="B19" s="2616" t="s">
        <v>567</v>
      </c>
      <c r="C19" s="2618" t="s">
        <v>567</v>
      </c>
      <c r="D19" s="3227">
        <v>9.3209090758201434</v>
      </c>
      <c r="E19" s="3227">
        <v>22.868643250611996</v>
      </c>
      <c r="F19" s="3227" t="s">
        <v>2146</v>
      </c>
      <c r="G19" s="3103">
        <f t="shared" si="1"/>
        <v>1.7500000000000002E-2</v>
      </c>
      <c r="H19" s="3103">
        <f t="shared" si="2"/>
        <v>0.11430379459134155</v>
      </c>
      <c r="I19" s="3103" t="str">
        <f t="shared" si="3"/>
        <v>NA</v>
      </c>
      <c r="J19" s="3227">
        <v>0.16311590882685253</v>
      </c>
      <c r="K19" s="3227">
        <v>2.6139727007006228</v>
      </c>
      <c r="L19" s="3227">
        <v>1.3322676295501878E-15</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3.3069565814914013</v>
      </c>
      <c r="E21" s="3227">
        <v>8.1135444721346524</v>
      </c>
      <c r="F21" s="3227" t="s">
        <v>2146</v>
      </c>
      <c r="G21" s="3103">
        <f t="shared" si="1"/>
        <v>1.7499999999999998E-2</v>
      </c>
      <c r="H21" s="3103">
        <f t="shared" si="2"/>
        <v>0.11430379459134156</v>
      </c>
      <c r="I21" s="3103" t="str">
        <f t="shared" si="3"/>
        <v>NA</v>
      </c>
      <c r="J21" s="3227">
        <v>5.7871740176099522E-2</v>
      </c>
      <c r="K21" s="3227">
        <v>0.92740892075059411</v>
      </c>
      <c r="L21" s="3227">
        <v>4.4408920985006262E-16</v>
      </c>
      <c r="M21" s="3497" t="s">
        <v>2146</v>
      </c>
    </row>
    <row r="22" spans="2:13" ht="18" customHeight="1" x14ac:dyDescent="0.2">
      <c r="B22" s="2616" t="s">
        <v>574</v>
      </c>
      <c r="C22" s="2618" t="s">
        <v>574</v>
      </c>
      <c r="D22" s="3227">
        <v>3.5420988110638764E-4</v>
      </c>
      <c r="E22" s="3227">
        <v>0.30629572548329947</v>
      </c>
      <c r="F22" s="3227" t="s">
        <v>2146</v>
      </c>
      <c r="G22" s="3103">
        <f t="shared" si="1"/>
        <v>1.7500000000000002E-2</v>
      </c>
      <c r="H22" s="3103">
        <f t="shared" si="2"/>
        <v>3.2431162200774997E-4</v>
      </c>
      <c r="I22" s="3103" t="str">
        <f t="shared" si="3"/>
        <v>NA</v>
      </c>
      <c r="J22" s="3227">
        <v>6.198672919361784E-6</v>
      </c>
      <c r="K22" s="3227">
        <v>9.9335263545529377E-5</v>
      </c>
      <c r="L22" s="3227">
        <v>4.0657581468206416E-20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0.17830472779748968</v>
      </c>
      <c r="K25" s="3103">
        <f>IF(SUM(K26:K37)=0,"NO",SUM(K26:K37))</f>
        <v>4.225010291850408</v>
      </c>
      <c r="L25" s="3103">
        <f>IF(SUM(L26:L37)=0,"NO",SUM(L26:L37))</f>
        <v>-1.3986208025063007E-17</v>
      </c>
      <c r="M25" s="3226" t="str">
        <f>IF(SUM(M26:M37)=0,"NO",SUM(M26:M37))</f>
        <v>NO</v>
      </c>
    </row>
    <row r="26" spans="2:13" ht="18" customHeight="1" x14ac:dyDescent="0.2">
      <c r="B26" s="2616" t="s">
        <v>559</v>
      </c>
      <c r="C26" s="2618" t="s">
        <v>559</v>
      </c>
      <c r="D26" s="3227">
        <v>2.5961284386471616E-3</v>
      </c>
      <c r="E26" s="3227">
        <v>2.3871378407890203E-2</v>
      </c>
      <c r="F26" s="3227" t="s">
        <v>2146</v>
      </c>
      <c r="G26" s="3103">
        <f>IF(SUM(D26)=0,"NA",J26/D26)</f>
        <v>5.9999999999999993E-3</v>
      </c>
      <c r="H26" s="3103">
        <f>IF(SUM(E26)=0,"NA",K26/E26)</f>
        <v>1.5461970493063432E-2</v>
      </c>
      <c r="I26" s="3103" t="str">
        <f t="shared" si="3"/>
        <v>NA</v>
      </c>
      <c r="J26" s="3227">
        <v>1.5576770631882968E-5</v>
      </c>
      <c r="K26" s="3227">
        <v>3.6909854857154983E-4</v>
      </c>
      <c r="L26" s="3227" t="s">
        <v>2146</v>
      </c>
      <c r="M26" s="3497" t="s">
        <v>2146</v>
      </c>
    </row>
    <row r="27" spans="2:13" ht="18" customHeight="1" x14ac:dyDescent="0.2">
      <c r="B27" s="2616" t="s">
        <v>560</v>
      </c>
      <c r="C27" s="2618" t="s">
        <v>560</v>
      </c>
      <c r="D27" s="3227">
        <v>0.40577051263779268</v>
      </c>
      <c r="E27" s="3227">
        <v>3.7310563336334237</v>
      </c>
      <c r="F27" s="3227" t="s">
        <v>2146</v>
      </c>
      <c r="G27" s="3103">
        <f t="shared" ref="G27:G37" si="6">IF(SUM(D27)=0,"NA",J27/D27)</f>
        <v>6.0000000000000001E-3</v>
      </c>
      <c r="H27" s="3103">
        <f t="shared" ref="H27:H37" si="7">IF(SUM(E27)=0,"NA",K27/E27)</f>
        <v>1.5461970493063434E-2</v>
      </c>
      <c r="I27" s="3103" t="str">
        <f t="shared" si="3"/>
        <v>NA</v>
      </c>
      <c r="J27" s="3227">
        <v>2.4346230758267562E-3</v>
      </c>
      <c r="K27" s="3227">
        <v>5.7689482938597436E-2</v>
      </c>
      <c r="L27" s="3227">
        <v>-1.3877787807814457E-17</v>
      </c>
      <c r="M27" s="3497" t="s">
        <v>2146</v>
      </c>
    </row>
    <row r="28" spans="2:13" ht="18" customHeight="1" x14ac:dyDescent="0.2">
      <c r="B28" s="2616" t="s">
        <v>562</v>
      </c>
      <c r="C28" s="2618" t="s">
        <v>562</v>
      </c>
      <c r="D28" s="3227">
        <v>6.0238933195545354E-3</v>
      </c>
      <c r="E28" s="3227">
        <v>5.5389646667397326E-2</v>
      </c>
      <c r="F28" s="3227" t="s">
        <v>2146</v>
      </c>
      <c r="G28" s="3103">
        <f t="shared" si="6"/>
        <v>6.0000000000000001E-3</v>
      </c>
      <c r="H28" s="3103">
        <f t="shared" si="7"/>
        <v>1.5461970493063432E-2</v>
      </c>
      <c r="I28" s="3103" t="str">
        <f t="shared" si="3"/>
        <v>NA</v>
      </c>
      <c r="J28" s="3227">
        <v>3.6143359917327213E-5</v>
      </c>
      <c r="K28" s="3227">
        <v>8.5643308239250675E-4</v>
      </c>
      <c r="L28" s="3227">
        <v>-1.0842021724855044E-19</v>
      </c>
      <c r="M28" s="3497" t="s">
        <v>2146</v>
      </c>
    </row>
    <row r="29" spans="2:13" ht="18" customHeight="1" x14ac:dyDescent="0.2">
      <c r="B29" s="2616" t="s">
        <v>563</v>
      </c>
      <c r="C29" s="2618" t="s">
        <v>563</v>
      </c>
      <c r="D29" s="3227">
        <v>7.343716084583944</v>
      </c>
      <c r="E29" s="3227">
        <v>67.525405509815272</v>
      </c>
      <c r="F29" s="3227" t="s">
        <v>2146</v>
      </c>
      <c r="G29" s="3103">
        <f t="shared" si="6"/>
        <v>6.0000000000000001E-3</v>
      </c>
      <c r="H29" s="3103">
        <f t="shared" si="7"/>
        <v>1.5461970493063432E-2</v>
      </c>
      <c r="I29" s="3103" t="str">
        <f t="shared" si="3"/>
        <v>NA</v>
      </c>
      <c r="J29" s="3227">
        <v>4.4062296507503665E-2</v>
      </c>
      <c r="K29" s="3227">
        <v>1.0440758275249067</v>
      </c>
      <c r="L29" s="3227" t="s">
        <v>2146</v>
      </c>
      <c r="M29" s="3497" t="s">
        <v>2146</v>
      </c>
    </row>
    <row r="30" spans="2:13" ht="18" customHeight="1" x14ac:dyDescent="0.2">
      <c r="B30" s="2616" t="s">
        <v>564</v>
      </c>
      <c r="C30" s="2618" t="s">
        <v>564</v>
      </c>
      <c r="D30" s="3227">
        <v>8.2220494158081053E-3</v>
      </c>
      <c r="E30" s="3227">
        <v>7.560167284920799E-2</v>
      </c>
      <c r="F30" s="3227" t="s">
        <v>2146</v>
      </c>
      <c r="G30" s="3103">
        <f t="shared" si="6"/>
        <v>5.9999999999999993E-3</v>
      </c>
      <c r="H30" s="3103">
        <f t="shared" si="7"/>
        <v>1.5461970493063434E-2</v>
      </c>
      <c r="I30" s="3103" t="str">
        <f t="shared" si="3"/>
        <v>NA</v>
      </c>
      <c r="J30" s="3227">
        <v>4.9332296494848626E-5</v>
      </c>
      <c r="K30" s="3227">
        <v>1.1689508348206889E-3</v>
      </c>
      <c r="L30" s="3227" t="s">
        <v>2146</v>
      </c>
      <c r="M30" s="3497" t="s">
        <v>2146</v>
      </c>
    </row>
    <row r="31" spans="2:13" ht="18" customHeight="1" x14ac:dyDescent="0.2">
      <c r="B31" s="2616" t="s">
        <v>565</v>
      </c>
      <c r="C31" s="2618" t="s">
        <v>565</v>
      </c>
      <c r="D31" s="3227">
        <v>20.998783982675093</v>
      </c>
      <c r="E31" s="3227">
        <v>193.08363603812754</v>
      </c>
      <c r="F31" s="3227" t="s">
        <v>2146</v>
      </c>
      <c r="G31" s="3103">
        <f t="shared" si="6"/>
        <v>6.0000000000000001E-3</v>
      </c>
      <c r="H31" s="3103">
        <f t="shared" si="7"/>
        <v>1.5461970493063431E-2</v>
      </c>
      <c r="I31" s="3103" t="str">
        <f t="shared" si="3"/>
        <v>NA</v>
      </c>
      <c r="J31" s="3227">
        <v>0.12599270389605055</v>
      </c>
      <c r="K31" s="3227">
        <v>2.9854534831149269</v>
      </c>
      <c r="L31" s="3227" t="s">
        <v>2146</v>
      </c>
      <c r="M31" s="3497" t="s">
        <v>2146</v>
      </c>
    </row>
    <row r="32" spans="2:13" ht="18" customHeight="1" x14ac:dyDescent="0.2">
      <c r="B32" s="2616" t="s">
        <v>567</v>
      </c>
      <c r="C32" s="2618" t="s">
        <v>567</v>
      </c>
      <c r="D32" s="3227">
        <v>1.6189314874643411E-3</v>
      </c>
      <c r="E32" s="3227">
        <v>6.4633904041909194</v>
      </c>
      <c r="F32" s="3227" t="s">
        <v>2146</v>
      </c>
      <c r="G32" s="3103">
        <f t="shared" si="6"/>
        <v>2.605144676854775</v>
      </c>
      <c r="H32" s="3103">
        <f t="shared" si="7"/>
        <v>1.5461970493063431E-2</v>
      </c>
      <c r="I32" s="3103" t="str">
        <f t="shared" si="3"/>
        <v>NA</v>
      </c>
      <c r="J32" s="3227">
        <v>4.2175507467603112E-3</v>
      </c>
      <c r="K32" s="3227">
        <v>9.993675171474932E-2</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0.24939014507276427</v>
      </c>
      <c r="E34" s="3227">
        <v>2.2931402143311672</v>
      </c>
      <c r="F34" s="3227" t="s">
        <v>2146</v>
      </c>
      <c r="G34" s="3103">
        <f t="shared" si="6"/>
        <v>6.0000000000000001E-3</v>
      </c>
      <c r="H34" s="3103">
        <f t="shared" si="7"/>
        <v>1.5461970493063432E-2</v>
      </c>
      <c r="I34" s="3103" t="str">
        <f t="shared" si="3"/>
        <v>NA</v>
      </c>
      <c r="J34" s="3227">
        <v>1.4963408704365857E-3</v>
      </c>
      <c r="K34" s="3227">
        <v>3.5456466330445663E-2</v>
      </c>
      <c r="L34" s="3227" t="s">
        <v>2146</v>
      </c>
      <c r="M34" s="3497" t="s">
        <v>2146</v>
      </c>
    </row>
    <row r="35" spans="2:13" ht="18" customHeight="1" x14ac:dyDescent="0.2">
      <c r="B35" s="2616" t="s">
        <v>574</v>
      </c>
      <c r="C35" s="2618" t="s">
        <v>574</v>
      </c>
      <c r="D35" s="3227">
        <v>2.6712311292423995E-5</v>
      </c>
      <c r="E35" s="3227">
        <v>2.4561946994544511E-4</v>
      </c>
      <c r="F35" s="3227" t="s">
        <v>2146</v>
      </c>
      <c r="G35" s="3103">
        <f t="shared" si="6"/>
        <v>6.0000000000000001E-3</v>
      </c>
      <c r="H35" s="3103">
        <f t="shared" si="7"/>
        <v>1.5461970493063432E-2</v>
      </c>
      <c r="I35" s="3103" t="str">
        <f t="shared" si="3"/>
        <v>NA</v>
      </c>
      <c r="J35" s="3227">
        <v>1.6027386775454398E-7</v>
      </c>
      <c r="K35" s="3227">
        <v>3.7977609968183531E-6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1.6627352535446833</v>
      </c>
      <c r="K51" s="3103">
        <f>IF(SUM(K52:K63)=0,"NO",SUM(K52:K63))</f>
        <v>12.565672631950784</v>
      </c>
      <c r="L51" s="3103">
        <f>IF(SUM(L52:L63)=0,"NO",SUM(L52:L63))</f>
        <v>2.8057000760238829E-15</v>
      </c>
      <c r="M51" s="3226" t="str">
        <f>IF(SUM(M52:M63)=0,"NO",SUM(M52:M63))</f>
        <v>NO</v>
      </c>
    </row>
    <row r="52" spans="2:13" ht="18" customHeight="1" x14ac:dyDescent="0.2">
      <c r="B52" s="2616" t="s">
        <v>559</v>
      </c>
      <c r="C52" s="2618" t="s">
        <v>559</v>
      </c>
      <c r="D52" s="3227">
        <v>2.8481804096842241E-3</v>
      </c>
      <c r="E52" s="3227">
        <v>6.5236042791223872E-3</v>
      </c>
      <c r="F52" s="3227" t="s">
        <v>2146</v>
      </c>
      <c r="G52" s="3103">
        <f>IF(SUM(D52)=0,"NA",J52/D52)</f>
        <v>5.1000000000000004E-2</v>
      </c>
      <c r="H52" s="3103">
        <f>IF(SUM(E52)=0,"NA",K52/E52)</f>
        <v>0.16827232613918142</v>
      </c>
      <c r="I52" s="3103" t="str">
        <f t="shared" si="3"/>
        <v>NA</v>
      </c>
      <c r="J52" s="3227">
        <v>1.4525720089389544E-4</v>
      </c>
      <c r="K52" s="3227">
        <v>1.0977420668594419E-3</v>
      </c>
      <c r="L52" s="3227">
        <v>2.1684043449710089E-19</v>
      </c>
      <c r="M52" s="3497" t="s">
        <v>2146</v>
      </c>
    </row>
    <row r="53" spans="2:13" ht="18" customHeight="1" x14ac:dyDescent="0.2">
      <c r="B53" s="2616" t="s">
        <v>560</v>
      </c>
      <c r="C53" s="2618" t="s">
        <v>560</v>
      </c>
      <c r="D53" s="3227">
        <v>0.4451658121832846</v>
      </c>
      <c r="E53" s="3227">
        <v>1.0196283870935838</v>
      </c>
      <c r="F53" s="3227" t="s">
        <v>2146</v>
      </c>
      <c r="G53" s="3103">
        <f t="shared" ref="G53:G63" si="36">IF(SUM(D53)=0,"NA",J53/D53)</f>
        <v>5.1000000000000004E-2</v>
      </c>
      <c r="H53" s="3103">
        <f t="shared" ref="H53:H63" si="37">IF(SUM(E53)=0,"NA",K53/E53)</f>
        <v>0.16827232613918142</v>
      </c>
      <c r="I53" s="3103" t="str">
        <f t="shared" si="3"/>
        <v>NA</v>
      </c>
      <c r="J53" s="3227">
        <v>2.2703456421347516E-2</v>
      </c>
      <c r="K53" s="3227">
        <v>0.17157524049377906</v>
      </c>
      <c r="L53" s="3227">
        <v>5.5511151231257827E-17</v>
      </c>
      <c r="M53" s="3497" t="s">
        <v>2146</v>
      </c>
    </row>
    <row r="54" spans="2:13" ht="18" customHeight="1" x14ac:dyDescent="0.2">
      <c r="B54" s="2616" t="s">
        <v>562</v>
      </c>
      <c r="C54" s="2618" t="s">
        <v>562</v>
      </c>
      <c r="D54" s="3227">
        <v>6.6087388772350002E-3</v>
      </c>
      <c r="E54" s="3227">
        <v>1.5136961504454914E-2</v>
      </c>
      <c r="F54" s="3227" t="s">
        <v>2146</v>
      </c>
      <c r="G54" s="3103">
        <f t="shared" si="36"/>
        <v>5.1000000000000004E-2</v>
      </c>
      <c r="H54" s="3103">
        <f t="shared" si="37"/>
        <v>0.16827232613918142</v>
      </c>
      <c r="I54" s="3103" t="str">
        <f t="shared" si="3"/>
        <v>NA</v>
      </c>
      <c r="J54" s="3227">
        <v>3.3704568273898504E-4</v>
      </c>
      <c r="K54" s="3227">
        <v>2.5471317230338717E-3</v>
      </c>
      <c r="L54" s="3227">
        <v>1.3010426069826053E-18</v>
      </c>
      <c r="M54" s="3497" t="s">
        <v>2146</v>
      </c>
    </row>
    <row r="55" spans="2:13" ht="18" customHeight="1" x14ac:dyDescent="0.2">
      <c r="B55" s="2616" t="s">
        <v>563</v>
      </c>
      <c r="C55" s="2618" t="s">
        <v>563</v>
      </c>
      <c r="D55" s="3227">
        <v>8.0567001135330365</v>
      </c>
      <c r="E55" s="3227">
        <v>18.453438959674987</v>
      </c>
      <c r="F55" s="3227" t="s">
        <v>2146</v>
      </c>
      <c r="G55" s="3103">
        <f t="shared" si="36"/>
        <v>5.0999999999999997E-2</v>
      </c>
      <c r="H55" s="3103">
        <f t="shared" si="37"/>
        <v>0.16827232613918144</v>
      </c>
      <c r="I55" s="3103" t="str">
        <f t="shared" si="3"/>
        <v>NA</v>
      </c>
      <c r="J55" s="3227">
        <v>0.41089170579018486</v>
      </c>
      <c r="K55" s="3227">
        <v>3.1052030990119066</v>
      </c>
      <c r="L55" s="3227">
        <v>8.8817841970012523E-16</v>
      </c>
      <c r="M55" s="3497" t="s">
        <v>2146</v>
      </c>
    </row>
    <row r="56" spans="2:13" ht="18" customHeight="1" x14ac:dyDescent="0.2">
      <c r="B56" s="2616" t="s">
        <v>564</v>
      </c>
      <c r="C56" s="2618" t="s">
        <v>564</v>
      </c>
      <c r="D56" s="3227">
        <v>9.0203087508888002E-3</v>
      </c>
      <c r="E56" s="3227">
        <v>2.0660532797087589E-2</v>
      </c>
      <c r="F56" s="3227" t="s">
        <v>2146</v>
      </c>
      <c r="G56" s="3103">
        <f t="shared" si="36"/>
        <v>5.1000000000000004E-2</v>
      </c>
      <c r="H56" s="3103">
        <f t="shared" si="37"/>
        <v>0.16827232613918144</v>
      </c>
      <c r="I56" s="3103" t="str">
        <f t="shared" si="3"/>
        <v>NA</v>
      </c>
      <c r="J56" s="3227">
        <v>4.6003574629532883E-4</v>
      </c>
      <c r="K56" s="3227">
        <v>3.4765959130407774E-3</v>
      </c>
      <c r="L56" s="3227">
        <v>8.6736173798840355E-19</v>
      </c>
      <c r="M56" s="3497" t="s">
        <v>2146</v>
      </c>
    </row>
    <row r="57" spans="2:13" ht="18" customHeight="1" x14ac:dyDescent="0.2">
      <c r="B57" s="2616" t="s">
        <v>565</v>
      </c>
      <c r="C57" s="2618" t="s">
        <v>565</v>
      </c>
      <c r="D57" s="3227">
        <v>23.037506263677809</v>
      </c>
      <c r="E57" s="3227">
        <v>52.766170966922573</v>
      </c>
      <c r="F57" s="3227" t="s">
        <v>2146</v>
      </c>
      <c r="G57" s="3103">
        <f t="shared" si="36"/>
        <v>5.1000000000000011E-2</v>
      </c>
      <c r="H57" s="3103">
        <f t="shared" si="37"/>
        <v>0.16827232613918144</v>
      </c>
      <c r="I57" s="3103" t="str">
        <f t="shared" si="3"/>
        <v>NA</v>
      </c>
      <c r="J57" s="3227">
        <v>1.1749128194475684</v>
      </c>
      <c r="K57" s="3227">
        <v>8.8790863300618028</v>
      </c>
      <c r="L57" s="3227">
        <v>1.7763568394002505E-15</v>
      </c>
      <c r="M57" s="3497" t="s">
        <v>2146</v>
      </c>
    </row>
    <row r="58" spans="2:13" ht="18" customHeight="1" x14ac:dyDescent="0.2">
      <c r="B58" s="2616" t="s">
        <v>567</v>
      </c>
      <c r="C58" s="2618" t="s">
        <v>567</v>
      </c>
      <c r="D58" s="3227">
        <v>0.77117046258513855</v>
      </c>
      <c r="E58" s="3227">
        <v>1.766324532163664</v>
      </c>
      <c r="F58" s="3227" t="s">
        <v>2146</v>
      </c>
      <c r="G58" s="3103">
        <f t="shared" si="36"/>
        <v>5.1000000000000004E-2</v>
      </c>
      <c r="H58" s="3103">
        <f t="shared" si="37"/>
        <v>0.16827232613918144</v>
      </c>
      <c r="I58" s="3103" t="str">
        <f t="shared" si="3"/>
        <v>NA</v>
      </c>
      <c r="J58" s="3227">
        <v>3.9329693591842067E-2</v>
      </c>
      <c r="K58" s="3227">
        <v>0.29722353774388116</v>
      </c>
      <c r="L58" s="3227">
        <v>5.5511151231257827E-17</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0.27360284452440048</v>
      </c>
      <c r="E60" s="3227">
        <v>0.62667262272101787</v>
      </c>
      <c r="F60" s="3227" t="s">
        <v>2146</v>
      </c>
      <c r="G60" s="3103">
        <f t="shared" si="36"/>
        <v>5.0999999999999997E-2</v>
      </c>
      <c r="H60" s="3103">
        <f t="shared" si="37"/>
        <v>0.16827232613918144</v>
      </c>
      <c r="I60" s="3103" t="str">
        <f t="shared" si="3"/>
        <v>NA</v>
      </c>
      <c r="J60" s="3227">
        <v>1.3953745070744424E-2</v>
      </c>
      <c r="K60" s="3227">
        <v>0.10545165995300733</v>
      </c>
      <c r="L60" s="3227">
        <v>2.7755575615628914E-17</v>
      </c>
      <c r="M60" s="3497" t="s">
        <v>2146</v>
      </c>
    </row>
    <row r="61" spans="2:13" ht="18" customHeight="1" x14ac:dyDescent="0.2">
      <c r="B61" s="2616" t="s">
        <v>574</v>
      </c>
      <c r="C61" s="2618" t="s">
        <v>574</v>
      </c>
      <c r="D61" s="3227">
        <v>2.9305746429138403E-5</v>
      </c>
      <c r="E61" s="3227">
        <v>6.7123238457074698E-5</v>
      </c>
      <c r="F61" s="3227" t="s">
        <v>2146</v>
      </c>
      <c r="G61" s="3103">
        <f t="shared" si="36"/>
        <v>5.1000000000000004E-2</v>
      </c>
      <c r="H61" s="3103">
        <f t="shared" si="37"/>
        <v>0.16827232613918142</v>
      </c>
      <c r="I61" s="3103" t="str">
        <f t="shared" si="3"/>
        <v>NA</v>
      </c>
      <c r="J61" s="3227">
        <v>1.4945930678860587E-6</v>
      </c>
      <c r="K61" s="3227">
        <v>1.1294983473166919E-5</v>
      </c>
      <c r="L61" s="3227">
        <v>1.6940658945086007E-21</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1.08166919177962</v>
      </c>
      <c r="K64" s="3103">
        <f>IF(SUM(K65:K76)=0,"NO",SUM(K65:K76))</f>
        <v>101.31354415971457</v>
      </c>
      <c r="L64" s="3103">
        <f>IF(SUM(L65:L76)=0,"NO",SUM(L65:L76))</f>
        <v>2.5861579084005522</v>
      </c>
      <c r="M64" s="3226">
        <f>IF(SUM(M65:M76)=0,"NO",SUM(M65:M76))</f>
        <v>-1.5062203792304527</v>
      </c>
    </row>
    <row r="65" spans="2:13" ht="18" customHeight="1" x14ac:dyDescent="0.2">
      <c r="B65" s="2616" t="s">
        <v>559</v>
      </c>
      <c r="C65" s="2618" t="s">
        <v>559</v>
      </c>
      <c r="D65" s="3227">
        <v>2.6998583681594152E-2</v>
      </c>
      <c r="E65" s="3227">
        <v>9.6365309612671063E-2</v>
      </c>
      <c r="F65" s="3227">
        <v>3.575117649024185E-4</v>
      </c>
      <c r="G65" s="3103">
        <f>IF(SUM(D65)=0,"NA",J65/D65)</f>
        <v>3.4999999999999996E-3</v>
      </c>
      <c r="H65" s="3103">
        <f>IF(SUM(E65)=0,"NA",K65/E65)</f>
        <v>9.1846233950058254E-2</v>
      </c>
      <c r="I65" s="3103">
        <f t="shared" si="3"/>
        <v>0.26388995671151938</v>
      </c>
      <c r="J65" s="3227">
        <v>9.4495042885579523E-5</v>
      </c>
      <c r="K65" s="3227">
        <v>8.8507907713551836E-3</v>
      </c>
      <c r="L65" s="3227">
        <v>2.2592776453318926E-4</v>
      </c>
      <c r="M65" s="3497">
        <v>-1.3158400036923114E-4</v>
      </c>
    </row>
    <row r="66" spans="2:13" ht="18" customHeight="1" x14ac:dyDescent="0.2">
      <c r="B66" s="2616" t="s">
        <v>560</v>
      </c>
      <c r="C66" s="2618" t="s">
        <v>560</v>
      </c>
      <c r="D66" s="3227">
        <v>4.2198332632123385</v>
      </c>
      <c r="E66" s="3227">
        <v>15.061735968043724</v>
      </c>
      <c r="F66" s="3227">
        <v>5.5878488120599666E-2</v>
      </c>
      <c r="G66" s="3103">
        <f t="shared" ref="G66:G76" si="38">IF(SUM(D66)=0,"NA",J66/D66)</f>
        <v>3.4999999999999996E-3</v>
      </c>
      <c r="H66" s="3103">
        <f t="shared" ref="H66:H76" si="39">IF(SUM(E66)=0,"NA",K66/E66)</f>
        <v>9.1846233950058254E-2</v>
      </c>
      <c r="I66" s="3103">
        <f t="shared" si="3"/>
        <v>0.26388995671152443</v>
      </c>
      <c r="J66" s="3227">
        <v>1.4769416421243183E-2</v>
      </c>
      <c r="K66" s="3227">
        <v>1.3833637254149509</v>
      </c>
      <c r="L66" s="3227">
        <v>3.5312129965925365E-2</v>
      </c>
      <c r="M66" s="3497">
        <v>-2.0566358154674887E-2</v>
      </c>
    </row>
    <row r="67" spans="2:13" ht="18" customHeight="1" x14ac:dyDescent="0.2">
      <c r="B67" s="2616" t="s">
        <v>562</v>
      </c>
      <c r="C67" s="2618" t="s">
        <v>562</v>
      </c>
      <c r="D67" s="3227">
        <v>6.2645817308537632E-2</v>
      </c>
      <c r="E67" s="3227">
        <v>0.2236000099883611</v>
      </c>
      <c r="F67" s="3227">
        <v>8.2954783754076301E-4</v>
      </c>
      <c r="G67" s="3103">
        <f t="shared" si="38"/>
        <v>3.4999999999999992E-3</v>
      </c>
      <c r="H67" s="3103">
        <f t="shared" si="39"/>
        <v>9.184623395005824E-2</v>
      </c>
      <c r="I67" s="3103">
        <f t="shared" si="3"/>
        <v>0.26388995671152526</v>
      </c>
      <c r="J67" s="3227">
        <v>2.1926036057988167E-4</v>
      </c>
      <c r="K67" s="3227">
        <v>2.0536818828626374E-2</v>
      </c>
      <c r="L67" s="3227">
        <v>5.2422859023977184E-4</v>
      </c>
      <c r="M67" s="3497">
        <v>-3.053192473010005E-4</v>
      </c>
    </row>
    <row r="68" spans="2:13" ht="18" customHeight="1" x14ac:dyDescent="0.2">
      <c r="B68" s="2616" t="s">
        <v>563</v>
      </c>
      <c r="C68" s="2618" t="s">
        <v>563</v>
      </c>
      <c r="D68" s="3227">
        <v>76.371388368915504</v>
      </c>
      <c r="E68" s="3227">
        <v>272.59031705197719</v>
      </c>
      <c r="F68" s="3227">
        <v>1.0113000802495005</v>
      </c>
      <c r="G68" s="3103">
        <f t="shared" si="38"/>
        <v>3.4999999999999992E-3</v>
      </c>
      <c r="H68" s="3103">
        <f t="shared" si="39"/>
        <v>9.1846233950058268E-2</v>
      </c>
      <c r="I68" s="3103">
        <f t="shared" si="3"/>
        <v>0.26388995671151916</v>
      </c>
      <c r="J68" s="3227">
        <v>0.2672998592912042</v>
      </c>
      <c r="K68" s="3227">
        <v>25.036394032476455</v>
      </c>
      <c r="L68" s="3227">
        <v>0.63908600732445109</v>
      </c>
      <c r="M68" s="3497">
        <v>-0.37221407292505454</v>
      </c>
    </row>
    <row r="69" spans="2:13" ht="18" customHeight="1" x14ac:dyDescent="0.2">
      <c r="B69" s="2616" t="s">
        <v>564</v>
      </c>
      <c r="C69" s="2618" t="s">
        <v>564</v>
      </c>
      <c r="D69" s="3227">
        <v>8.5505665236875875E-2</v>
      </c>
      <c r="E69" s="3227">
        <v>0.3051930427671391</v>
      </c>
      <c r="F69" s="3227">
        <v>1.1322549970956802E-3</v>
      </c>
      <c r="G69" s="3103">
        <f t="shared" si="38"/>
        <v>3.4999999999999992E-3</v>
      </c>
      <c r="H69" s="3103">
        <f t="shared" si="39"/>
        <v>9.1846233950058254E-2</v>
      </c>
      <c r="I69" s="3103">
        <f t="shared" si="3"/>
        <v>0.26388995671151927</v>
      </c>
      <c r="J69" s="3227">
        <v>2.9926982832906551E-4</v>
      </c>
      <c r="K69" s="3227">
        <v>2.8030831605920792E-2</v>
      </c>
      <c r="L69" s="3227">
        <v>7.1552285963283335E-4</v>
      </c>
      <c r="M69" s="3497">
        <v>-4.167321374628529E-4</v>
      </c>
    </row>
    <row r="70" spans="2:13" ht="18" customHeight="1" x14ac:dyDescent="0.2">
      <c r="B70" s="2616" t="s">
        <v>565</v>
      </c>
      <c r="C70" s="2618" t="s">
        <v>565</v>
      </c>
      <c r="D70" s="3227">
        <v>218.37803481841704</v>
      </c>
      <c r="E70" s="3227">
        <v>779.45077364298436</v>
      </c>
      <c r="F70" s="3227">
        <v>2.8917337873941467</v>
      </c>
      <c r="G70" s="3103">
        <f t="shared" si="38"/>
        <v>3.4999999999999996E-3</v>
      </c>
      <c r="H70" s="3103">
        <f t="shared" si="39"/>
        <v>9.1846233950058268E-2</v>
      </c>
      <c r="I70" s="3103">
        <f t="shared" si="3"/>
        <v>0.26388995671151827</v>
      </c>
      <c r="J70" s="3227">
        <v>0.7643231218644595</v>
      </c>
      <c r="K70" s="3227">
        <v>71.58961810856745</v>
      </c>
      <c r="L70" s="3227">
        <v>1.8274166456854175</v>
      </c>
      <c r="M70" s="3497">
        <v>-1.0643171417087414</v>
      </c>
    </row>
    <row r="71" spans="2:13" ht="18" customHeight="1" x14ac:dyDescent="0.2">
      <c r="B71" s="2616" t="s">
        <v>567</v>
      </c>
      <c r="C71" s="2618" t="s">
        <v>567</v>
      </c>
      <c r="D71" s="3227">
        <v>7.3101093582716166</v>
      </c>
      <c r="E71" s="3227">
        <v>26.091774291574033</v>
      </c>
      <c r="F71" s="3227">
        <v>9.6799525824276811E-2</v>
      </c>
      <c r="G71" s="3103">
        <f t="shared" si="38"/>
        <v>3.5000000000000001E-3</v>
      </c>
      <c r="H71" s="3103">
        <f t="shared" si="39"/>
        <v>9.1846233950058254E-2</v>
      </c>
      <c r="I71" s="3103">
        <f t="shared" si="3"/>
        <v>0.26388995671151866</v>
      </c>
      <c r="J71" s="3227">
        <v>2.5585382753950659E-2</v>
      </c>
      <c r="K71" s="3227">
        <v>2.396431205756024</v>
      </c>
      <c r="L71" s="3227">
        <v>6.1171974251870598E-2</v>
      </c>
      <c r="M71" s="3497">
        <v>-3.5627551572406657E-2</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2.5935468372360582</v>
      </c>
      <c r="E73" s="3227">
        <v>9.257076108610871</v>
      </c>
      <c r="F73" s="3227">
        <v>3.4343412901672629E-2</v>
      </c>
      <c r="G73" s="3103">
        <f t="shared" si="38"/>
        <v>3.4999999999999996E-3</v>
      </c>
      <c r="H73" s="3103">
        <f t="shared" si="39"/>
        <v>9.184623395005824E-2</v>
      </c>
      <c r="I73" s="3103">
        <f t="shared" si="3"/>
        <v>0.26388995671151977</v>
      </c>
      <c r="J73" s="3227">
        <v>9.0774139303262027E-3</v>
      </c>
      <c r="K73" s="3227">
        <v>0.85022757796496884</v>
      </c>
      <c r="L73" s="3227">
        <v>2.1703147322810534E-2</v>
      </c>
      <c r="M73" s="3497">
        <v>-1.2640265578862294E-2</v>
      </c>
    </row>
    <row r="74" spans="2:13" ht="18" customHeight="1" x14ac:dyDescent="0.2">
      <c r="B74" s="2616" t="s">
        <v>574</v>
      </c>
      <c r="C74" s="2618" t="s">
        <v>574</v>
      </c>
      <c r="D74" s="3227">
        <v>2.7779618335567214E-4</v>
      </c>
      <c r="E74" s="3227">
        <v>9.9153035336952311E-4</v>
      </c>
      <c r="F74" s="3227">
        <v>3.6785412511230678E-6</v>
      </c>
      <c r="G74" s="3103">
        <f t="shared" si="38"/>
        <v>3.5000000000000001E-3</v>
      </c>
      <c r="H74" s="3103">
        <f t="shared" si="39"/>
        <v>9.184623395005824E-2</v>
      </c>
      <c r="I74" s="3103">
        <f t="shared" si="3"/>
        <v>0.2638899567115231</v>
      </c>
      <c r="J74" s="3227">
        <v>9.7228664174485253E-7</v>
      </c>
      <c r="K74" s="3227">
        <v>9.1068328804161134E-5</v>
      </c>
      <c r="L74" s="3227">
        <v>2.3246356713217599E-6</v>
      </c>
      <c r="M74" s="3497">
        <v>-1.3539055798013415E-6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2.8396458384158128</v>
      </c>
      <c r="K77" s="3103">
        <f>IF(SUM(K78:K89)=0,"NO",SUM(K78:K89))</f>
        <v>62.559170236874571</v>
      </c>
      <c r="L77" s="3103">
        <f>IF(SUM(L78:L89)=0,"NO",SUM(L78:L89))</f>
        <v>9.9954676732155789</v>
      </c>
      <c r="M77" s="3226">
        <f>IF(SUM(M78:M89)=0,"NO",SUM(M78:M89))</f>
        <v>-9.9954676732155683</v>
      </c>
    </row>
    <row r="78" spans="2:13" ht="18" customHeight="1" x14ac:dyDescent="0.2">
      <c r="B78" s="2616" t="s">
        <v>559</v>
      </c>
      <c r="C78" s="2618" t="s">
        <v>559</v>
      </c>
      <c r="D78" s="3227">
        <v>3.9162040892340419E-2</v>
      </c>
      <c r="E78" s="3227">
        <v>0.15051257928609413</v>
      </c>
      <c r="F78" s="3227" t="s">
        <v>2146</v>
      </c>
      <c r="G78" s="3103">
        <f>IF(SUM(D78)=0,"NA",J78/D78)</f>
        <v>6.3345158579674148E-3</v>
      </c>
      <c r="H78" s="3103">
        <f>IF(SUM(E78)=0,"NA",K78/E78)</f>
        <v>3.6310543353797117E-2</v>
      </c>
      <c r="I78" s="3103" t="str">
        <f t="shared" si="3"/>
        <v>NA</v>
      </c>
      <c r="J78" s="3227">
        <v>2.4807256906289875E-4</v>
      </c>
      <c r="K78" s="3227">
        <v>5.4651935354595466E-3</v>
      </c>
      <c r="L78" s="3227">
        <v>8.6736173798840355E-19</v>
      </c>
      <c r="M78" s="3497" t="s">
        <v>2146</v>
      </c>
    </row>
    <row r="79" spans="2:13" ht="18" customHeight="1" x14ac:dyDescent="0.2">
      <c r="B79" s="2616" t="s">
        <v>560</v>
      </c>
      <c r="C79" s="2618" t="s">
        <v>560</v>
      </c>
      <c r="D79" s="3227">
        <v>6.1209611867692661</v>
      </c>
      <c r="E79" s="3227">
        <v>23.524863233338397</v>
      </c>
      <c r="F79" s="3227" t="s">
        <v>2146</v>
      </c>
      <c r="G79" s="3103">
        <f t="shared" ref="G79:G89" si="40">IF(SUM(D79)=0,"NA",J79/D79)</f>
        <v>6.3345158579674156E-3</v>
      </c>
      <c r="H79" s="3103">
        <f t="shared" ref="H79:H89" si="41">IF(SUM(E79)=0,"NA",K79/E79)</f>
        <v>3.6310543353797131E-2</v>
      </c>
      <c r="I79" s="3103" t="str">
        <f t="shared" ref="I79:I89" si="42">IF(SUM(F79)=0,"NA",(SUM(L79:M79))/F79)</f>
        <v>NA</v>
      </c>
      <c r="J79" s="3227">
        <v>3.8773325703592966E-2</v>
      </c>
      <c r="K79" s="3227">
        <v>0.85420056632628205</v>
      </c>
      <c r="L79" s="3227">
        <v>-1.1102230246251565E-16</v>
      </c>
      <c r="M79" s="3497" t="s">
        <v>2146</v>
      </c>
    </row>
    <row r="80" spans="2:13" ht="18" customHeight="1" x14ac:dyDescent="0.2">
      <c r="B80" s="2616" t="s">
        <v>562</v>
      </c>
      <c r="C80" s="2618" t="s">
        <v>562</v>
      </c>
      <c r="D80" s="3227">
        <v>9.0869139215015979E-2</v>
      </c>
      <c r="E80" s="3227">
        <v>0.34923993257548142</v>
      </c>
      <c r="F80" s="3227" t="s">
        <v>2146</v>
      </c>
      <c r="G80" s="3103">
        <f t="shared" si="40"/>
        <v>6.3345158579674139E-3</v>
      </c>
      <c r="H80" s="3103">
        <f t="shared" si="41"/>
        <v>3.6310543353797131E-2</v>
      </c>
      <c r="I80" s="3103" t="str">
        <f t="shared" si="42"/>
        <v>NA</v>
      </c>
      <c r="J80" s="3227">
        <v>5.7561200335736731E-4</v>
      </c>
      <c r="K80" s="3227">
        <v>1.2681091712659204E-2</v>
      </c>
      <c r="L80" s="3227" t="s">
        <v>2146</v>
      </c>
      <c r="M80" s="3497" t="s">
        <v>2146</v>
      </c>
    </row>
    <row r="81" spans="2:13" ht="18" customHeight="1" x14ac:dyDescent="0.2">
      <c r="B81" s="2616" t="s">
        <v>563</v>
      </c>
      <c r="C81" s="2618" t="s">
        <v>563</v>
      </c>
      <c r="D81" s="3227">
        <v>110.77838265817071</v>
      </c>
      <c r="E81" s="3227">
        <v>425.75769094517034</v>
      </c>
      <c r="F81" s="3227" t="s">
        <v>2146</v>
      </c>
      <c r="G81" s="3103">
        <f t="shared" si="40"/>
        <v>6.3345158579674148E-3</v>
      </c>
      <c r="H81" s="3103">
        <f t="shared" si="41"/>
        <v>3.6310543353797117E-2</v>
      </c>
      <c r="I81" s="3103" t="str">
        <f t="shared" si="42"/>
        <v>NA</v>
      </c>
      <c r="J81" s="3227">
        <v>0.70172742166816482</v>
      </c>
      <c r="K81" s="3227">
        <v>15.459493095277162</v>
      </c>
      <c r="L81" s="3227" t="s">
        <v>2146</v>
      </c>
      <c r="M81" s="3497" t="s">
        <v>2146</v>
      </c>
    </row>
    <row r="82" spans="2:13" ht="18" customHeight="1" x14ac:dyDescent="0.2">
      <c r="B82" s="2616" t="s">
        <v>564</v>
      </c>
      <c r="C82" s="2618" t="s">
        <v>564</v>
      </c>
      <c r="D82" s="3227">
        <v>0.12402785264680909</v>
      </c>
      <c r="E82" s="3227">
        <v>0.476679753654974</v>
      </c>
      <c r="F82" s="3227" t="s">
        <v>2146</v>
      </c>
      <c r="G82" s="3103">
        <f t="shared" si="40"/>
        <v>6.3345158579674148E-3</v>
      </c>
      <c r="H82" s="3103">
        <f t="shared" si="41"/>
        <v>3.6310543353797124E-2</v>
      </c>
      <c r="I82" s="3103" t="str">
        <f t="shared" si="42"/>
        <v>NA</v>
      </c>
      <c r="J82" s="3227">
        <v>7.8565639942085796E-4</v>
      </c>
      <c r="K82" s="3227">
        <v>1.7308500860966268E-2</v>
      </c>
      <c r="L82" s="3227" t="s">
        <v>2146</v>
      </c>
      <c r="M82" s="3497" t="s">
        <v>2146</v>
      </c>
    </row>
    <row r="83" spans="2:13" ht="18" customHeight="1" x14ac:dyDescent="0.2">
      <c r="B83" s="2616" t="s">
        <v>565</v>
      </c>
      <c r="C83" s="2618" t="s">
        <v>565</v>
      </c>
      <c r="D83" s="3227">
        <v>316.76215428211759</v>
      </c>
      <c r="E83" s="3227">
        <v>1217.4209457645027</v>
      </c>
      <c r="F83" s="3227" t="s">
        <v>2146</v>
      </c>
      <c r="G83" s="3103">
        <f t="shared" si="40"/>
        <v>6.334515857967413E-3</v>
      </c>
      <c r="H83" s="3103">
        <f t="shared" si="41"/>
        <v>3.6310543353797117E-2</v>
      </c>
      <c r="I83" s="3103" t="str">
        <f t="shared" si="42"/>
        <v>NA</v>
      </c>
      <c r="J83" s="3227">
        <v>2.0065348895039943</v>
      </c>
      <c r="K83" s="3227">
        <v>44.205216031002664</v>
      </c>
      <c r="L83" s="3227">
        <v>5.1000000000000085</v>
      </c>
      <c r="M83" s="3497">
        <v>-5.0999999999999996</v>
      </c>
    </row>
    <row r="84" spans="2:13" ht="18" customHeight="1" x14ac:dyDescent="0.2">
      <c r="B84" s="2616" t="s">
        <v>567</v>
      </c>
      <c r="C84" s="2618" t="s">
        <v>567</v>
      </c>
      <c r="D84" s="3227">
        <v>10.603474796764223</v>
      </c>
      <c r="E84" s="3227">
        <v>40.752634558640274</v>
      </c>
      <c r="F84" s="3227" t="s">
        <v>2146</v>
      </c>
      <c r="G84" s="3103">
        <f t="shared" si="40"/>
        <v>6.3345158579674156E-3</v>
      </c>
      <c r="H84" s="3103">
        <f t="shared" si="41"/>
        <v>3.6310543353797124E-2</v>
      </c>
      <c r="I84" s="3103" t="str">
        <f t="shared" si="42"/>
        <v>NA</v>
      </c>
      <c r="J84" s="3227">
        <v>6.7167879249660792E-2</v>
      </c>
      <c r="K84" s="3227">
        <v>1.4797503039229587</v>
      </c>
      <c r="L84" s="3227">
        <v>4.8875600133662855</v>
      </c>
      <c r="M84" s="3497">
        <v>-4.8875600133662855</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3.7619968696832573</v>
      </c>
      <c r="E86" s="3227">
        <v>14.458588960642906</v>
      </c>
      <c r="F86" s="3227" t="s">
        <v>2146</v>
      </c>
      <c r="G86" s="3103">
        <f t="shared" si="40"/>
        <v>6.3345158579674156E-3</v>
      </c>
      <c r="H86" s="3103">
        <f t="shared" si="41"/>
        <v>3.6310543353797117E-2</v>
      </c>
      <c r="I86" s="3103" t="str">
        <f t="shared" si="42"/>
        <v>NA</v>
      </c>
      <c r="J86" s="3227">
        <v>2.3830428828632372E-2</v>
      </c>
      <c r="K86" s="3227">
        <v>0.52499922129015664</v>
      </c>
      <c r="L86" s="3227">
        <v>2.9953998657017422E-6</v>
      </c>
      <c r="M86" s="3497">
        <v>-2.9953998657139098E-6</v>
      </c>
    </row>
    <row r="87" spans="2:13" ht="18" customHeight="1" x14ac:dyDescent="0.2">
      <c r="B87" s="2616" t="s">
        <v>574</v>
      </c>
      <c r="C87" s="2618" t="s">
        <v>574</v>
      </c>
      <c r="D87" s="3227">
        <v>4.0294948878105615E-4</v>
      </c>
      <c r="E87" s="3227">
        <v>1.548667165870611E-3</v>
      </c>
      <c r="F87" s="3227" t="s">
        <v>2146</v>
      </c>
      <c r="G87" s="3103">
        <f t="shared" si="40"/>
        <v>6.3345158579674148E-3</v>
      </c>
      <c r="H87" s="3103">
        <f t="shared" si="41"/>
        <v>3.6310543353797124E-2</v>
      </c>
      <c r="I87" s="3103" t="str">
        <f t="shared" si="42"/>
        <v>NA</v>
      </c>
      <c r="J87" s="3227">
        <v>2.5524899266434632E-6</v>
      </c>
      <c r="K87" s="3227">
        <v>5.623294626694694E-5</v>
      </c>
      <c r="L87" s="3227">
        <v>7.9046644494174395E-3</v>
      </c>
      <c r="M87" s="3497">
        <v>-7.9046644494174395E-3</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8.2226819714553638</v>
      </c>
      <c r="K90" s="3103">
        <f t="shared" ref="K90:M90" si="43">IF(SUM(K91,K104)=0,"NO",SUM(K91,K104))</f>
        <v>0.32961118544988866</v>
      </c>
      <c r="L90" s="3103">
        <f t="shared" si="43"/>
        <v>-8.7462419847816192E-16</v>
      </c>
      <c r="M90" s="3226" t="str">
        <f t="shared" si="43"/>
        <v>NO</v>
      </c>
    </row>
    <row r="91" spans="2:13" ht="18" customHeight="1" x14ac:dyDescent="0.2">
      <c r="B91" s="104" t="s">
        <v>674</v>
      </c>
      <c r="C91" s="2508"/>
      <c r="D91" s="2108"/>
      <c r="E91" s="2108"/>
      <c r="F91" s="2108"/>
      <c r="G91" s="2108"/>
      <c r="H91" s="2108"/>
      <c r="I91" s="2108"/>
      <c r="J91" s="3103">
        <f>IF(SUM(J92:J103)=0,"NO",SUM(J92:J103))</f>
        <v>8.2226819714553638</v>
      </c>
      <c r="K91" s="3103">
        <f>IF(SUM(K92:K103)=0,"NO",SUM(K92:K103))</f>
        <v>0.32961118544988866</v>
      </c>
      <c r="L91" s="3103">
        <f>IF(SUM(L92:L103)=0,"NO",SUM(L92:L103))</f>
        <v>-8.7462419847816192E-16</v>
      </c>
      <c r="M91" s="3226" t="str">
        <f>IF(SUM(M92:M103)=0,"NO",SUM(M92:M103))</f>
        <v>NO</v>
      </c>
    </row>
    <row r="92" spans="2:13" ht="18" customHeight="1" x14ac:dyDescent="0.2">
      <c r="B92" s="2616" t="s">
        <v>559</v>
      </c>
      <c r="C92" s="2618" t="s">
        <v>559</v>
      </c>
      <c r="D92" s="3227">
        <v>1.1972278453710817E-3</v>
      </c>
      <c r="E92" s="3227">
        <v>1.1312583355555484E-3</v>
      </c>
      <c r="F92" s="3227" t="s">
        <v>2146</v>
      </c>
      <c r="G92" s="3103">
        <f>IF(SUM(D92)=0,"NA",J92/D92)</f>
        <v>0.6</v>
      </c>
      <c r="H92" s="3103">
        <f>IF(SUM(E92)=0,"NA",K92/E92)</f>
        <v>2.5453922361088368E-2</v>
      </c>
      <c r="I92" s="3103" t="str">
        <f t="shared" ref="I92:I103" si="44">IF(SUM(F92)=0,"NA",(SUM(L92:M92))/F92)</f>
        <v>NA</v>
      </c>
      <c r="J92" s="3227">
        <v>7.1833670722264902E-4</v>
      </c>
      <c r="K92" s="3227">
        <v>2.8794961843564982E-5</v>
      </c>
      <c r="L92" s="3227">
        <v>-1.0842021724855044E-19</v>
      </c>
      <c r="M92" s="3497" t="s">
        <v>2146</v>
      </c>
    </row>
    <row r="93" spans="2:13" ht="18" customHeight="1" x14ac:dyDescent="0.2">
      <c r="B93" s="2616" t="s">
        <v>560</v>
      </c>
      <c r="C93" s="2618" t="s">
        <v>560</v>
      </c>
      <c r="D93" s="3227">
        <v>0.18712470050734983</v>
      </c>
      <c r="E93" s="3227">
        <v>0.17681377697297268</v>
      </c>
      <c r="F93" s="3227" t="s">
        <v>2146</v>
      </c>
      <c r="G93" s="3103">
        <f t="shared" ref="G93:G103" si="45">IF(SUM(D93)=0,"NA",J93/D93)</f>
        <v>0.6</v>
      </c>
      <c r="H93" s="3103">
        <f t="shared" ref="H93:H103" si="46">IF(SUM(E93)=0,"NA",K93/E93)</f>
        <v>2.5453922361088368E-2</v>
      </c>
      <c r="I93" s="3103" t="str">
        <f t="shared" si="44"/>
        <v>NA</v>
      </c>
      <c r="J93" s="3227">
        <v>0.1122748203044099</v>
      </c>
      <c r="K93" s="3227">
        <v>4.5006041514408408E-3</v>
      </c>
      <c r="L93" s="3227">
        <v>1.3877787807814457E-17</v>
      </c>
      <c r="M93" s="3497" t="s">
        <v>2146</v>
      </c>
    </row>
    <row r="94" spans="2:13" ht="18" customHeight="1" x14ac:dyDescent="0.2">
      <c r="B94" s="2616" t="s">
        <v>562</v>
      </c>
      <c r="C94" s="2618" t="s">
        <v>562</v>
      </c>
      <c r="D94" s="3227">
        <v>2.7779722730026709E-3</v>
      </c>
      <c r="E94" s="3227">
        <v>2.6249007671571589E-3</v>
      </c>
      <c r="F94" s="3227" t="s">
        <v>2146</v>
      </c>
      <c r="G94" s="3103">
        <f t="shared" si="45"/>
        <v>0.6</v>
      </c>
      <c r="H94" s="3103">
        <f t="shared" si="46"/>
        <v>2.5453922361088364E-2</v>
      </c>
      <c r="I94" s="3103" t="str">
        <f t="shared" si="44"/>
        <v>NA</v>
      </c>
      <c r="J94" s="3227">
        <v>1.6667833638016024E-3</v>
      </c>
      <c r="K94" s="3227">
        <v>6.681402033277961E-5</v>
      </c>
      <c r="L94" s="3227">
        <v>-2.1684043449710089E-19</v>
      </c>
      <c r="M94" s="3497" t="s">
        <v>2146</v>
      </c>
    </row>
    <row r="95" spans="2:13" ht="18" customHeight="1" x14ac:dyDescent="0.2">
      <c r="B95" s="2616" t="s">
        <v>563</v>
      </c>
      <c r="C95" s="2618" t="s">
        <v>563</v>
      </c>
      <c r="D95" s="3227">
        <v>3.386620343616336</v>
      </c>
      <c r="E95" s="3227">
        <v>3.2000111824082325</v>
      </c>
      <c r="F95" s="3227" t="s">
        <v>2146</v>
      </c>
      <c r="G95" s="3103">
        <f t="shared" si="45"/>
        <v>0.60000000000000009</v>
      </c>
      <c r="H95" s="3103">
        <f t="shared" si="46"/>
        <v>2.5453922361088371E-2</v>
      </c>
      <c r="I95" s="3103" t="str">
        <f t="shared" si="44"/>
        <v>NA</v>
      </c>
      <c r="J95" s="3227">
        <v>2.0319722061698018</v>
      </c>
      <c r="K95" s="3227">
        <v>8.1452836191633751E-2</v>
      </c>
      <c r="L95" s="3227" t="s">
        <v>2146</v>
      </c>
      <c r="M95" s="3497" t="s">
        <v>2146</v>
      </c>
    </row>
    <row r="96" spans="2:13" ht="18" customHeight="1" x14ac:dyDescent="0.2">
      <c r="B96" s="2616" t="s">
        <v>564</v>
      </c>
      <c r="C96" s="2618" t="s">
        <v>564</v>
      </c>
      <c r="D96" s="3227">
        <v>3.7916716138096844E-3</v>
      </c>
      <c r="E96" s="3227">
        <v>3.5827433645114334E-3</v>
      </c>
      <c r="F96" s="3227" t="s">
        <v>2146</v>
      </c>
      <c r="G96" s="3103">
        <f t="shared" si="45"/>
        <v>0.60000000000000009</v>
      </c>
      <c r="H96" s="3103">
        <f t="shared" si="46"/>
        <v>2.5453922361088371E-2</v>
      </c>
      <c r="I96" s="3103" t="str">
        <f t="shared" si="44"/>
        <v>NA</v>
      </c>
      <c r="J96" s="3227">
        <v>2.2750029682858108E-3</v>
      </c>
      <c r="K96" s="3227">
        <v>9.1194871439978563E-5</v>
      </c>
      <c r="L96" s="3227" t="s">
        <v>2146</v>
      </c>
      <c r="M96" s="3497" t="s">
        <v>2146</v>
      </c>
    </row>
    <row r="97" spans="2:13" ht="18" customHeight="1" x14ac:dyDescent="0.2">
      <c r="B97" s="2616" t="s">
        <v>565</v>
      </c>
      <c r="C97" s="2618" t="s">
        <v>565</v>
      </c>
      <c r="D97" s="3227">
        <v>9.6837770153203486</v>
      </c>
      <c r="E97" s="3227">
        <v>9.1501826578773802</v>
      </c>
      <c r="F97" s="3227" t="s">
        <v>2146</v>
      </c>
      <c r="G97" s="3103">
        <f t="shared" si="45"/>
        <v>0.6</v>
      </c>
      <c r="H97" s="3103">
        <f t="shared" si="46"/>
        <v>2.5453922361088368E-2</v>
      </c>
      <c r="I97" s="3103" t="str">
        <f t="shared" si="44"/>
        <v>NA</v>
      </c>
      <c r="J97" s="3227">
        <v>5.8102662091922088</v>
      </c>
      <c r="K97" s="3227">
        <v>0.23290803896338805</v>
      </c>
      <c r="L97" s="3227">
        <v>-8.8817841970012523E-16</v>
      </c>
      <c r="M97" s="3497" t="s">
        <v>2146</v>
      </c>
    </row>
    <row r="98" spans="2:13" ht="18" customHeight="1" x14ac:dyDescent="0.2">
      <c r="B98" s="2616" t="s">
        <v>567</v>
      </c>
      <c r="C98" s="2618" t="s">
        <v>567</v>
      </c>
      <c r="D98" s="3227">
        <v>0.32416020705548904</v>
      </c>
      <c r="E98" s="3227">
        <v>0.30629836894018514</v>
      </c>
      <c r="F98" s="3227" t="s">
        <v>2146</v>
      </c>
      <c r="G98" s="3103">
        <f t="shared" si="45"/>
        <v>0.60000000000000009</v>
      </c>
      <c r="H98" s="3103">
        <f t="shared" si="46"/>
        <v>2.5453922361088368E-2</v>
      </c>
      <c r="I98" s="3103" t="str">
        <f t="shared" si="44"/>
        <v>NA</v>
      </c>
      <c r="J98" s="3227">
        <v>0.19449612423329343</v>
      </c>
      <c r="K98" s="3227">
        <v>7.7964949023314736E-3</v>
      </c>
      <c r="L98" s="3227" t="s">
        <v>2146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0.11500849557267474</v>
      </c>
      <c r="E100" s="3227">
        <v>0.108671310794618</v>
      </c>
      <c r="F100" s="3227" t="s">
        <v>2146</v>
      </c>
      <c r="G100" s="3103">
        <f t="shared" si="45"/>
        <v>0.6</v>
      </c>
      <c r="H100" s="3103">
        <f t="shared" si="46"/>
        <v>2.5453922361088375E-2</v>
      </c>
      <c r="I100" s="3103" t="str">
        <f t="shared" si="44"/>
        <v>NA</v>
      </c>
      <c r="J100" s="3227">
        <v>6.900509734360484E-2</v>
      </c>
      <c r="K100" s="3227">
        <v>2.7661111078439117E-3</v>
      </c>
      <c r="L100" s="3227" t="s">
        <v>2146</v>
      </c>
      <c r="M100" s="3497" t="s">
        <v>2146</v>
      </c>
    </row>
    <row r="101" spans="2:13" ht="18" customHeight="1" x14ac:dyDescent="0.2">
      <c r="B101" s="2616" t="s">
        <v>574</v>
      </c>
      <c r="C101" s="2618" t="s">
        <v>574</v>
      </c>
      <c r="D101" s="3227">
        <v>1.2318621227451868E-5</v>
      </c>
      <c r="E101" s="3227">
        <v>1.1639841989965673E-5</v>
      </c>
      <c r="F101" s="3227" t="s">
        <v>2146</v>
      </c>
      <c r="G101" s="3103">
        <f t="shared" si="45"/>
        <v>0.6</v>
      </c>
      <c r="H101" s="3103">
        <f t="shared" si="46"/>
        <v>2.5453922361088368E-2</v>
      </c>
      <c r="I101" s="3103" t="str">
        <f t="shared" si="44"/>
        <v>NA</v>
      </c>
      <c r="J101" s="3227">
        <v>7.3911727364711204E-6</v>
      </c>
      <c r="K101" s="3227">
        <v>2.9627963430792257E-7</v>
      </c>
      <c r="L101" s="3227">
        <v>1.6940658945086007E-21</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4.671943076991688E-2</v>
      </c>
      <c r="K117" s="3103">
        <f>IF(SUM(K118:K129)=0,"NO",SUM(K118:K129))</f>
        <v>1.3011958662571637</v>
      </c>
      <c r="L117" s="3103">
        <f>IF(SUM(L118:L129)=0,"NO",SUM(L118:L129))</f>
        <v>1.7532925557629895E-16</v>
      </c>
      <c r="M117" s="3226" t="str">
        <f>IF(SUM(M118:M129)=0,"NO",SUM(M118:M129))</f>
        <v>NO</v>
      </c>
    </row>
    <row r="118" spans="2:13" ht="18" customHeight="1" x14ac:dyDescent="0.2">
      <c r="B118" s="2616" t="s">
        <v>559</v>
      </c>
      <c r="C118" s="2618" t="s">
        <v>559</v>
      </c>
      <c r="D118" s="3227">
        <v>1.1661222033353758E-3</v>
      </c>
      <c r="E118" s="3227">
        <v>2.8438834626217141E-3</v>
      </c>
      <c r="F118" s="3227" t="s">
        <v>2146</v>
      </c>
      <c r="G118" s="3103">
        <f>IF(SUM(D118)=0,"NA",J118/D118)</f>
        <v>3.5000000000000001E-3</v>
      </c>
      <c r="H118" s="3103">
        <f>IF(SUM(E118)=0,"NA",K118/E118)</f>
        <v>3.9971039730296989E-2</v>
      </c>
      <c r="I118" s="3103" t="str">
        <f t="shared" ref="I118:I129" si="72">IF(SUM(F118)=0,"NA",(SUM(L118:M118))/F118)</f>
        <v>NA</v>
      </c>
      <c r="J118" s="3227">
        <v>4.0814277116738154E-6</v>
      </c>
      <c r="K118" s="3227">
        <v>1.1367297887278711E-4</v>
      </c>
      <c r="L118" s="3227">
        <v>1.3552527156068805E-20</v>
      </c>
      <c r="M118" s="3497" t="s">
        <v>2146</v>
      </c>
    </row>
    <row r="119" spans="2:13" ht="18" customHeight="1" x14ac:dyDescent="0.2">
      <c r="B119" s="2616" t="s">
        <v>560</v>
      </c>
      <c r="C119" s="2618" t="s">
        <v>560</v>
      </c>
      <c r="D119" s="3227">
        <v>0.18226294092455614</v>
      </c>
      <c r="E119" s="3227">
        <v>0.44449420657765409</v>
      </c>
      <c r="F119" s="3227" t="s">
        <v>2146</v>
      </c>
      <c r="G119" s="3103">
        <f t="shared" ref="G119:G129" si="73">IF(SUM(D119)=0,"NA",J119/D119)</f>
        <v>3.5000000000000001E-3</v>
      </c>
      <c r="H119" s="3103">
        <f t="shared" ref="H119:H129" si="74">IF(SUM(E119)=0,"NA",K119/E119)</f>
        <v>3.9971039730296989E-2</v>
      </c>
      <c r="I119" s="3103" t="str">
        <f t="shared" si="72"/>
        <v>NA</v>
      </c>
      <c r="J119" s="3227">
        <v>6.3792029323594653E-4</v>
      </c>
      <c r="K119" s="3227">
        <v>1.7766895591002248E-2</v>
      </c>
      <c r="L119" s="3227">
        <v>6.9388939039072284E-18</v>
      </c>
      <c r="M119" s="3497" t="s">
        <v>2146</v>
      </c>
    </row>
    <row r="120" spans="2:13" ht="18" customHeight="1" x14ac:dyDescent="0.2">
      <c r="B120" s="2616" t="s">
        <v>562</v>
      </c>
      <c r="C120" s="2618" t="s">
        <v>562</v>
      </c>
      <c r="D120" s="3227">
        <v>2.7057966955273956E-3</v>
      </c>
      <c r="E120" s="3227">
        <v>6.598768511239618E-3</v>
      </c>
      <c r="F120" s="3227" t="s">
        <v>2146</v>
      </c>
      <c r="G120" s="3103">
        <f t="shared" si="73"/>
        <v>3.4999999999999996E-3</v>
      </c>
      <c r="H120" s="3103">
        <f t="shared" si="74"/>
        <v>3.9971039730296989E-2</v>
      </c>
      <c r="I120" s="3103" t="str">
        <f t="shared" si="72"/>
        <v>NA</v>
      </c>
      <c r="J120" s="3227">
        <v>9.4702884343458833E-6</v>
      </c>
      <c r="K120" s="3227">
        <v>2.637596383337915E-4</v>
      </c>
      <c r="L120" s="3227">
        <v>5.4210108624275222E-20</v>
      </c>
      <c r="M120" s="3497" t="s">
        <v>2146</v>
      </c>
    </row>
    <row r="121" spans="2:13" ht="18" customHeight="1" x14ac:dyDescent="0.2">
      <c r="B121" s="2616" t="s">
        <v>563</v>
      </c>
      <c r="C121" s="2618" t="s">
        <v>563</v>
      </c>
      <c r="D121" s="3227">
        <v>3.2986312440254246</v>
      </c>
      <c r="E121" s="3227">
        <v>8.044545260642165</v>
      </c>
      <c r="F121" s="3227" t="s">
        <v>2146</v>
      </c>
      <c r="G121" s="3103">
        <f t="shared" si="73"/>
        <v>3.4999999999999996E-3</v>
      </c>
      <c r="H121" s="3103">
        <f t="shared" si="74"/>
        <v>3.9971039730296989E-2</v>
      </c>
      <c r="I121" s="3103" t="str">
        <f t="shared" si="72"/>
        <v>NA</v>
      </c>
      <c r="J121" s="3227">
        <v>1.1545209354088985E-2</v>
      </c>
      <c r="K121" s="3227">
        <v>0.32154883822530034</v>
      </c>
      <c r="L121" s="3227">
        <v>5.5511151231257827E-17</v>
      </c>
      <c r="M121" s="3497" t="s">
        <v>2146</v>
      </c>
    </row>
    <row r="122" spans="2:13" ht="18" customHeight="1" x14ac:dyDescent="0.2">
      <c r="B122" s="2616" t="s">
        <v>564</v>
      </c>
      <c r="C122" s="2618" t="s">
        <v>564</v>
      </c>
      <c r="D122" s="3227">
        <v>3.6931587197167851E-3</v>
      </c>
      <c r="E122" s="3227">
        <v>9.0067001363999585E-3</v>
      </c>
      <c r="F122" s="3227" t="s">
        <v>2146</v>
      </c>
      <c r="G122" s="3103">
        <f t="shared" si="73"/>
        <v>3.4999999999999996E-3</v>
      </c>
      <c r="H122" s="3103">
        <f t="shared" si="74"/>
        <v>3.9971039730296982E-2</v>
      </c>
      <c r="I122" s="3103" t="str">
        <f t="shared" si="72"/>
        <v>NA</v>
      </c>
      <c r="J122" s="3227">
        <v>1.2926055519008747E-5</v>
      </c>
      <c r="K122" s="3227">
        <v>3.6000716899091401E-4</v>
      </c>
      <c r="L122" s="3227">
        <v>5.4210108624275222E-20</v>
      </c>
      <c r="M122" s="3497" t="s">
        <v>2146</v>
      </c>
    </row>
    <row r="123" spans="2:13" ht="18" customHeight="1" x14ac:dyDescent="0.2">
      <c r="B123" s="2616" t="s">
        <v>565</v>
      </c>
      <c r="C123" s="2618" t="s">
        <v>565</v>
      </c>
      <c r="D123" s="3227">
        <v>9.4321790404179282</v>
      </c>
      <c r="E123" s="3227">
        <v>23.002750408841269</v>
      </c>
      <c r="F123" s="3227" t="s">
        <v>2146</v>
      </c>
      <c r="G123" s="3103">
        <f t="shared" si="73"/>
        <v>3.4999999999999996E-3</v>
      </c>
      <c r="H123" s="3103">
        <f t="shared" si="74"/>
        <v>3.9971039730296989E-2</v>
      </c>
      <c r="I123" s="3103" t="str">
        <f t="shared" si="72"/>
        <v>NA</v>
      </c>
      <c r="J123" s="3227">
        <v>3.3012626641462747E-2</v>
      </c>
      <c r="K123" s="3227">
        <v>0.91944385049789967</v>
      </c>
      <c r="L123" s="3227">
        <v>1.1102230246251565E-16</v>
      </c>
      <c r="M123" s="3497" t="s">
        <v>2146</v>
      </c>
    </row>
    <row r="124" spans="2:13" ht="18" customHeight="1" x14ac:dyDescent="0.2">
      <c r="B124" s="2616" t="s">
        <v>567</v>
      </c>
      <c r="C124" s="2618" t="s">
        <v>567</v>
      </c>
      <c r="D124" s="3227">
        <v>0.31573807470877352</v>
      </c>
      <c r="E124" s="3227">
        <v>0.77000702552102829</v>
      </c>
      <c r="F124" s="3227" t="s">
        <v>2146</v>
      </c>
      <c r="G124" s="3103">
        <f t="shared" si="73"/>
        <v>3.5000000000000001E-3</v>
      </c>
      <c r="H124" s="3103">
        <f t="shared" si="74"/>
        <v>3.9971039730296989E-2</v>
      </c>
      <c r="I124" s="3103" t="str">
        <f t="shared" si="72"/>
        <v>NA</v>
      </c>
      <c r="J124" s="3227">
        <v>1.1050832614807073E-3</v>
      </c>
      <c r="K124" s="3227">
        <v>3.0777981409708829E-2</v>
      </c>
      <c r="L124" s="3227" t="s">
        <v>2146</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0.11202041514322243</v>
      </c>
      <c r="E126" s="3227">
        <v>0.27319006978054083</v>
      </c>
      <c r="F126" s="3227" t="s">
        <v>2146</v>
      </c>
      <c r="G126" s="3103">
        <f t="shared" si="73"/>
        <v>3.4999999999999996E-3</v>
      </c>
      <c r="H126" s="3103">
        <f t="shared" si="74"/>
        <v>3.9971039730296982E-2</v>
      </c>
      <c r="I126" s="3103" t="str">
        <f t="shared" si="72"/>
        <v>NA</v>
      </c>
      <c r="J126" s="3227">
        <v>3.9207145300127849E-4</v>
      </c>
      <c r="K126" s="3227">
        <v>1.0919691133120604E-2</v>
      </c>
      <c r="L126" s="3227">
        <v>1.7347234759768071E-18</v>
      </c>
      <c r="M126" s="3497" t="s">
        <v>2146</v>
      </c>
    </row>
    <row r="127" spans="2:13" ht="18" customHeight="1" x14ac:dyDescent="0.2">
      <c r="B127" s="2616" t="s">
        <v>574</v>
      </c>
      <c r="C127" s="2618" t="s">
        <v>574</v>
      </c>
      <c r="D127" s="3227">
        <v>1.1998566340860252E-5</v>
      </c>
      <c r="E127" s="3227">
        <v>2.9261533906432615E-5</v>
      </c>
      <c r="F127" s="3227" t="s">
        <v>2146</v>
      </c>
      <c r="G127" s="3103">
        <f t="shared" si="73"/>
        <v>3.4999999999999996E-3</v>
      </c>
      <c r="H127" s="3103">
        <f t="shared" si="74"/>
        <v>3.9971039730296996E-2</v>
      </c>
      <c r="I127" s="3103" t="str">
        <f t="shared" si="72"/>
        <v>NA</v>
      </c>
      <c r="J127" s="3227">
        <v>4.1994982193010877E-8</v>
      </c>
      <c r="K127" s="3227">
        <v>1.1696139343434506E-6</v>
      </c>
      <c r="L127" s="3227">
        <v>2.1175823681357508E-22</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1.7409932172263263</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1.7409932172263263</v>
      </c>
      <c r="L131" s="3229"/>
      <c r="M131" s="3226" t="str">
        <f>IF(SUM(M132:M143)=0,"NO",SUM(M132:M143))</f>
        <v>NO</v>
      </c>
    </row>
    <row r="132" spans="2:13" ht="18" customHeight="1" x14ac:dyDescent="0.2">
      <c r="B132" s="2616" t="s">
        <v>559</v>
      </c>
      <c r="C132" s="2618" t="s">
        <v>559</v>
      </c>
      <c r="D132" s="3227" t="s">
        <v>2146</v>
      </c>
      <c r="E132" s="3227">
        <v>4.5498871887858874E-4</v>
      </c>
      <c r="F132" s="3229"/>
      <c r="G132" s="3103" t="str">
        <f>IF(SUM(D132)=0,"NA",J132/D132)</f>
        <v>NA</v>
      </c>
      <c r="H132" s="3103">
        <f>IF(SUM(E132)=0,"NA",K132/E132)</f>
        <v>0.33428047958745388</v>
      </c>
      <c r="I132" s="4327"/>
      <c r="J132" s="3227" t="s">
        <v>2146</v>
      </c>
      <c r="K132" s="3227">
        <v>1.5209384715361588E-4</v>
      </c>
      <c r="L132" s="3229"/>
      <c r="M132" s="3497" t="s">
        <v>2146</v>
      </c>
    </row>
    <row r="133" spans="2:13" ht="18" customHeight="1" x14ac:dyDescent="0.2">
      <c r="B133" s="2616" t="s">
        <v>560</v>
      </c>
      <c r="C133" s="2618" t="s">
        <v>560</v>
      </c>
      <c r="D133" s="3227" t="s">
        <v>2146</v>
      </c>
      <c r="E133" s="3227">
        <v>7.1113972234741682E-2</v>
      </c>
      <c r="F133" s="3229"/>
      <c r="G133" s="3103" t="str">
        <f t="shared" ref="G133:G143" si="75">IF(SUM(D133)=0,"NA",J133/D133)</f>
        <v>NA</v>
      </c>
      <c r="H133" s="3103">
        <f t="shared" ref="H133:H143" si="76">IF(SUM(E133)=0,"NA",K133/E133)</f>
        <v>0.33428047958745383</v>
      </c>
      <c r="I133" s="4327"/>
      <c r="J133" s="3227" t="s">
        <v>2146</v>
      </c>
      <c r="K133" s="3227">
        <v>2.3772012743998327E-2</v>
      </c>
      <c r="L133" s="3229"/>
      <c r="M133" s="3497" t="s">
        <v>2146</v>
      </c>
    </row>
    <row r="134" spans="2:13" ht="18" customHeight="1" x14ac:dyDescent="0.2">
      <c r="B134" s="2616" t="s">
        <v>562</v>
      </c>
      <c r="C134" s="2618" t="s">
        <v>562</v>
      </c>
      <c r="D134" s="3227" t="s">
        <v>2146</v>
      </c>
      <c r="E134" s="3227">
        <v>1.0557272372678278E-3</v>
      </c>
      <c r="F134" s="3229"/>
      <c r="G134" s="3103" t="str">
        <f t="shared" si="75"/>
        <v>NA</v>
      </c>
      <c r="H134" s="3103">
        <f t="shared" si="76"/>
        <v>0.33428047958745388</v>
      </c>
      <c r="I134" s="4327"/>
      <c r="J134" s="3227" t="s">
        <v>2146</v>
      </c>
      <c r="K134" s="3227">
        <v>3.5290900718742719E-4</v>
      </c>
      <c r="L134" s="3229"/>
      <c r="M134" s="3497" t="s">
        <v>2146</v>
      </c>
    </row>
    <row r="135" spans="2:13" ht="18" customHeight="1" x14ac:dyDescent="0.2">
      <c r="B135" s="2616" t="s">
        <v>563</v>
      </c>
      <c r="C135" s="2618" t="s">
        <v>563</v>
      </c>
      <c r="D135" s="3227" t="s">
        <v>2146</v>
      </c>
      <c r="E135" s="3227">
        <v>1.2870349260817331</v>
      </c>
      <c r="F135" s="3229"/>
      <c r="G135" s="3103" t="str">
        <f t="shared" si="75"/>
        <v>NA</v>
      </c>
      <c r="H135" s="3103">
        <f t="shared" si="76"/>
        <v>0.33428047958745388</v>
      </c>
      <c r="I135" s="4327"/>
      <c r="J135" s="3227" t="s">
        <v>2146</v>
      </c>
      <c r="K135" s="3227">
        <v>0.43023065233640501</v>
      </c>
      <c r="L135" s="3229"/>
      <c r="M135" s="3497" t="s">
        <v>2146</v>
      </c>
    </row>
    <row r="136" spans="2:13" ht="18" customHeight="1" x14ac:dyDescent="0.2">
      <c r="B136" s="2616" t="s">
        <v>564</v>
      </c>
      <c r="C136" s="2618" t="s">
        <v>564</v>
      </c>
      <c r="D136" s="3227" t="s">
        <v>2146</v>
      </c>
      <c r="E136" s="3227">
        <v>1.4409686649418533E-3</v>
      </c>
      <c r="F136" s="3229"/>
      <c r="G136" s="3103" t="str">
        <f t="shared" si="75"/>
        <v>NA</v>
      </c>
      <c r="H136" s="3103">
        <f t="shared" si="76"/>
        <v>0.33428047958745388</v>
      </c>
      <c r="I136" s="4327"/>
      <c r="J136" s="3227" t="s">
        <v>2146</v>
      </c>
      <c r="K136" s="3227">
        <v>4.8168769638725587E-4</v>
      </c>
      <c r="L136" s="3229"/>
      <c r="M136" s="3497" t="s">
        <v>2146</v>
      </c>
    </row>
    <row r="137" spans="2:13" ht="18" customHeight="1" x14ac:dyDescent="0.2">
      <c r="B137" s="2616" t="s">
        <v>565</v>
      </c>
      <c r="C137" s="2618" t="s">
        <v>565</v>
      </c>
      <c r="D137" s="3227" t="s">
        <v>2146</v>
      </c>
      <c r="E137" s="3227">
        <v>3.6801760960887799</v>
      </c>
      <c r="F137" s="3229"/>
      <c r="G137" s="3103" t="str">
        <f t="shared" si="75"/>
        <v>NA</v>
      </c>
      <c r="H137" s="3103">
        <f t="shared" si="76"/>
        <v>0.33428047958745383</v>
      </c>
      <c r="I137" s="4327"/>
      <c r="J137" s="3227" t="s">
        <v>2146</v>
      </c>
      <c r="K137" s="3227">
        <v>1.230211030366841</v>
      </c>
      <c r="L137" s="3229"/>
      <c r="M137" s="3497" t="s">
        <v>2146</v>
      </c>
    </row>
    <row r="138" spans="2:13" ht="18" customHeight="1" x14ac:dyDescent="0.2">
      <c r="B138" s="2616" t="s">
        <v>567</v>
      </c>
      <c r="C138" s="2618" t="s">
        <v>567</v>
      </c>
      <c r="D138" s="3227" t="s">
        <v>2146</v>
      </c>
      <c r="E138" s="3227">
        <v>0.12319228782544779</v>
      </c>
      <c r="F138" s="3229"/>
      <c r="G138" s="3103" t="str">
        <f t="shared" si="75"/>
        <v>NA</v>
      </c>
      <c r="H138" s="3103">
        <f t="shared" si="76"/>
        <v>0.33428047958745394</v>
      </c>
      <c r="I138" s="4327"/>
      <c r="J138" s="3227" t="s">
        <v>2146</v>
      </c>
      <c r="K138" s="3227">
        <v>4.1180777055766352E-2</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4.3707276157234839E-2</v>
      </c>
      <c r="F140" s="3229"/>
      <c r="G140" s="3103" t="str">
        <f t="shared" si="75"/>
        <v>NA</v>
      </c>
      <c r="H140" s="3103">
        <f t="shared" si="76"/>
        <v>0.33428047958745394</v>
      </c>
      <c r="I140" s="4327"/>
      <c r="J140" s="3227" t="s">
        <v>2146</v>
      </c>
      <c r="K140" s="3227">
        <v>1.4610489235301753E-2</v>
      </c>
      <c r="L140" s="3229"/>
      <c r="M140" s="3497" t="s">
        <v>2146</v>
      </c>
    </row>
    <row r="141" spans="2:13" ht="18" customHeight="1" x14ac:dyDescent="0.2">
      <c r="B141" s="2616" t="s">
        <v>574</v>
      </c>
      <c r="C141" s="2618" t="s">
        <v>574</v>
      </c>
      <c r="D141" s="3227" t="s">
        <v>2146</v>
      </c>
      <c r="E141" s="3227">
        <v>4.6815096326895833E-6</v>
      </c>
      <c r="F141" s="3229"/>
      <c r="G141" s="3103" t="str">
        <f t="shared" si="75"/>
        <v>NA</v>
      </c>
      <c r="H141" s="3103">
        <f t="shared" si="76"/>
        <v>0.33428047958745383</v>
      </c>
      <c r="I141" s="4327"/>
      <c r="J141" s="3227" t="s">
        <v>2146</v>
      </c>
      <c r="K141" s="3227">
        <v>1.5649372852087588E-6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8.2829779474644116</v>
      </c>
      <c r="L146" s="3103">
        <f>IF(SUM(L147:L158)=0,"NO",SUM(L147:L158))</f>
        <v>2.4685627006416584</v>
      </c>
      <c r="M146" s="3226" t="str">
        <f>IF(SUM(M147:M158)=0,"NO",SUM(M147:M158))</f>
        <v>NO</v>
      </c>
    </row>
    <row r="147" spans="2:13" ht="18" customHeight="1" x14ac:dyDescent="0.2">
      <c r="B147" s="2616" t="s">
        <v>559</v>
      </c>
      <c r="C147" s="2618" t="s">
        <v>559</v>
      </c>
      <c r="D147" s="3227">
        <v>1.3839316957432186E-3</v>
      </c>
      <c r="E147" s="3227">
        <v>2.139174222325204E-3</v>
      </c>
      <c r="F147" s="3227">
        <v>2.1565460127332667E-4</v>
      </c>
      <c r="G147" s="3103" t="str">
        <f>IFERROR(J147/D147,"NA")</f>
        <v>NA</v>
      </c>
      <c r="H147" s="3103">
        <f>IF(SUM(E147)=0,"NA",K147/E147)</f>
        <v>0.33826332594839631</v>
      </c>
      <c r="I147" s="3103">
        <f t="shared" ref="I147:I158" si="77">IF(SUM(F147)=0,"NA",(SUM(L147:M147))/F147)</f>
        <v>0.99999999999999978</v>
      </c>
      <c r="J147" s="3227" t="s">
        <v>2146</v>
      </c>
      <c r="K147" s="3227">
        <v>7.2360418722679763E-4</v>
      </c>
      <c r="L147" s="3227">
        <v>2.1565460127332661E-4</v>
      </c>
      <c r="M147" s="3497" t="s">
        <v>2146</v>
      </c>
    </row>
    <row r="148" spans="2:13" ht="18" customHeight="1" x14ac:dyDescent="0.2">
      <c r="B148" s="2616" t="s">
        <v>560</v>
      </c>
      <c r="C148" s="2618" t="s">
        <v>560</v>
      </c>
      <c r="D148" s="3227">
        <v>0.21630619859857281</v>
      </c>
      <c r="E148" s="3227">
        <v>0.33434933645531434</v>
      </c>
      <c r="F148" s="3227">
        <v>3.3706451810595298E-2</v>
      </c>
      <c r="G148" s="3103" t="str">
        <f t="shared" ref="G148:G158" si="78">IFERROR(J148/D148,"NA")</f>
        <v>NA</v>
      </c>
      <c r="H148" s="3103">
        <f t="shared" ref="H148:H158" si="79">IF(SUM(E148)=0,"NA",K148/E148)</f>
        <v>0.33826332594839625</v>
      </c>
      <c r="I148" s="3103">
        <f t="shared" si="77"/>
        <v>0.99999999999999956</v>
      </c>
      <c r="J148" s="3227" t="s">
        <v>2146</v>
      </c>
      <c r="K148" s="3227">
        <v>0.113098118578014</v>
      </c>
      <c r="L148" s="3227">
        <v>3.3706451810595284E-2</v>
      </c>
      <c r="M148" s="3497" t="s">
        <v>2146</v>
      </c>
    </row>
    <row r="149" spans="2:13" ht="18" customHeight="1" x14ac:dyDescent="0.2">
      <c r="B149" s="2616" t="s">
        <v>562</v>
      </c>
      <c r="C149" s="2618" t="s">
        <v>562</v>
      </c>
      <c r="D149" s="3227">
        <v>3.2111881571820749E-3</v>
      </c>
      <c r="E149" s="3227">
        <v>4.9636054655073317E-3</v>
      </c>
      <c r="F149" s="3227">
        <v>5.0039138765358554E-4</v>
      </c>
      <c r="G149" s="3103" t="str">
        <f t="shared" si="78"/>
        <v>NA</v>
      </c>
      <c r="H149" s="3103">
        <f t="shared" si="79"/>
        <v>0.3382633259483962</v>
      </c>
      <c r="I149" s="3103">
        <f t="shared" si="77"/>
        <v>0.99999999999999978</v>
      </c>
      <c r="J149" s="3227" t="s">
        <v>2146</v>
      </c>
      <c r="K149" s="3227">
        <v>1.6790056934581474E-3</v>
      </c>
      <c r="L149" s="3227">
        <v>5.0039138765358543E-4</v>
      </c>
      <c r="M149" s="3497" t="s">
        <v>2146</v>
      </c>
    </row>
    <row r="150" spans="2:13" ht="18" customHeight="1" x14ac:dyDescent="0.2">
      <c r="B150" s="2616" t="s">
        <v>563</v>
      </c>
      <c r="C150" s="2618" t="s">
        <v>563</v>
      </c>
      <c r="D150" s="3227">
        <v>3.9147529462336763</v>
      </c>
      <c r="E150" s="3227">
        <v>6.0511213198693454</v>
      </c>
      <c r="F150" s="3227">
        <v>0.61002612217087893</v>
      </c>
      <c r="G150" s="3103" t="str">
        <f t="shared" si="78"/>
        <v>NA</v>
      </c>
      <c r="H150" s="3103">
        <f t="shared" si="79"/>
        <v>0.33826332594839614</v>
      </c>
      <c r="I150" s="3103">
        <f t="shared" si="77"/>
        <v>1.0000000000000004</v>
      </c>
      <c r="J150" s="3227" t="s">
        <v>2146</v>
      </c>
      <c r="K150" s="3227">
        <v>2.0468724233762536</v>
      </c>
      <c r="L150" s="3227">
        <v>0.61002612217087915</v>
      </c>
      <c r="M150" s="3497" t="s">
        <v>2146</v>
      </c>
    </row>
    <row r="151" spans="2:13" ht="18" customHeight="1" x14ac:dyDescent="0.2">
      <c r="B151" s="2616" t="s">
        <v>564</v>
      </c>
      <c r="C151" s="2618" t="s">
        <v>564</v>
      </c>
      <c r="D151" s="3227">
        <v>4.3829706655165732E-3</v>
      </c>
      <c r="E151" s="3227">
        <v>6.7748559366908627E-3</v>
      </c>
      <c r="F151" s="3227">
        <v>6.8298731373231175E-4</v>
      </c>
      <c r="G151" s="3103" t="str">
        <f t="shared" si="78"/>
        <v>NA</v>
      </c>
      <c r="H151" s="3103">
        <f t="shared" si="79"/>
        <v>0.33826332594839625</v>
      </c>
      <c r="I151" s="3103">
        <f t="shared" si="77"/>
        <v>1</v>
      </c>
      <c r="J151" s="3227" t="s">
        <v>2146</v>
      </c>
      <c r="K151" s="3227">
        <v>2.2916853019662887E-3</v>
      </c>
      <c r="L151" s="3227">
        <v>6.8298731373231175E-4</v>
      </c>
      <c r="M151" s="3497" t="s">
        <v>2146</v>
      </c>
    </row>
    <row r="152" spans="2:13" ht="18" customHeight="1" x14ac:dyDescent="0.2">
      <c r="B152" s="2616" t="s">
        <v>565</v>
      </c>
      <c r="C152" s="2618" t="s">
        <v>565</v>
      </c>
      <c r="D152" s="3227">
        <v>11.193931044810967</v>
      </c>
      <c r="E152" s="3227">
        <v>17.302709961191951</v>
      </c>
      <c r="F152" s="3227">
        <v>1.744322168192997</v>
      </c>
      <c r="G152" s="3103" t="str">
        <f t="shared" si="78"/>
        <v>NA</v>
      </c>
      <c r="H152" s="3103">
        <f t="shared" si="79"/>
        <v>0.33826332594839625</v>
      </c>
      <c r="I152" s="3103">
        <f t="shared" si="77"/>
        <v>0.99999999999999989</v>
      </c>
      <c r="J152" s="3227" t="s">
        <v>2146</v>
      </c>
      <c r="K152" s="3227">
        <v>5.8528722193932357</v>
      </c>
      <c r="L152" s="3227">
        <v>1.7443221681929968</v>
      </c>
      <c r="M152" s="3497" t="s">
        <v>2146</v>
      </c>
    </row>
    <row r="153" spans="2:13" ht="18" customHeight="1" x14ac:dyDescent="0.2">
      <c r="B153" s="2616" t="s">
        <v>567</v>
      </c>
      <c r="C153" s="2618" t="s">
        <v>567</v>
      </c>
      <c r="D153" s="3227">
        <v>0.37471195376660077</v>
      </c>
      <c r="E153" s="3227">
        <v>0.5792006605240394</v>
      </c>
      <c r="F153" s="3227">
        <v>5.8390422901968921E-2</v>
      </c>
      <c r="G153" s="3103" t="str">
        <f t="shared" si="78"/>
        <v>NA</v>
      </c>
      <c r="H153" s="3103">
        <f t="shared" si="79"/>
        <v>0.3382633259483962</v>
      </c>
      <c r="I153" s="3103">
        <f t="shared" si="77"/>
        <v>0.99999999999999989</v>
      </c>
      <c r="J153" s="3227" t="s">
        <v>2146</v>
      </c>
      <c r="K153" s="3227">
        <v>0.19592234182036952</v>
      </c>
      <c r="L153" s="3227">
        <v>5.8390422901968914E-2</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0.13294370233548589</v>
      </c>
      <c r="E155" s="3227">
        <v>0.20549405865281484</v>
      </c>
      <c r="F155" s="3227">
        <v>2.0716283330415603E-2</v>
      </c>
      <c r="G155" s="3103" t="str">
        <f t="shared" si="78"/>
        <v>NA</v>
      </c>
      <c r="H155" s="3103">
        <f t="shared" si="79"/>
        <v>0.3382633259483962</v>
      </c>
      <c r="I155" s="3103">
        <f t="shared" si="77"/>
        <v>0.99999999999999978</v>
      </c>
      <c r="J155" s="3227" t="s">
        <v>2146</v>
      </c>
      <c r="K155" s="3227">
        <v>6.9511103742535954E-2</v>
      </c>
      <c r="L155" s="3227">
        <v>2.07162833304156E-2</v>
      </c>
      <c r="M155" s="3497" t="s">
        <v>2146</v>
      </c>
    </row>
    <row r="156" spans="2:13" ht="18" customHeight="1" x14ac:dyDescent="0.2">
      <c r="B156" s="2616" t="s">
        <v>574</v>
      </c>
      <c r="C156" s="2618" t="s">
        <v>574</v>
      </c>
      <c r="D156" s="3227">
        <v>1.423967077815651E-5</v>
      </c>
      <c r="E156" s="3227">
        <v>2.2010578091913136E-5</v>
      </c>
      <c r="F156" s="3227">
        <v>2.2189321433798306E-6</v>
      </c>
      <c r="G156" s="3103" t="str">
        <f t="shared" si="78"/>
        <v>NA</v>
      </c>
      <c r="H156" s="3103">
        <f t="shared" si="79"/>
        <v>0.33826332594839625</v>
      </c>
      <c r="I156" s="3103">
        <f t="shared" si="77"/>
        <v>0.99999999999999944</v>
      </c>
      <c r="J156" s="3227" t="s">
        <v>2146</v>
      </c>
      <c r="K156" s="3227">
        <v>7.4453713514174431E-6</v>
      </c>
      <c r="L156" s="3227">
        <v>2.2189321433798293E-6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1.0417461698944377</v>
      </c>
      <c r="K162" s="3233">
        <f t="shared" ref="K162:M162" si="85">IF(SUM(K163,K165,K175)=0,"NO",SUM(K163,K165,K175))</f>
        <v>9.3406658956476569</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1.0417461698944377</v>
      </c>
      <c r="K163" s="3230">
        <f t="shared" ref="K163:M163" si="86">K164</f>
        <v>8.7017709571707833</v>
      </c>
      <c r="L163" s="3230" t="str">
        <f t="shared" si="86"/>
        <v>NO</v>
      </c>
      <c r="M163" s="3226" t="str">
        <f t="shared" si="86"/>
        <v>NO</v>
      </c>
    </row>
    <row r="164" spans="2:13" ht="18" customHeight="1" x14ac:dyDescent="0.2">
      <c r="B164" s="2616" t="s">
        <v>1621</v>
      </c>
      <c r="C164" s="2618" t="s">
        <v>1621</v>
      </c>
      <c r="D164" s="3235">
        <v>12.255837292875738</v>
      </c>
      <c r="E164" s="3235">
        <v>271.93034241158693</v>
      </c>
      <c r="F164" s="3235" t="s">
        <v>2146</v>
      </c>
      <c r="G164" s="3103">
        <f t="shared" ref="G164" si="87">IF(SUM(D164)=0,"NA",J164/D164)</f>
        <v>8.5000000000000006E-2</v>
      </c>
      <c r="H164" s="3103">
        <f t="shared" ref="H164" si="88">IF(SUM(E164)=0,"NA",K164/E164)</f>
        <v>3.2000000000000008E-2</v>
      </c>
      <c r="I164" s="3103" t="str">
        <f t="shared" ref="I164" si="89">IF(SUM(F164)=0,"NA",(SUM(L164:M164))/F164)</f>
        <v>NA</v>
      </c>
      <c r="J164" s="3142">
        <v>1.0417461698944377</v>
      </c>
      <c r="K164" s="3142">
        <v>8.7017709571707833</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0.63889493847687362</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0.63889493847687362</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0.63889493847687362</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0.63889493847687362</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1328.7246776096777</v>
      </c>
      <c r="D10" s="2500">
        <f t="shared" ref="D10:I10" si="0">IF(SUM(D11,D20,D31:D32,D42:D47)=0,"NO",SUM(D11,D20,D31:D32,D42:D47))</f>
        <v>2597.8429655193859</v>
      </c>
      <c r="E10" s="2500">
        <f t="shared" si="0"/>
        <v>42.920260706467431</v>
      </c>
      <c r="F10" s="2500">
        <f t="shared" si="0"/>
        <v>33.668988453595595</v>
      </c>
      <c r="G10" s="2500">
        <f t="shared" si="0"/>
        <v>556.07375783828945</v>
      </c>
      <c r="H10" s="2915">
        <f t="shared" si="0"/>
        <v>32.43763587390022</v>
      </c>
      <c r="I10" s="2924" t="str">
        <f t="shared" si="0"/>
        <v>NO</v>
      </c>
      <c r="J10" s="2925">
        <f>IF(SUM(C10:E10)=0,"NO",SUM(C10)+28*SUM(D10)+265*SUM(E10))</f>
        <v>85442.196799366342</v>
      </c>
    </row>
    <row r="11" spans="1:10" ht="18" customHeight="1" x14ac:dyDescent="0.2">
      <c r="B11" s="234" t="s">
        <v>694</v>
      </c>
      <c r="C11" s="2926"/>
      <c r="D11" s="2137">
        <f>SUM(D16:D19)</f>
        <v>2328.4424727047731</v>
      </c>
      <c r="E11" s="1929"/>
      <c r="F11" s="1929"/>
      <c r="G11" s="1929"/>
      <c r="H11" s="2927"/>
      <c r="I11" s="2928"/>
      <c r="J11" s="1880">
        <f>IF(SUM(C11:E11)=0,"NO",SUM(C11)+28*SUM(D11)+265*SUM(E11))</f>
        <v>65196.389235733644</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1511.2473607278428</v>
      </c>
      <c r="E16" s="628"/>
      <c r="F16" s="628"/>
      <c r="G16" s="628"/>
      <c r="H16" s="2930"/>
      <c r="I16" s="2931"/>
      <c r="J16" s="2934">
        <f>IF(SUM(C16:E16)=0,"NO",SUM(C16)+28*SUM(D16)+265*SUM(E16))</f>
        <v>42314.926100379598</v>
      </c>
    </row>
    <row r="17" spans="2:10" ht="18" customHeight="1" x14ac:dyDescent="0.2">
      <c r="B17" s="228" t="s">
        <v>699</v>
      </c>
      <c r="C17" s="2936"/>
      <c r="D17" s="2920">
        <f>Table3.A!G24</f>
        <v>802.88258375791713</v>
      </c>
      <c r="E17" s="628"/>
      <c r="F17" s="628"/>
      <c r="G17" s="628"/>
      <c r="H17" s="2930"/>
      <c r="I17" s="2931"/>
      <c r="J17" s="2934">
        <f t="shared" ref="J17:J21" si="1">IF(SUM(C17:E17)=0,"NO",SUM(C17)+28*SUM(D17)+265*SUM(E17))</f>
        <v>22480.71234522168</v>
      </c>
    </row>
    <row r="18" spans="2:10" ht="18" customHeight="1" x14ac:dyDescent="0.2">
      <c r="B18" s="228" t="s">
        <v>700</v>
      </c>
      <c r="C18" s="2936"/>
      <c r="D18" s="2920">
        <f>Table3.A!G27</f>
        <v>3.8896592190131938</v>
      </c>
      <c r="E18" s="628"/>
      <c r="F18" s="628"/>
      <c r="G18" s="628"/>
      <c r="H18" s="2930"/>
      <c r="I18" s="2931"/>
      <c r="J18" s="2934">
        <f t="shared" si="1"/>
        <v>108.91045813236943</v>
      </c>
    </row>
    <row r="19" spans="2:10" ht="18" customHeight="1" thickBot="1" x14ac:dyDescent="0.25">
      <c r="B19" s="1297" t="s">
        <v>701</v>
      </c>
      <c r="C19" s="2937"/>
      <c r="D19" s="2500">
        <f>Table3.A!G30</f>
        <v>10.422869</v>
      </c>
      <c r="E19" s="1923"/>
      <c r="F19" s="1923"/>
      <c r="G19" s="1923"/>
      <c r="H19" s="2938"/>
      <c r="I19" s="2939"/>
      <c r="J19" s="2934">
        <f t="shared" si="1"/>
        <v>291.84033199999999</v>
      </c>
    </row>
    <row r="20" spans="2:10" ht="18" customHeight="1" x14ac:dyDescent="0.2">
      <c r="B20" s="1456" t="s">
        <v>702</v>
      </c>
      <c r="C20" s="2940"/>
      <c r="D20" s="2920">
        <f>IF(SUM(D26:D30)=0,"NO",SUM(D26:D30))</f>
        <v>231.68140083157991</v>
      </c>
      <c r="E20" s="2920">
        <f>IF(SUM(E26:E30)=0,"NO",SUM(E26:E30))</f>
        <v>1.0305680559504724</v>
      </c>
      <c r="F20" s="2134"/>
      <c r="G20" s="2134"/>
      <c r="H20" s="2920" t="str">
        <f>IF(SUM(H26:H30)=0,"NE",SUM(H26:H30))</f>
        <v>NE</v>
      </c>
      <c r="I20" s="2931"/>
      <c r="J20" s="2941">
        <f t="shared" si="1"/>
        <v>6760.1797581111132</v>
      </c>
    </row>
    <row r="21" spans="2:10" ht="18" customHeight="1" x14ac:dyDescent="0.2">
      <c r="B21" s="228" t="s">
        <v>2019</v>
      </c>
      <c r="C21" s="2936"/>
      <c r="D21" s="2920">
        <f>D26</f>
        <v>127.86897625207278</v>
      </c>
      <c r="E21" s="2920">
        <f>E26</f>
        <v>0.43491165268455761</v>
      </c>
      <c r="F21" s="2942"/>
      <c r="G21" s="2942"/>
      <c r="H21" s="2920" t="str">
        <f>H26</f>
        <v>NE</v>
      </c>
      <c r="I21" s="2931"/>
      <c r="J21" s="2934">
        <f t="shared" si="1"/>
        <v>3695.5829230194458</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127.86897625207278</v>
      </c>
      <c r="E26" s="2920">
        <f>'Table3.B(b)'!X15</f>
        <v>0.43491165268455761</v>
      </c>
      <c r="F26" s="628"/>
      <c r="G26" s="628"/>
      <c r="H26" s="2944" t="s">
        <v>2154</v>
      </c>
      <c r="I26" s="2931"/>
      <c r="J26" s="2934">
        <f t="shared" ref="J26:J48" si="2">IF(SUM(C26:E26)=0,"NO",SUM(C26)+28*SUM(D26)+265*SUM(E26))</f>
        <v>3695.5829230194458</v>
      </c>
    </row>
    <row r="27" spans="2:10" ht="18" customHeight="1" x14ac:dyDescent="0.2">
      <c r="B27" s="228" t="s">
        <v>705</v>
      </c>
      <c r="C27" s="2936"/>
      <c r="D27" s="2920">
        <f>'Table3.B(a)'!K24</f>
        <v>41.263027579419685</v>
      </c>
      <c r="E27" s="2920" t="str">
        <f>'Table3.B(b)'!X24</f>
        <v>NA</v>
      </c>
      <c r="F27" s="2942"/>
      <c r="G27" s="2942"/>
      <c r="H27" s="2944" t="s">
        <v>2154</v>
      </c>
      <c r="I27" s="2931"/>
      <c r="J27" s="2934">
        <f t="shared" si="2"/>
        <v>1155.3647722237511</v>
      </c>
    </row>
    <row r="28" spans="2:10" ht="18" customHeight="1" x14ac:dyDescent="0.2">
      <c r="B28" s="228" t="s">
        <v>706</v>
      </c>
      <c r="C28" s="2936"/>
      <c r="D28" s="2920">
        <f>'Table3.B(a)'!K27</f>
        <v>59.534242348183675</v>
      </c>
      <c r="E28" s="2920">
        <f>'Table3.B(b)'!X27</f>
        <v>0.1193379681437579</v>
      </c>
      <c r="F28" s="2942"/>
      <c r="G28" s="2942"/>
      <c r="H28" s="2944" t="s">
        <v>2154</v>
      </c>
      <c r="I28" s="2931"/>
      <c r="J28" s="2934">
        <f t="shared" si="2"/>
        <v>1698.5833473072387</v>
      </c>
    </row>
    <row r="29" spans="2:10" ht="18" customHeight="1" x14ac:dyDescent="0.2">
      <c r="B29" s="228" t="s">
        <v>707</v>
      </c>
      <c r="C29" s="2936"/>
      <c r="D29" s="2920">
        <f>'Table3.B(a)'!K30</f>
        <v>3.015154651903762</v>
      </c>
      <c r="E29" s="2920">
        <f>'Table3.B(b)'!X30</f>
        <v>0.22274959262879407</v>
      </c>
      <c r="F29" s="2942"/>
      <c r="G29" s="2942"/>
      <c r="H29" s="2944" t="s">
        <v>2154</v>
      </c>
      <c r="I29" s="2931"/>
      <c r="J29" s="2934">
        <f t="shared" si="2"/>
        <v>143.45297229993577</v>
      </c>
    </row>
    <row r="30" spans="2:10" ht="18" customHeight="1" thickBot="1" x14ac:dyDescent="0.25">
      <c r="B30" s="1297" t="s">
        <v>708</v>
      </c>
      <c r="C30" s="2945"/>
      <c r="D30" s="2946"/>
      <c r="E30" s="2947">
        <f>SUM('Table3.B(b)'!Y46:Z46)</f>
        <v>0.25356884249336298</v>
      </c>
      <c r="F30" s="2948"/>
      <c r="G30" s="2948"/>
      <c r="H30" s="2949"/>
      <c r="I30" s="2950"/>
      <c r="J30" s="2934">
        <f t="shared" si="2"/>
        <v>67.195743260741196</v>
      </c>
    </row>
    <row r="31" spans="2:10" ht="18" customHeight="1" thickBot="1" x14ac:dyDescent="0.25">
      <c r="B31" s="2639" t="s">
        <v>709</v>
      </c>
      <c r="C31" s="2951"/>
      <c r="D31" s="2952">
        <f>Table3.C!G11</f>
        <v>23.460790500000002</v>
      </c>
      <c r="E31" s="2953"/>
      <c r="F31" s="2953"/>
      <c r="G31" s="2953"/>
      <c r="H31" s="2954" t="s">
        <v>2154</v>
      </c>
      <c r="I31" s="2955"/>
      <c r="J31" s="2956">
        <f t="shared" si="2"/>
        <v>656.90213400000005</v>
      </c>
    </row>
    <row r="32" spans="2:10" ht="18" customHeight="1" x14ac:dyDescent="0.2">
      <c r="B32" s="2638" t="s">
        <v>2020</v>
      </c>
      <c r="C32" s="2957"/>
      <c r="D32" s="2958" t="s">
        <v>2154</v>
      </c>
      <c r="E32" s="2958">
        <f>IF(SUM(E33,E41)=0,"NO",SUM(E33,E41))</f>
        <v>41.306933347262174</v>
      </c>
      <c r="F32" s="2958" t="str">
        <f>IF(SUM(F33,F41)=0,"NO",SUM(F33,F41))</f>
        <v>NO</v>
      </c>
      <c r="G32" s="2958" t="str">
        <f>IF(SUM(G33,G41)=0,"NO",SUM(G33,G41))</f>
        <v>NO</v>
      </c>
      <c r="H32" s="2958" t="str">
        <f>IF(SUM(H33,H41)=0,"NO",SUM(H33,H41))</f>
        <v>NO</v>
      </c>
      <c r="I32" s="2959"/>
      <c r="J32" s="2960">
        <f t="shared" si="2"/>
        <v>10946.337337024475</v>
      </c>
    </row>
    <row r="33" spans="2:10" ht="18" customHeight="1" x14ac:dyDescent="0.2">
      <c r="B33" s="228" t="s">
        <v>710</v>
      </c>
      <c r="C33" s="2961"/>
      <c r="D33" s="2962" t="s">
        <v>2154</v>
      </c>
      <c r="E33" s="2962">
        <f>IF(SUM(E34:E40)=0,"NO",SUM(E34:E40))</f>
        <v>31.180052029258828</v>
      </c>
      <c r="F33" s="2962" t="str">
        <f>IF(SUM(F34:F40)=0,"NO",SUM(F34:F40))</f>
        <v>NO</v>
      </c>
      <c r="G33" s="2962" t="str">
        <f>IF(SUM(G34:G40)=0,"NO",SUM(G34:G40))</f>
        <v>NO</v>
      </c>
      <c r="H33" s="2962" t="str">
        <f>IF(SUM(H34:H40)=0,"NO",SUM(H34:H40))</f>
        <v>NO</v>
      </c>
      <c r="I33" s="2931"/>
      <c r="J33" s="2963">
        <f t="shared" si="2"/>
        <v>8262.7137877535897</v>
      </c>
    </row>
    <row r="34" spans="2:10" ht="18" customHeight="1" x14ac:dyDescent="0.2">
      <c r="B34" s="232" t="s">
        <v>711</v>
      </c>
      <c r="C34" s="2961"/>
      <c r="D34" s="2905" t="s">
        <v>2154</v>
      </c>
      <c r="E34" s="2962">
        <f>Table3.D!F11</f>
        <v>6.177961181325073</v>
      </c>
      <c r="F34" s="2964" t="s">
        <v>2147</v>
      </c>
      <c r="G34" s="2964" t="s">
        <v>2147</v>
      </c>
      <c r="H34" s="2964" t="s">
        <v>2147</v>
      </c>
      <c r="I34" s="2931"/>
      <c r="J34" s="2963">
        <f t="shared" si="2"/>
        <v>1637.1597130511443</v>
      </c>
    </row>
    <row r="35" spans="2:10" ht="18" customHeight="1" x14ac:dyDescent="0.2">
      <c r="B35" s="232" t="s">
        <v>712</v>
      </c>
      <c r="C35" s="2961"/>
      <c r="D35" s="2905" t="s">
        <v>2154</v>
      </c>
      <c r="E35" s="2962">
        <f>Table3.D!F12</f>
        <v>1.1509557958090433</v>
      </c>
      <c r="F35" s="2964" t="s">
        <v>2147</v>
      </c>
      <c r="G35" s="2964" t="s">
        <v>2147</v>
      </c>
      <c r="H35" s="2965" t="s">
        <v>2147</v>
      </c>
      <c r="I35" s="2931"/>
      <c r="J35" s="2963">
        <f t="shared" si="2"/>
        <v>305.00328588939647</v>
      </c>
    </row>
    <row r="36" spans="2:10" ht="18" customHeight="1" x14ac:dyDescent="0.2">
      <c r="B36" s="232" t="s">
        <v>713</v>
      </c>
      <c r="C36" s="2961"/>
      <c r="D36" s="2905" t="s">
        <v>2154</v>
      </c>
      <c r="E36" s="2962">
        <f>Table3.D!F16</f>
        <v>12.540521510998358</v>
      </c>
      <c r="F36" s="2964" t="s">
        <v>2147</v>
      </c>
      <c r="G36" s="2964" t="s">
        <v>2147</v>
      </c>
      <c r="H36" s="2965" t="s">
        <v>2147</v>
      </c>
      <c r="I36" s="2931"/>
      <c r="J36" s="2963">
        <f t="shared" si="2"/>
        <v>3323.2382004145647</v>
      </c>
    </row>
    <row r="37" spans="2:10" ht="18" customHeight="1" x14ac:dyDescent="0.2">
      <c r="B37" s="232" t="s">
        <v>714</v>
      </c>
      <c r="C37" s="2961"/>
      <c r="D37" s="2905" t="s">
        <v>2154</v>
      </c>
      <c r="E37" s="2962">
        <f>Table3.D!F17</f>
        <v>11.16516264912212</v>
      </c>
      <c r="F37" s="2964" t="s">
        <v>2147</v>
      </c>
      <c r="G37" s="2964" t="s">
        <v>2147</v>
      </c>
      <c r="H37" s="2965" t="s">
        <v>2147</v>
      </c>
      <c r="I37" s="2931"/>
      <c r="J37" s="2963">
        <f t="shared" si="2"/>
        <v>2958.7681020173618</v>
      </c>
    </row>
    <row r="38" spans="2:10" ht="18" customHeight="1" x14ac:dyDescent="0.2">
      <c r="B38" s="1705" t="s">
        <v>715</v>
      </c>
      <c r="C38" s="2961"/>
      <c r="D38" s="2905" t="s">
        <v>2154</v>
      </c>
      <c r="E38" s="2962">
        <f>Table3.D!F18</f>
        <v>5.7450892004233561E-2</v>
      </c>
      <c r="F38" s="2964" t="s">
        <v>2147</v>
      </c>
      <c r="G38" s="2964" t="s">
        <v>2147</v>
      </c>
      <c r="H38" s="2965" t="s">
        <v>2147</v>
      </c>
      <c r="I38" s="2931"/>
      <c r="J38" s="2963">
        <f t="shared" si="2"/>
        <v>15.224486381121894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10.126881318003347</v>
      </c>
      <c r="F41" s="2969" t="s">
        <v>2147</v>
      </c>
      <c r="G41" s="2969" t="s">
        <v>2147</v>
      </c>
      <c r="H41" s="2970" t="s">
        <v>2147</v>
      </c>
      <c r="I41" s="2971"/>
      <c r="J41" s="2972">
        <f t="shared" si="2"/>
        <v>2683.623549270887</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14.258301483033064</v>
      </c>
      <c r="E43" s="2979">
        <f>SUM(Table3.F!J10,Table3.F!J20,Table3.F!J23,Table3.F!J26:J27)</f>
        <v>0.58275930325478098</v>
      </c>
      <c r="F43" s="2909">
        <v>33.668988453595595</v>
      </c>
      <c r="G43" s="2909">
        <v>556.07375783828945</v>
      </c>
      <c r="H43" s="2910">
        <v>32.43763587390022</v>
      </c>
      <c r="I43" s="2980" t="s">
        <v>2146</v>
      </c>
      <c r="J43" s="2981">
        <f t="shared" si="2"/>
        <v>553.6636568874427</v>
      </c>
    </row>
    <row r="44" spans="2:10" ht="18" customHeight="1" thickBot="1" x14ac:dyDescent="0.25">
      <c r="B44" s="2641" t="s">
        <v>721</v>
      </c>
      <c r="C44" s="2982">
        <f>'Table3.G-J'!E10</f>
        <v>585.8261268850398</v>
      </c>
      <c r="D44" s="2983"/>
      <c r="E44" s="2983"/>
      <c r="F44" s="2983"/>
      <c r="G44" s="2983"/>
      <c r="H44" s="2984"/>
      <c r="I44" s="2985"/>
      <c r="J44" s="2981">
        <f t="shared" si="2"/>
        <v>585.8261268850398</v>
      </c>
    </row>
    <row r="45" spans="2:10" ht="18" customHeight="1" thickBot="1" x14ac:dyDescent="0.25">
      <c r="B45" s="2641" t="s">
        <v>722</v>
      </c>
      <c r="C45" s="2982">
        <f>'Table3.G-J'!E13</f>
        <v>742.89855072463774</v>
      </c>
      <c r="D45" s="2983"/>
      <c r="E45" s="2983"/>
      <c r="F45" s="2983"/>
      <c r="G45" s="2983"/>
      <c r="H45" s="2984"/>
      <c r="I45" s="2985"/>
      <c r="J45" s="2981">
        <f t="shared" si="2"/>
        <v>742.89855072463774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26851.467999999997</v>
      </c>
      <c r="D10" s="3241"/>
      <c r="E10" s="3241"/>
      <c r="F10" s="3131">
        <f>IF(SUM(C10)=0,"NA",G10*1000/C10)</f>
        <v>56.281740749810879</v>
      </c>
      <c r="G10" s="3242">
        <f>G15</f>
        <v>1511.2473607278428</v>
      </c>
      <c r="I10" s="275" t="s">
        <v>738</v>
      </c>
      <c r="J10" s="276" t="s">
        <v>739</v>
      </c>
      <c r="K10" s="691">
        <v>448.90615849243801</v>
      </c>
      <c r="L10" s="691">
        <v>361.76994287775</v>
      </c>
      <c r="M10" s="3147">
        <v>514.06060606060601</v>
      </c>
      <c r="N10" s="3147">
        <v>45.260865062058002</v>
      </c>
      <c r="O10" s="2911">
        <v>53.8173296581298</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13.211355496021101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26851.467999999997</v>
      </c>
      <c r="D15" s="3248"/>
      <c r="E15" s="3248"/>
      <c r="F15" s="3131">
        <f>IF(SUM(C15)=0,"NA",G15*1000/C15)</f>
        <v>56.281740749810879</v>
      </c>
      <c r="G15" s="3249">
        <f>G20</f>
        <v>1511.2473607278428</v>
      </c>
      <c r="I15" s="1777" t="s">
        <v>748</v>
      </c>
      <c r="J15" s="1849" t="s">
        <v>297</v>
      </c>
      <c r="K15" s="3445">
        <v>75</v>
      </c>
      <c r="L15" s="3445">
        <v>57.918474606106699</v>
      </c>
      <c r="M15" s="1560">
        <v>80.659614714358497</v>
      </c>
      <c r="N15" s="1560">
        <v>66.333185659930194</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1511.2473607278428</v>
      </c>
      <c r="I20" s="72"/>
      <c r="J20" s="288"/>
      <c r="K20" s="288"/>
      <c r="L20" s="288"/>
      <c r="M20" s="288"/>
      <c r="N20" s="288"/>
      <c r="O20" s="288"/>
    </row>
    <row r="21" spans="2:15" ht="18" customHeight="1" x14ac:dyDescent="0.2">
      <c r="B21" s="2633" t="s">
        <v>2196</v>
      </c>
      <c r="C21" s="3272">
        <v>3075.7280000000001</v>
      </c>
      <c r="D21" s="3257">
        <v>223.01942538302501</v>
      </c>
      <c r="E21" s="3257">
        <v>6.1509627529997397</v>
      </c>
      <c r="F21" s="3131">
        <f t="shared" ref="F21:F30" si="0">IF(SUM(C21)=0,"NA",G21*1000/C21)</f>
        <v>90.673896739108514</v>
      </c>
      <c r="G21" s="3239">
        <v>278.88824306958475</v>
      </c>
      <c r="I21" s="72"/>
      <c r="J21" s="288"/>
      <c r="K21" s="288"/>
      <c r="L21" s="288"/>
      <c r="M21" s="288"/>
      <c r="N21" s="288"/>
      <c r="O21" s="288"/>
    </row>
    <row r="22" spans="2:15" ht="18" customHeight="1" x14ac:dyDescent="0.2">
      <c r="B22" s="2633" t="s">
        <v>2197</v>
      </c>
      <c r="C22" s="3272">
        <v>23272.03</v>
      </c>
      <c r="D22" s="3257">
        <v>125.33937792792599</v>
      </c>
      <c r="E22" s="3257">
        <v>6.21225</v>
      </c>
      <c r="F22" s="3131">
        <f t="shared" si="0"/>
        <v>51.467481575035954</v>
      </c>
      <c r="G22" s="3239">
        <v>1197.7527752386839</v>
      </c>
      <c r="I22" s="72"/>
      <c r="J22" s="288"/>
      <c r="K22" s="288"/>
      <c r="L22" s="288"/>
      <c r="M22" s="288"/>
      <c r="N22" s="288"/>
      <c r="O22" s="288"/>
    </row>
    <row r="23" spans="2:15" ht="18" customHeight="1" x14ac:dyDescent="0.2">
      <c r="B23" s="2633" t="s">
        <v>2198</v>
      </c>
      <c r="C23" s="3272">
        <v>503.71</v>
      </c>
      <c r="D23" s="3257">
        <v>199.673083796973</v>
      </c>
      <c r="E23" s="3257">
        <v>5.2054580465958704</v>
      </c>
      <c r="F23" s="3131">
        <f t="shared" si="0"/>
        <v>68.702909252494862</v>
      </c>
      <c r="G23" s="3239">
        <v>34.606342419574183</v>
      </c>
      <c r="I23" s="72"/>
      <c r="J23" s="288"/>
      <c r="K23" s="288"/>
      <c r="L23" s="288"/>
      <c r="M23" s="288"/>
      <c r="N23" s="288"/>
      <c r="O23" s="288"/>
    </row>
    <row r="24" spans="2:15" ht="18" customHeight="1" x14ac:dyDescent="0.2">
      <c r="B24" s="287" t="s">
        <v>753</v>
      </c>
      <c r="C24" s="2635">
        <f>C25</f>
        <v>117491.467</v>
      </c>
      <c r="D24" s="3258"/>
      <c r="E24" s="3258"/>
      <c r="F24" s="3131">
        <f t="shared" si="0"/>
        <v>6.8335395263889005</v>
      </c>
      <c r="G24" s="3128">
        <f>G25</f>
        <v>802.88258375791713</v>
      </c>
      <c r="I24" s="72"/>
    </row>
    <row r="25" spans="2:15" ht="18" customHeight="1" x14ac:dyDescent="0.2">
      <c r="B25" s="282" t="s">
        <v>754</v>
      </c>
      <c r="C25" s="2635">
        <f>C26</f>
        <v>117491.467</v>
      </c>
      <c r="D25" s="3258"/>
      <c r="E25" s="3258"/>
      <c r="F25" s="3131">
        <f t="shared" si="0"/>
        <v>6.8335395263889005</v>
      </c>
      <c r="G25" s="3128">
        <f>G26</f>
        <v>802.88258375791713</v>
      </c>
    </row>
    <row r="26" spans="2:15" ht="18" customHeight="1" x14ac:dyDescent="0.2">
      <c r="B26" s="2634" t="s">
        <v>2201</v>
      </c>
      <c r="C26" s="289">
        <v>117491.467</v>
      </c>
      <c r="D26" s="3259">
        <v>16.777302140127599</v>
      </c>
      <c r="E26" s="3259">
        <v>6.1620770287762596</v>
      </c>
      <c r="F26" s="3131">
        <f t="shared" si="0"/>
        <v>6.8335395263889005</v>
      </c>
      <c r="G26" s="3240">
        <v>802.88258375791713</v>
      </c>
    </row>
    <row r="27" spans="2:15" ht="18" customHeight="1" x14ac:dyDescent="0.2">
      <c r="B27" s="287" t="s">
        <v>755</v>
      </c>
      <c r="C27" s="2635">
        <f>C28</f>
        <v>2768.346</v>
      </c>
      <c r="D27" s="3258"/>
      <c r="E27" s="3258"/>
      <c r="F27" s="3131">
        <f t="shared" si="0"/>
        <v>1.4050480752814836</v>
      </c>
      <c r="G27" s="3128">
        <f>G28</f>
        <v>3.8896592190131938</v>
      </c>
    </row>
    <row r="28" spans="2:15" ht="18" customHeight="1" x14ac:dyDescent="0.2">
      <c r="B28" s="282" t="s">
        <v>756</v>
      </c>
      <c r="C28" s="2635">
        <f>C29</f>
        <v>2768.346</v>
      </c>
      <c r="D28" s="3258"/>
      <c r="E28" s="3258"/>
      <c r="F28" s="3131">
        <f t="shared" si="0"/>
        <v>1.4050480752814836</v>
      </c>
      <c r="G28" s="3128">
        <f>G29</f>
        <v>3.8896592190131938</v>
      </c>
    </row>
    <row r="29" spans="2:15" ht="18" customHeight="1" x14ac:dyDescent="0.2">
      <c r="B29" s="2634" t="s">
        <v>817</v>
      </c>
      <c r="C29" s="289">
        <v>2768.346</v>
      </c>
      <c r="D29" s="3259">
        <v>30.366635897081601</v>
      </c>
      <c r="E29" s="3259">
        <v>0.7</v>
      </c>
      <c r="F29" s="3131">
        <f t="shared" si="0"/>
        <v>1.4050480752814836</v>
      </c>
      <c r="G29" s="3240">
        <v>3.8896592190131938</v>
      </c>
    </row>
    <row r="30" spans="2:15" ht="18" customHeight="1" x14ac:dyDescent="0.2">
      <c r="B30" s="287" t="s">
        <v>757</v>
      </c>
      <c r="C30" s="2635">
        <f>SUM(C32:C39)</f>
        <v>50814.175999999999</v>
      </c>
      <c r="D30" s="3258"/>
      <c r="E30" s="3258"/>
      <c r="F30" s="3131">
        <f t="shared" si="0"/>
        <v>0.20511734756852104</v>
      </c>
      <c r="G30" s="3128">
        <f>SUM(G32:G39)</f>
        <v>10.422869</v>
      </c>
    </row>
    <row r="31" spans="2:15" ht="18" customHeight="1" x14ac:dyDescent="0.2">
      <c r="B31" s="1305" t="s">
        <v>345</v>
      </c>
      <c r="C31" s="3273"/>
      <c r="D31" s="3261"/>
      <c r="E31" s="3261"/>
      <c r="F31" s="3261"/>
      <c r="G31" s="3262"/>
    </row>
    <row r="32" spans="2:15" ht="18" customHeight="1" x14ac:dyDescent="0.2">
      <c r="B32" s="286" t="s">
        <v>758</v>
      </c>
      <c r="C32" s="3267">
        <v>11.247999999999999</v>
      </c>
      <c r="D32" s="3263" t="s">
        <v>2147</v>
      </c>
      <c r="E32" s="3263" t="s">
        <v>2147</v>
      </c>
      <c r="F32" s="3131">
        <f t="shared" ref="F32:F40" si="1">IF(SUM(C32)=0,"NA",G32*1000/C32)</f>
        <v>76</v>
      </c>
      <c r="G32" s="3239">
        <v>0.85484799999999994</v>
      </c>
    </row>
    <row r="33" spans="2:7" ht="18" customHeight="1" x14ac:dyDescent="0.2">
      <c r="B33" s="286" t="s">
        <v>759</v>
      </c>
      <c r="C33" s="3267">
        <v>1.446</v>
      </c>
      <c r="D33" s="3263" t="s">
        <v>2147</v>
      </c>
      <c r="E33" s="3263" t="s">
        <v>2147</v>
      </c>
      <c r="F33" s="3131">
        <f t="shared" si="1"/>
        <v>46.000000000000007</v>
      </c>
      <c r="G33" s="3239">
        <v>6.6516000000000006E-2</v>
      </c>
    </row>
    <row r="34" spans="2:7" ht="18" customHeight="1" x14ac:dyDescent="0.2">
      <c r="B34" s="286" t="s">
        <v>760</v>
      </c>
      <c r="C34" s="3267">
        <v>165.77699999999999</v>
      </c>
      <c r="D34" s="3263" t="s">
        <v>2147</v>
      </c>
      <c r="E34" s="3263" t="s">
        <v>2147</v>
      </c>
      <c r="F34" s="3131">
        <f t="shared" si="1"/>
        <v>20.000000000000004</v>
      </c>
      <c r="G34" s="3239">
        <v>3.3155400000000004</v>
      </c>
    </row>
    <row r="35" spans="2:7" ht="18" customHeight="1" x14ac:dyDescent="0.2">
      <c r="B35" s="286" t="s">
        <v>761</v>
      </c>
      <c r="C35" s="3267">
        <v>218.947</v>
      </c>
      <c r="D35" s="3263" t="s">
        <v>2147</v>
      </c>
      <c r="E35" s="3263" t="s">
        <v>2147</v>
      </c>
      <c r="F35" s="3131">
        <f t="shared" si="1"/>
        <v>4.9999999999999991</v>
      </c>
      <c r="G35" s="3239">
        <v>1.0947349999999998</v>
      </c>
    </row>
    <row r="36" spans="2:7" ht="18" customHeight="1" x14ac:dyDescent="0.2">
      <c r="B36" s="286" t="s">
        <v>762</v>
      </c>
      <c r="C36" s="3267">
        <v>233.33699999999999</v>
      </c>
      <c r="D36" s="3263" t="s">
        <v>2147</v>
      </c>
      <c r="E36" s="3263" t="s">
        <v>2147</v>
      </c>
      <c r="F36" s="3131">
        <f t="shared" si="1"/>
        <v>18.000000000000004</v>
      </c>
      <c r="G36" s="3239">
        <v>4.2000660000000005</v>
      </c>
    </row>
    <row r="37" spans="2:7" ht="18" customHeight="1" x14ac:dyDescent="0.2">
      <c r="B37" s="286" t="s">
        <v>763</v>
      </c>
      <c r="C37" s="3267">
        <v>0.42899999999999999</v>
      </c>
      <c r="D37" s="3263" t="s">
        <v>2147</v>
      </c>
      <c r="E37" s="3263" t="s">
        <v>2147</v>
      </c>
      <c r="F37" s="3131">
        <f t="shared" si="1"/>
        <v>10</v>
      </c>
      <c r="G37" s="3239">
        <v>4.2900000000000004E-3</v>
      </c>
    </row>
    <row r="38" spans="2:7" ht="18" customHeight="1" x14ac:dyDescent="0.2">
      <c r="B38" s="286" t="s">
        <v>764</v>
      </c>
      <c r="C38" s="3274">
        <v>50008.360999999997</v>
      </c>
      <c r="D38" s="3263" t="s">
        <v>2147</v>
      </c>
      <c r="E38" s="3263" t="s">
        <v>2147</v>
      </c>
      <c r="F38" s="3131" t="s">
        <v>2147</v>
      </c>
      <c r="G38" s="3264" t="s">
        <v>2154</v>
      </c>
    </row>
    <row r="39" spans="2:7" ht="18" customHeight="1" x14ac:dyDescent="0.2">
      <c r="B39" s="286" t="s">
        <v>765</v>
      </c>
      <c r="C39" s="2635">
        <f>SUM(C40:C44)</f>
        <v>174.631</v>
      </c>
      <c r="D39" s="3258"/>
      <c r="E39" s="3258"/>
      <c r="F39" s="3131">
        <f t="shared" si="1"/>
        <v>5.0785599349485482</v>
      </c>
      <c r="G39" s="3128">
        <f>SUM(G40:G44)</f>
        <v>0.88687399999999994</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170.05799999999999</v>
      </c>
      <c r="D42" s="2967" t="s">
        <v>2147</v>
      </c>
      <c r="E42" s="2967" t="s">
        <v>2147</v>
      </c>
      <c r="F42" s="3131">
        <f t="shared" si="2"/>
        <v>5</v>
      </c>
      <c r="G42" s="3201">
        <v>0.85028999999999999</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4.5730000000000004</v>
      </c>
      <c r="D44" s="3258"/>
      <c r="E44" s="3258"/>
      <c r="F44" s="3131">
        <f>IF(SUM(C44)=0,"NA",G44*1000/C44)</f>
        <v>7.9999999999999982</v>
      </c>
      <c r="G44" s="3128">
        <f>G45</f>
        <v>3.6583999999999998E-2</v>
      </c>
    </row>
    <row r="45" spans="2:7" ht="18" customHeight="1" thickBot="1" x14ac:dyDescent="0.25">
      <c r="B45" s="2636" t="s">
        <v>2199</v>
      </c>
      <c r="C45" s="3276">
        <v>4.5730000000000004</v>
      </c>
      <c r="D45" s="3137" t="s">
        <v>2147</v>
      </c>
      <c r="E45" s="3137" t="s">
        <v>2147</v>
      </c>
      <c r="F45" s="3265">
        <f>IF(SUM(C45)=0,"NA",G45*1000/C45)</f>
        <v>7.9999999999999982</v>
      </c>
      <c r="G45" s="3203">
        <v>3.6583999999999998E-2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26851.467999999997</v>
      </c>
      <c r="D10" s="2942"/>
      <c r="E10" s="2942"/>
      <c r="F10" s="2942"/>
      <c r="G10" s="2942"/>
      <c r="H10" s="2942"/>
      <c r="I10" s="3279"/>
      <c r="J10" s="3280">
        <f>IF(SUM(C10)=0,"NA",K10*1000/C10)</f>
        <v>4.7620851214567779</v>
      </c>
      <c r="K10" s="3281">
        <f>K15</f>
        <v>127.86897625207278</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26851.467999999997</v>
      </c>
      <c r="D15" s="3293"/>
      <c r="E15" s="3293"/>
      <c r="F15" s="3293"/>
      <c r="G15" s="3293"/>
      <c r="H15" s="3293"/>
      <c r="I15" s="3288"/>
      <c r="J15" s="3287">
        <f>IF(SUM(C15)=0,"NA",K15*1000/C15)</f>
        <v>4.7620851214567779</v>
      </c>
      <c r="K15" s="3281">
        <f>SUM(K17:K20)</f>
        <v>127.86897625207278</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26851.467999999997</v>
      </c>
      <c r="D20" s="3293"/>
      <c r="E20" s="3293"/>
      <c r="F20" s="3293"/>
      <c r="G20" s="3293"/>
      <c r="H20" s="3293"/>
      <c r="I20" s="3288"/>
      <c r="J20" s="3301">
        <f>IF(SUM(C20)=0,"NA",K20*1000/C20)</f>
        <v>4.7620851214567779</v>
      </c>
      <c r="K20" s="3281">
        <f>SUM(K21:K23)</f>
        <v>127.86897625207278</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3075.7280000000001</v>
      </c>
      <c r="D21" s="3325">
        <v>7.0883571571766302</v>
      </c>
      <c r="E21" s="3325">
        <v>92.885567716939363</v>
      </c>
      <c r="F21" s="3325">
        <v>2.6075125884010002E-2</v>
      </c>
      <c r="G21" s="3298">
        <f>Table3.A!K10</f>
        <v>448.90615849243801</v>
      </c>
      <c r="H21" s="3299">
        <v>3.2033232381001899</v>
      </c>
      <c r="I21" s="3300">
        <v>0.24</v>
      </c>
      <c r="J21" s="3301">
        <f>IF(SUM(C21)=0,"NA",K21*1000/C21)</f>
        <v>8.5845178902604271</v>
      </c>
      <c r="K21" s="3277">
        <v>26.403642041574923</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23272.03</v>
      </c>
      <c r="D22" s="3325" t="s">
        <v>2146</v>
      </c>
      <c r="E22" s="3325">
        <v>88.669092430003005</v>
      </c>
      <c r="F22" s="3325">
        <v>11.330907569997001</v>
      </c>
      <c r="G22" s="3298">
        <f>Table3.A!L10</f>
        <v>361.76994287775</v>
      </c>
      <c r="H22" s="3299" t="s">
        <v>2147</v>
      </c>
      <c r="I22" s="3300" t="s">
        <v>2147</v>
      </c>
      <c r="J22" s="3301">
        <f t="shared" ref="J22:J45" si="0">IF(SUM(C22)=0,"NA",K22*1000/C22)</f>
        <v>4.2848033660945593</v>
      </c>
      <c r="K22" s="3277">
        <v>99.716072479853565</v>
      </c>
      <c r="M22" s="1594" t="s">
        <v>800</v>
      </c>
      <c r="N22" s="4486" t="s">
        <v>2196</v>
      </c>
      <c r="O22" s="1690" t="s">
        <v>802</v>
      </c>
      <c r="P22" s="1691" t="s">
        <v>791</v>
      </c>
      <c r="Q22" s="3774">
        <v>3.50244828608907</v>
      </c>
      <c r="R22" s="300" t="s">
        <v>2146</v>
      </c>
      <c r="S22" s="3772">
        <v>5.7708592037492901</v>
      </c>
      <c r="T22" s="3772">
        <v>0.79932556242862263</v>
      </c>
      <c r="U22" s="3772" t="s">
        <v>2146</v>
      </c>
      <c r="V22" s="3772" t="s">
        <v>2153</v>
      </c>
      <c r="W22" s="3772" t="s">
        <v>2146</v>
      </c>
      <c r="X22" s="3772">
        <v>89.927366947733006</v>
      </c>
      <c r="Y22" s="301" t="s">
        <v>2146</v>
      </c>
      <c r="Z22" s="301" t="s">
        <v>2146</v>
      </c>
      <c r="AA22" s="301" t="s">
        <v>2146</v>
      </c>
      <c r="AB22" s="1306" t="s">
        <v>2146</v>
      </c>
    </row>
    <row r="23" spans="2:28" s="84" customFormat="1" ht="18" customHeight="1" x14ac:dyDescent="0.2">
      <c r="B23" s="2642" t="s">
        <v>2198</v>
      </c>
      <c r="C23" s="3325">
        <f>Table3.A!C23</f>
        <v>503.71</v>
      </c>
      <c r="D23" s="3325" t="s">
        <v>2146</v>
      </c>
      <c r="E23" s="3325">
        <v>100</v>
      </c>
      <c r="F23" s="3325" t="s">
        <v>2146</v>
      </c>
      <c r="G23" s="3298">
        <f>Table3.A!M10</f>
        <v>514.06060606060601</v>
      </c>
      <c r="H23" s="3299">
        <v>1.68951753766497</v>
      </c>
      <c r="I23" s="3300">
        <v>0.19</v>
      </c>
      <c r="J23" s="3301">
        <f t="shared" si="0"/>
        <v>3.4727556146280429</v>
      </c>
      <c r="K23" s="3277">
        <v>1.7492617306442915</v>
      </c>
      <c r="M23" s="1664" t="s">
        <v>813</v>
      </c>
      <c r="N23" s="4487"/>
      <c r="O23" s="1692" t="s">
        <v>794</v>
      </c>
      <c r="P23" s="1693" t="s">
        <v>792</v>
      </c>
      <c r="Q23" s="3776">
        <v>4.2684576897934603</v>
      </c>
      <c r="R23" s="277" t="s">
        <v>2146</v>
      </c>
      <c r="S23" s="691">
        <v>5.20459894515347</v>
      </c>
      <c r="T23" s="3147">
        <v>1.052785108377384</v>
      </c>
      <c r="U23" s="3147" t="s">
        <v>2146</v>
      </c>
      <c r="V23" s="3147" t="s">
        <v>2153</v>
      </c>
      <c r="W23" s="3147" t="s">
        <v>2146</v>
      </c>
      <c r="X23" s="3147">
        <v>89.474158256675693</v>
      </c>
      <c r="Y23" s="278" t="s">
        <v>2146</v>
      </c>
      <c r="Z23" s="278" t="s">
        <v>2146</v>
      </c>
      <c r="AA23" s="278" t="s">
        <v>2146</v>
      </c>
      <c r="AB23" s="279" t="s">
        <v>2146</v>
      </c>
    </row>
    <row r="24" spans="2:28" s="84" customFormat="1" ht="18" customHeight="1" thickBot="1" x14ac:dyDescent="0.25">
      <c r="B24" s="1643" t="s">
        <v>811</v>
      </c>
      <c r="C24" s="4184">
        <f>C25</f>
        <v>117491.467</v>
      </c>
      <c r="D24" s="3303"/>
      <c r="E24" s="3303"/>
      <c r="F24" s="3303"/>
      <c r="G24" s="3303"/>
      <c r="H24" s="3303"/>
      <c r="I24" s="3304"/>
      <c r="J24" s="3301">
        <f t="shared" si="0"/>
        <v>0.35120020741097469</v>
      </c>
      <c r="K24" s="3281">
        <f>K25</f>
        <v>41.263027579419685</v>
      </c>
      <c r="M24" s="1656"/>
      <c r="N24" s="4487"/>
      <c r="O24" s="1694"/>
      <c r="P24" s="1693" t="s">
        <v>793</v>
      </c>
      <c r="Q24" s="4208">
        <v>2.8417752502321099</v>
      </c>
      <c r="R24" s="304" t="s">
        <v>2146</v>
      </c>
      <c r="S24" s="1559">
        <v>8.2490420458126597</v>
      </c>
      <c r="T24" s="1560">
        <v>1.6379676789532311</v>
      </c>
      <c r="U24" s="1560" t="s">
        <v>2146</v>
      </c>
      <c r="V24" s="1560" t="s">
        <v>2153</v>
      </c>
      <c r="W24" s="1560" t="s">
        <v>2146</v>
      </c>
      <c r="X24" s="1560">
        <v>87.271215025001993</v>
      </c>
      <c r="Y24" s="305" t="s">
        <v>2146</v>
      </c>
      <c r="Z24" s="305" t="s">
        <v>2146</v>
      </c>
      <c r="AA24" s="305" t="s">
        <v>2146</v>
      </c>
      <c r="AB24" s="442" t="s">
        <v>2146</v>
      </c>
    </row>
    <row r="25" spans="2:28" s="84" customFormat="1" ht="18" customHeight="1" x14ac:dyDescent="0.2">
      <c r="B25" s="1644" t="s">
        <v>812</v>
      </c>
      <c r="C25" s="4184">
        <f>C26</f>
        <v>117491.467</v>
      </c>
      <c r="D25" s="3250"/>
      <c r="E25" s="3250"/>
      <c r="F25" s="3250"/>
      <c r="G25" s="3250"/>
      <c r="H25" s="3250"/>
      <c r="I25" s="3260"/>
      <c r="J25" s="3301">
        <f t="shared" si="0"/>
        <v>0.35120020741097469</v>
      </c>
      <c r="K25" s="3281">
        <f>K26</f>
        <v>41.263027579419685</v>
      </c>
      <c r="M25" s="1656"/>
      <c r="N25" s="4487"/>
      <c r="O25" s="1695" t="s">
        <v>2026</v>
      </c>
      <c r="P25" s="1691" t="s">
        <v>791</v>
      </c>
      <c r="Q25" s="4209">
        <v>0.70004128088154005</v>
      </c>
      <c r="R25" s="1308" t="s">
        <v>2146</v>
      </c>
      <c r="S25" s="692">
        <v>3.7911102343350003E-2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117491.467</v>
      </c>
      <c r="D26" s="3325" t="s">
        <v>2146</v>
      </c>
      <c r="E26" s="3325">
        <v>100</v>
      </c>
      <c r="F26" s="3325" t="s">
        <v>2146</v>
      </c>
      <c r="G26" s="3305">
        <f>Table3.A!N10</f>
        <v>45.260865062058002</v>
      </c>
      <c r="H26" s="3033" t="s">
        <v>2147</v>
      </c>
      <c r="I26" s="3126" t="s">
        <v>2147</v>
      </c>
      <c r="J26" s="3301">
        <f t="shared" si="0"/>
        <v>0.35120020741097469</v>
      </c>
      <c r="K26" s="3277">
        <v>41.263027579419685</v>
      </c>
      <c r="M26" s="1656"/>
      <c r="N26" s="4487"/>
      <c r="O26" s="1696"/>
      <c r="P26" s="1693" t="s">
        <v>792</v>
      </c>
      <c r="Q26" s="3776">
        <v>0.74513921696312002</v>
      </c>
      <c r="R26" s="277" t="s">
        <v>2146</v>
      </c>
      <c r="S26" s="691">
        <v>8.8044689394560005E-2</v>
      </c>
      <c r="T26" s="3147">
        <v>1.9999999999999998</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2768.346</v>
      </c>
      <c r="D27" s="3250"/>
      <c r="E27" s="3250"/>
      <c r="F27" s="3250"/>
      <c r="G27" s="3250"/>
      <c r="H27" s="3250"/>
      <c r="I27" s="3260"/>
      <c r="J27" s="3301">
        <f t="shared" si="0"/>
        <v>21.505347361992929</v>
      </c>
      <c r="K27" s="3281">
        <f>K28</f>
        <v>59.534242348183675</v>
      </c>
      <c r="M27" s="1656"/>
      <c r="N27" s="4488"/>
      <c r="O27" s="1697"/>
      <c r="P27" s="1693" t="s">
        <v>793</v>
      </c>
      <c r="Q27" s="4208">
        <v>0.8</v>
      </c>
      <c r="R27" s="304" t="s">
        <v>2146</v>
      </c>
      <c r="S27" s="1559">
        <v>0.33881578947368002</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2768.346</v>
      </c>
      <c r="D28" s="3250"/>
      <c r="E28" s="3250"/>
      <c r="F28" s="3250"/>
      <c r="G28" s="3250"/>
      <c r="H28" s="3250"/>
      <c r="I28" s="3260"/>
      <c r="J28" s="3301">
        <f t="shared" si="0"/>
        <v>21.505347361992929</v>
      </c>
      <c r="K28" s="3281">
        <f>K29</f>
        <v>59.534242348183675</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2768.346</v>
      </c>
      <c r="D29" s="3325">
        <v>0.87778045085404999</v>
      </c>
      <c r="E29" s="3325">
        <v>99.122219549145953</v>
      </c>
      <c r="F29" s="3325" t="s">
        <v>2146</v>
      </c>
      <c r="G29" s="3305">
        <f>Table3.A!O10</f>
        <v>53.8173296581298</v>
      </c>
      <c r="H29" s="3033">
        <v>0.29637945225288997</v>
      </c>
      <c r="I29" s="3126">
        <v>0.45</v>
      </c>
      <c r="J29" s="3301">
        <f t="shared" si="0"/>
        <v>21.505347361992929</v>
      </c>
      <c r="K29" s="3277">
        <v>59.534242348183675</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50814.175999999999</v>
      </c>
      <c r="D30" s="3250"/>
      <c r="E30" s="3250"/>
      <c r="F30" s="3250"/>
      <c r="G30" s="3250"/>
      <c r="H30" s="3250"/>
      <c r="I30" s="3260"/>
      <c r="J30" s="3301">
        <f t="shared" si="0"/>
        <v>5.9336879769609212E-2</v>
      </c>
      <c r="K30" s="3281">
        <f>SUM(K32:K39)</f>
        <v>3.015154651903762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11.247999999999999</v>
      </c>
      <c r="D32" s="3325" t="s">
        <v>2146</v>
      </c>
      <c r="E32" s="3325" t="s">
        <v>2146</v>
      </c>
      <c r="F32" s="3325">
        <v>100</v>
      </c>
      <c r="G32" s="3307" t="s">
        <v>2147</v>
      </c>
      <c r="H32" s="3307" t="s">
        <v>2147</v>
      </c>
      <c r="I32" s="3307" t="s">
        <v>2147</v>
      </c>
      <c r="J32" s="3301">
        <f t="shared" si="0"/>
        <v>11.569996682399509</v>
      </c>
      <c r="K32" s="3277">
        <v>0.13013932268362968</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1.446</v>
      </c>
      <c r="D33" s="3325" t="s">
        <v>2146</v>
      </c>
      <c r="E33" s="3325">
        <v>40.802213001383102</v>
      </c>
      <c r="F33" s="3325">
        <v>59.197786998616898</v>
      </c>
      <c r="G33" s="3307" t="s">
        <v>2147</v>
      </c>
      <c r="H33" s="3307" t="s">
        <v>2147</v>
      </c>
      <c r="I33" s="3307" t="s">
        <v>2147</v>
      </c>
      <c r="J33" s="3287">
        <f t="shared" si="0"/>
        <v>8.0730969115805422</v>
      </c>
      <c r="K33" s="3277">
        <v>1.1673698134145465E-2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165.77699999999999</v>
      </c>
      <c r="D34" s="3325" t="s">
        <v>2146</v>
      </c>
      <c r="E34" s="3325">
        <v>100</v>
      </c>
      <c r="F34" s="3325" t="e">
        <v>#VALUE!</v>
      </c>
      <c r="G34" s="3307" t="s">
        <v>2147</v>
      </c>
      <c r="H34" s="3307" t="s">
        <v>2147</v>
      </c>
      <c r="I34" s="3307" t="s">
        <v>2147</v>
      </c>
      <c r="J34" s="3287">
        <f t="shared" si="0"/>
        <v>0.99987625650366174</v>
      </c>
      <c r="K34" s="3277">
        <v>0.16575648617440752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218.947</v>
      </c>
      <c r="D35" s="3325" t="s">
        <v>2146</v>
      </c>
      <c r="E35" s="3325">
        <v>99.893124820161958</v>
      </c>
      <c r="F35" s="3325">
        <v>0.10687517983804</v>
      </c>
      <c r="G35" s="3307" t="s">
        <v>2147</v>
      </c>
      <c r="H35" s="3307" t="s">
        <v>2147</v>
      </c>
      <c r="I35" s="3307" t="s">
        <v>2147</v>
      </c>
      <c r="J35" s="3287">
        <f t="shared" si="0"/>
        <v>0.35841366110960915</v>
      </c>
      <c r="K35" s="3277">
        <v>7.84735958589656E-2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233.33699999999999</v>
      </c>
      <c r="D36" s="3325" t="s">
        <v>2146</v>
      </c>
      <c r="E36" s="3325">
        <v>97.268328640549925</v>
      </c>
      <c r="F36" s="3325">
        <v>2.7316713594500701</v>
      </c>
      <c r="G36" s="3307" t="s">
        <v>2147</v>
      </c>
      <c r="H36" s="3307" t="s">
        <v>2147</v>
      </c>
      <c r="I36" s="3307" t="s">
        <v>2147</v>
      </c>
      <c r="J36" s="3287">
        <f t="shared" si="0"/>
        <v>3.2337430551868591</v>
      </c>
      <c r="K36" s="3277">
        <v>0.75455190326813615</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0.42899999999999999</v>
      </c>
      <c r="D37" s="3325" t="s">
        <v>2146</v>
      </c>
      <c r="E37" s="3325">
        <v>99.300699300699307</v>
      </c>
      <c r="F37" s="3325">
        <v>0.69930069930070005</v>
      </c>
      <c r="G37" s="3307" t="s">
        <v>2147</v>
      </c>
      <c r="H37" s="3307" t="s">
        <v>2147</v>
      </c>
      <c r="I37" s="3307" t="s">
        <v>2147</v>
      </c>
      <c r="J37" s="3287">
        <f t="shared" si="0"/>
        <v>1.0198538040861524</v>
      </c>
      <c r="K37" s="3277">
        <v>4.3751728195295936E-4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50008.360999999997</v>
      </c>
      <c r="D38" s="3325">
        <v>1.29074334843942</v>
      </c>
      <c r="E38" s="3325">
        <v>98.70925665156058</v>
      </c>
      <c r="F38" s="3325" t="s">
        <v>2146</v>
      </c>
      <c r="G38" s="3307" t="s">
        <v>2147</v>
      </c>
      <c r="H38" s="3307" t="s">
        <v>2147</v>
      </c>
      <c r="I38" s="3307" t="s">
        <v>2147</v>
      </c>
      <c r="J38" s="3287">
        <f t="shared" si="0"/>
        <v>3.6228392575946643E-2</v>
      </c>
      <c r="K38" s="3277">
        <v>1.8117225343876595</v>
      </c>
      <c r="M38" s="1656"/>
      <c r="N38" s="4487"/>
      <c r="O38" s="1696"/>
      <c r="P38" s="1693" t="s">
        <v>792</v>
      </c>
      <c r="Q38" s="3776">
        <v>0.76168196891728002</v>
      </c>
      <c r="R38" s="277" t="s">
        <v>2146</v>
      </c>
      <c r="S38" s="277" t="s">
        <v>2146</v>
      </c>
      <c r="T38" s="3147" t="s">
        <v>2153</v>
      </c>
      <c r="U38" s="3147" t="s">
        <v>2146</v>
      </c>
      <c r="V38" s="3147">
        <v>2.0613717032002557E-2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174.631</v>
      </c>
      <c r="D39" s="3294"/>
      <c r="E39" s="3294"/>
      <c r="F39" s="3294"/>
      <c r="G39" s="3294"/>
      <c r="H39" s="3294"/>
      <c r="I39" s="3295"/>
      <c r="J39" s="3287">
        <f t="shared" si="0"/>
        <v>0.35732254934613611</v>
      </c>
      <c r="K39" s="3281">
        <f>SUM(K40:K44)</f>
        <v>6.2399594114865092E-2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82.7</v>
      </c>
      <c r="R40" s="300" t="s">
        <v>2146</v>
      </c>
      <c r="S40" s="300" t="s">
        <v>2146</v>
      </c>
      <c r="T40" s="3773" t="s">
        <v>2153</v>
      </c>
      <c r="U40" s="3773" t="s">
        <v>2153</v>
      </c>
      <c r="V40" s="3773">
        <v>13.624999999999998</v>
      </c>
      <c r="W40" s="3773" t="s">
        <v>2153</v>
      </c>
      <c r="X40" s="301" t="s">
        <v>2146</v>
      </c>
      <c r="Y40" s="301" t="s">
        <v>2146</v>
      </c>
      <c r="Z40" s="3773" t="s">
        <v>2146</v>
      </c>
      <c r="AA40" s="301" t="s">
        <v>2146</v>
      </c>
      <c r="AB40" s="3775">
        <v>8.9</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84.897533039583905</v>
      </c>
      <c r="R41" s="277" t="s">
        <v>2146</v>
      </c>
      <c r="S41" s="277" t="s">
        <v>2146</v>
      </c>
      <c r="T41" s="3147" t="s">
        <v>2153</v>
      </c>
      <c r="U41" s="3147" t="s">
        <v>2153</v>
      </c>
      <c r="V41" s="3147">
        <v>12.036015629910423</v>
      </c>
      <c r="W41" s="3147" t="s">
        <v>2153</v>
      </c>
      <c r="X41" s="278" t="s">
        <v>2146</v>
      </c>
      <c r="Y41" s="278" t="s">
        <v>2146</v>
      </c>
      <c r="Z41" s="3147">
        <v>0.41154089842816</v>
      </c>
      <c r="AA41" s="278" t="s">
        <v>2146</v>
      </c>
      <c r="AB41" s="2911">
        <v>6.5603518129597997</v>
      </c>
    </row>
    <row r="42" spans="2:28" s="84" customFormat="1" ht="18" customHeight="1" thickBot="1" x14ac:dyDescent="0.25">
      <c r="B42" s="350" t="s">
        <v>828</v>
      </c>
      <c r="C42" s="3307">
        <f>Table3.A!C42</f>
        <v>170.05799999999999</v>
      </c>
      <c r="D42" s="3325" t="s">
        <v>2146</v>
      </c>
      <c r="E42" s="3325">
        <v>100</v>
      </c>
      <c r="F42" s="3325" t="s">
        <v>2146</v>
      </c>
      <c r="G42" s="3307" t="s">
        <v>2147</v>
      </c>
      <c r="H42" s="3307" t="s">
        <v>2147</v>
      </c>
      <c r="I42" s="3307" t="s">
        <v>2147</v>
      </c>
      <c r="J42" s="3287">
        <f t="shared" si="0"/>
        <v>0.35732254934613611</v>
      </c>
      <c r="K42" s="3277">
        <v>6.0765558096705211E-2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1.6330275229357802</v>
      </c>
      <c r="W43" s="3773" t="s">
        <v>2153</v>
      </c>
      <c r="X43" s="301" t="s">
        <v>2146</v>
      </c>
      <c r="Y43" s="301" t="s">
        <v>2146</v>
      </c>
      <c r="Z43" s="3773" t="s">
        <v>2146</v>
      </c>
      <c r="AA43" s="301" t="s">
        <v>2146</v>
      </c>
      <c r="AB43" s="3775">
        <v>3.6179775280900002E-2</v>
      </c>
    </row>
    <row r="44" spans="2:28" s="84" customFormat="1" ht="18" customHeight="1" x14ac:dyDescent="0.2">
      <c r="B44" s="2644" t="s">
        <v>2091</v>
      </c>
      <c r="C44" s="4184">
        <f>C45</f>
        <v>4.5730000000000004</v>
      </c>
      <c r="D44" s="3294"/>
      <c r="E44" s="3294"/>
      <c r="F44" s="3294"/>
      <c r="G44" s="3294"/>
      <c r="H44" s="3294"/>
      <c r="I44" s="3295"/>
      <c r="J44" s="3287">
        <f t="shared" si="0"/>
        <v>0.35732254934613616</v>
      </c>
      <c r="K44" s="3281">
        <f>K45</f>
        <v>1.6340360181598807E-3</v>
      </c>
      <c r="M44" s="4491"/>
      <c r="N44" s="4492"/>
      <c r="O44" s="1696"/>
      <c r="P44" s="1693" t="s">
        <v>792</v>
      </c>
      <c r="Q44" s="3776">
        <v>0.75506245886548995</v>
      </c>
      <c r="R44" s="277" t="s">
        <v>2146</v>
      </c>
      <c r="S44" s="277" t="s">
        <v>2146</v>
      </c>
      <c r="T44" s="3147" t="s">
        <v>2153</v>
      </c>
      <c r="U44" s="3147" t="s">
        <v>2153</v>
      </c>
      <c r="V44" s="3147">
        <v>1.7982099252770674</v>
      </c>
      <c r="W44" s="3147" t="s">
        <v>2153</v>
      </c>
      <c r="X44" s="278" t="s">
        <v>2146</v>
      </c>
      <c r="Y44" s="278" t="s">
        <v>2146</v>
      </c>
      <c r="Z44" s="3147">
        <v>0.1</v>
      </c>
      <c r="AA44" s="278" t="s">
        <v>2146</v>
      </c>
      <c r="AB44" s="2911">
        <v>3.7501002724259998E-2</v>
      </c>
    </row>
    <row r="45" spans="2:28" s="84" customFormat="1" ht="18" customHeight="1" thickBot="1" x14ac:dyDescent="0.25">
      <c r="B45" s="2648" t="s">
        <v>2199</v>
      </c>
      <c r="C45" s="4186">
        <f>Table3.A!C45</f>
        <v>4.5730000000000004</v>
      </c>
      <c r="D45" s="3040" t="s">
        <v>2146</v>
      </c>
      <c r="E45" s="3040">
        <v>100</v>
      </c>
      <c r="F45" s="3040" t="s">
        <v>2146</v>
      </c>
      <c r="G45" s="3040" t="s">
        <v>2147</v>
      </c>
      <c r="H45" s="3040" t="s">
        <v>2147</v>
      </c>
      <c r="I45" s="3308" t="s">
        <v>2147</v>
      </c>
      <c r="J45" s="3309">
        <f t="shared" si="0"/>
        <v>0.35732254934613616</v>
      </c>
      <c r="K45" s="3278">
        <v>1.6340360181598807E-3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50.350558449098358</v>
      </c>
      <c r="U46" s="3773" t="s">
        <v>2146</v>
      </c>
      <c r="V46" s="3773" t="s">
        <v>2146</v>
      </c>
      <c r="W46" s="3773" t="s">
        <v>2153</v>
      </c>
      <c r="X46" s="3773">
        <v>0.2</v>
      </c>
      <c r="Y46" s="3773">
        <v>17.2269320069881</v>
      </c>
      <c r="Z46" s="3773">
        <v>0.47584567955013002</v>
      </c>
      <c r="AA46" s="301" t="s">
        <v>2146</v>
      </c>
      <c r="AB46" s="3775">
        <v>99.8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44.119429960823041</v>
      </c>
      <c r="U47" s="3147" t="s">
        <v>2146</v>
      </c>
      <c r="V47" s="3147" t="s">
        <v>2146</v>
      </c>
      <c r="W47" s="3147" t="s">
        <v>2153</v>
      </c>
      <c r="X47" s="3147">
        <v>0.2</v>
      </c>
      <c r="Y47" s="3147">
        <v>18.818487296884701</v>
      </c>
      <c r="Z47" s="3147">
        <v>0.2340609056572</v>
      </c>
      <c r="AA47" s="278" t="s">
        <v>2146</v>
      </c>
      <c r="AB47" s="2911">
        <v>99.8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1.9999999999999993E-2</v>
      </c>
      <c r="U50" s="3147" t="s">
        <v>2146</v>
      </c>
      <c r="V50" s="3147" t="s">
        <v>2146</v>
      </c>
      <c r="W50" s="3147" t="s">
        <v>2153</v>
      </c>
      <c r="X50" s="3147">
        <v>1.31761258001E-2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26851.467999999997</v>
      </c>
      <c r="D10" s="3490"/>
      <c r="E10" s="3491"/>
      <c r="F10" s="3478">
        <f>F15</f>
        <v>16353590.984481037</v>
      </c>
      <c r="G10" s="3478" t="str">
        <f t="shared" ref="G10:R10" si="0">G15</f>
        <v>NO</v>
      </c>
      <c r="H10" s="3478">
        <f t="shared" si="0"/>
        <v>19371284.296193901</v>
      </c>
      <c r="I10" s="3478">
        <f t="shared" si="0"/>
        <v>3838646.8347969651</v>
      </c>
      <c r="J10" s="3478" t="str">
        <f t="shared" si="0"/>
        <v>NO</v>
      </c>
      <c r="K10" s="3478">
        <f t="shared" si="0"/>
        <v>48624729.889768988</v>
      </c>
      <c r="L10" s="3478" t="str">
        <f t="shared" si="0"/>
        <v>NO</v>
      </c>
      <c r="M10" s="3478">
        <f t="shared" si="0"/>
        <v>1162153572.3380818</v>
      </c>
      <c r="N10" s="3478" t="str">
        <f t="shared" si="0"/>
        <v>NO</v>
      </c>
      <c r="O10" s="3478" t="str">
        <f t="shared" si="0"/>
        <v>NO</v>
      </c>
      <c r="P10" s="3478" t="str">
        <f t="shared" si="0"/>
        <v>NO</v>
      </c>
      <c r="Q10" s="3478" t="str">
        <f t="shared" si="0"/>
        <v>NO</v>
      </c>
      <c r="R10" s="3478">
        <f t="shared" si="0"/>
        <v>1250341824.3433228</v>
      </c>
      <c r="S10" s="2651"/>
      <c r="T10" s="2652"/>
      <c r="U10" s="3456">
        <f>IF(SUM(X10)=0,"NA",X10*1000/C10)</f>
        <v>1.6196941362183911E-2</v>
      </c>
      <c r="V10" s="3448"/>
      <c r="W10" s="3449"/>
      <c r="X10" s="3311">
        <f t="shared" ref="X10" si="1">X15</f>
        <v>0.43491165268455761</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26851.467999999997</v>
      </c>
      <c r="D15" s="3493"/>
      <c r="E15" s="3493"/>
      <c r="F15" s="2649">
        <f>F20</f>
        <v>16353590.984481037</v>
      </c>
      <c r="G15" s="2649" t="str">
        <f t="shared" ref="G15:R15" si="2">G20</f>
        <v>NO</v>
      </c>
      <c r="H15" s="2649">
        <f t="shared" si="2"/>
        <v>19371284.296193901</v>
      </c>
      <c r="I15" s="2649">
        <f t="shared" si="2"/>
        <v>3838646.8347969651</v>
      </c>
      <c r="J15" s="2649" t="str">
        <f t="shared" si="2"/>
        <v>NO</v>
      </c>
      <c r="K15" s="2649">
        <f t="shared" si="2"/>
        <v>48624729.889768988</v>
      </c>
      <c r="L15" s="2649" t="str">
        <f t="shared" si="2"/>
        <v>NO</v>
      </c>
      <c r="M15" s="2649">
        <f t="shared" si="2"/>
        <v>1162153572.3380818</v>
      </c>
      <c r="N15" s="2649" t="str">
        <f t="shared" si="2"/>
        <v>NO</v>
      </c>
      <c r="O15" s="2649" t="str">
        <f t="shared" si="2"/>
        <v>NO</v>
      </c>
      <c r="P15" s="2649" t="str">
        <f t="shared" si="2"/>
        <v>NO</v>
      </c>
      <c r="Q15" s="2649" t="str">
        <f t="shared" si="2"/>
        <v>NO</v>
      </c>
      <c r="R15" s="2649">
        <f t="shared" si="2"/>
        <v>1250341824.3433228</v>
      </c>
      <c r="S15" s="2657"/>
      <c r="T15" s="2658"/>
      <c r="U15" s="3456">
        <f>IF(SUM(X15)=0,"NA",X15*1000/C15)</f>
        <v>1.6196941362183911E-2</v>
      </c>
      <c r="V15" s="3454"/>
      <c r="W15" s="3455"/>
      <c r="X15" s="3314">
        <f t="shared" ref="X15" si="3">X20</f>
        <v>0.43491165268455761</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26851.467999999997</v>
      </c>
      <c r="D20" s="3492"/>
      <c r="E20" s="3492"/>
      <c r="F20" s="2649">
        <f>IF(SUM(F21:F23)=0,"NO",SUM(F21:F23))</f>
        <v>16353590.984481037</v>
      </c>
      <c r="G20" s="2649" t="str">
        <f t="shared" ref="G20:Q20" si="6">IF(SUM(G21:G23)=0,"NO",SUM(G21:G23))</f>
        <v>NO</v>
      </c>
      <c r="H20" s="2649">
        <f t="shared" si="6"/>
        <v>19371284.296193901</v>
      </c>
      <c r="I20" s="2649">
        <f t="shared" si="6"/>
        <v>3838646.8347969651</v>
      </c>
      <c r="J20" s="2649" t="str">
        <f t="shared" si="6"/>
        <v>NO</v>
      </c>
      <c r="K20" s="2649">
        <f t="shared" si="6"/>
        <v>48624729.889768988</v>
      </c>
      <c r="L20" s="2649" t="str">
        <f t="shared" si="6"/>
        <v>NO</v>
      </c>
      <c r="M20" s="2649">
        <f t="shared" si="6"/>
        <v>1162153572.3380818</v>
      </c>
      <c r="N20" s="2649" t="str">
        <f t="shared" si="6"/>
        <v>NO</v>
      </c>
      <c r="O20" s="2649" t="str">
        <f t="shared" si="6"/>
        <v>NO</v>
      </c>
      <c r="P20" s="2649" t="str">
        <f t="shared" si="6"/>
        <v>NO</v>
      </c>
      <c r="Q20" s="2649" t="str">
        <f t="shared" si="6"/>
        <v>NO</v>
      </c>
      <c r="R20" s="3482">
        <f>IF(SUM(F20:Q20)=0,"NO",SUM(F20:Q20))</f>
        <v>1250341824.3433228</v>
      </c>
      <c r="S20" s="2657"/>
      <c r="T20" s="2658"/>
      <c r="U20" s="3456">
        <f t="shared" si="4"/>
        <v>1.6196941362183911E-2</v>
      </c>
      <c r="V20" s="3454"/>
      <c r="W20" s="3455"/>
      <c r="X20" s="3314">
        <f t="shared" ref="X20" si="7">IF(SUM(X21:X23)=0,"NO",SUM(X21:X23))</f>
        <v>0.43491165268455761</v>
      </c>
      <c r="Y20" s="3173"/>
      <c r="Z20" s="3457"/>
    </row>
    <row r="21" spans="2:26" ht="18" customHeight="1" x14ac:dyDescent="0.2">
      <c r="B21" s="2647" t="s">
        <v>2196</v>
      </c>
      <c r="C21" s="3495">
        <f>Table3.A!C21</f>
        <v>3075.7280000000001</v>
      </c>
      <c r="D21" s="3307">
        <v>122.02622622318972</v>
      </c>
      <c r="E21" s="3494">
        <f>'Table3.B(a)'!G21</f>
        <v>448.90615849243801</v>
      </c>
      <c r="F21" s="3479">
        <v>15703562.511541501</v>
      </c>
      <c r="G21" s="3479" t="s">
        <v>2146</v>
      </c>
      <c r="H21" s="3479">
        <v>19371284.296193901</v>
      </c>
      <c r="I21" s="3479">
        <v>3838646.8347969651</v>
      </c>
      <c r="J21" s="3479" t="s">
        <v>2146</v>
      </c>
      <c r="K21" s="3479" t="s">
        <v>2153</v>
      </c>
      <c r="L21" s="3479" t="s">
        <v>2146</v>
      </c>
      <c r="M21" s="3479">
        <v>336406011.49171197</v>
      </c>
      <c r="N21" s="3479" t="s">
        <v>2146</v>
      </c>
      <c r="O21" s="3479" t="s">
        <v>2146</v>
      </c>
      <c r="P21" s="3479" t="s">
        <v>2146</v>
      </c>
      <c r="Q21" s="3479" t="s">
        <v>2146</v>
      </c>
      <c r="R21" s="3482">
        <f t="shared" ref="R21:R45" si="8">IF(SUM(F21:Q21)=0,"NO",SUM(F21:Q21))</f>
        <v>375319505.13424432</v>
      </c>
      <c r="S21" s="2657"/>
      <c r="T21" s="2658"/>
      <c r="U21" s="3456">
        <f t="shared" si="4"/>
        <v>9.8060675583533426E-3</v>
      </c>
      <c r="V21" s="3454"/>
      <c r="W21" s="3455"/>
      <c r="X21" s="3315">
        <v>3.0160796559119012E-2</v>
      </c>
      <c r="Y21" s="3173"/>
      <c r="Z21" s="3457"/>
    </row>
    <row r="22" spans="2:26" ht="18" customHeight="1" x14ac:dyDescent="0.2">
      <c r="B22" s="2647" t="s">
        <v>2197</v>
      </c>
      <c r="C22" s="3495">
        <f>Table3.A!C22</f>
        <v>23272.03</v>
      </c>
      <c r="D22" s="3307">
        <v>35.482403926675666</v>
      </c>
      <c r="E22" s="3494">
        <f>'Table3.B(a)'!G22</f>
        <v>361.76994287775</v>
      </c>
      <c r="F22" s="3483" t="s">
        <v>2146</v>
      </c>
      <c r="G22" s="3479" t="s">
        <v>2146</v>
      </c>
      <c r="H22" s="3483" t="s">
        <v>2146</v>
      </c>
      <c r="I22" s="3483" t="s">
        <v>2146</v>
      </c>
      <c r="J22" s="3483" t="s">
        <v>2146</v>
      </c>
      <c r="K22" s="3483" t="s">
        <v>2146</v>
      </c>
      <c r="L22" s="3483" t="s">
        <v>2146</v>
      </c>
      <c r="M22" s="3483">
        <v>825747560.84636998</v>
      </c>
      <c r="N22" s="3483" t="s">
        <v>2146</v>
      </c>
      <c r="O22" s="3483" t="s">
        <v>2146</v>
      </c>
      <c r="P22" s="3483" t="s">
        <v>2146</v>
      </c>
      <c r="Q22" s="3483" t="s">
        <v>2146</v>
      </c>
      <c r="R22" s="3482">
        <f t="shared" si="8"/>
        <v>825747560.84636998</v>
      </c>
      <c r="S22" s="2657"/>
      <c r="T22" s="2658"/>
      <c r="U22" s="3456" t="str">
        <f>IF(SUM(X22)=0,"NA",X22*1000/C22)</f>
        <v>NA</v>
      </c>
      <c r="V22" s="3454"/>
      <c r="W22" s="3455"/>
      <c r="X22" s="3315" t="s">
        <v>2147</v>
      </c>
      <c r="Y22" s="3173"/>
      <c r="Z22" s="3457"/>
    </row>
    <row r="23" spans="2:26" ht="18" customHeight="1" x14ac:dyDescent="0.2">
      <c r="B23" s="2647" t="s">
        <v>2198</v>
      </c>
      <c r="C23" s="3495">
        <f>Table3.A!C23</f>
        <v>503.71</v>
      </c>
      <c r="D23" s="3307">
        <v>71.693389382947274</v>
      </c>
      <c r="E23" s="3494">
        <f>'Table3.B(a)'!G23</f>
        <v>514.06060606060601</v>
      </c>
      <c r="F23" s="3483">
        <v>650028.47293953504</v>
      </c>
      <c r="G23" s="3479" t="s">
        <v>2146</v>
      </c>
      <c r="H23" s="3483" t="s">
        <v>2146</v>
      </c>
      <c r="I23" s="3483" t="s">
        <v>2153</v>
      </c>
      <c r="J23" s="3483" t="s">
        <v>2153</v>
      </c>
      <c r="K23" s="3483">
        <v>48624729.889768988</v>
      </c>
      <c r="L23" s="3483" t="s">
        <v>2146</v>
      </c>
      <c r="M23" s="3483" t="s">
        <v>2146</v>
      </c>
      <c r="N23" s="3483" t="s">
        <v>2146</v>
      </c>
      <c r="O23" s="3483" t="s">
        <v>2146</v>
      </c>
      <c r="P23" s="3483" t="s">
        <v>2146</v>
      </c>
      <c r="Q23" s="3483" t="s">
        <v>2146</v>
      </c>
      <c r="R23" s="3482">
        <f t="shared" si="8"/>
        <v>49274758.362708524</v>
      </c>
      <c r="S23" s="2657"/>
      <c r="T23" s="2658"/>
      <c r="U23" s="3456">
        <f t="shared" ref="U23:U30" si="9">IF(SUM(X23)=0,"NA",X23*1000/C23)</f>
        <v>0.80353944953532508</v>
      </c>
      <c r="V23" s="3454"/>
      <c r="W23" s="3455"/>
      <c r="X23" s="3315">
        <v>0.4047508561254386</v>
      </c>
      <c r="Y23" s="3173"/>
      <c r="Z23" s="3457"/>
    </row>
    <row r="24" spans="2:26" ht="18" customHeight="1" x14ac:dyDescent="0.2">
      <c r="B24" s="351" t="s">
        <v>811</v>
      </c>
      <c r="C24" s="3314">
        <f>C25</f>
        <v>117491.467</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818196134.70501697</v>
      </c>
      <c r="N24" s="2649" t="str">
        <f t="shared" si="10"/>
        <v>NO</v>
      </c>
      <c r="O24" s="2649" t="str">
        <f t="shared" si="10"/>
        <v>NO</v>
      </c>
      <c r="P24" s="2649" t="str">
        <f t="shared" si="10"/>
        <v>NO</v>
      </c>
      <c r="Q24" s="2649" t="str">
        <f t="shared" si="10"/>
        <v>NO</v>
      </c>
      <c r="R24" s="3482">
        <f t="shared" si="8"/>
        <v>818196134.70501697</v>
      </c>
      <c r="S24" s="2657"/>
      <c r="T24" s="2658"/>
      <c r="U24" s="3456" t="str">
        <f t="shared" si="9"/>
        <v>NA</v>
      </c>
      <c r="V24" s="3454"/>
      <c r="W24" s="3455"/>
      <c r="X24" s="3314" t="str">
        <f t="shared" ref="X24:X25" si="11">X25</f>
        <v>NA</v>
      </c>
      <c r="Y24" s="3173"/>
      <c r="Z24" s="3457"/>
    </row>
    <row r="25" spans="2:26" ht="18" customHeight="1" x14ac:dyDescent="0.2">
      <c r="B25" s="350" t="s">
        <v>812</v>
      </c>
      <c r="C25" s="3314">
        <f>C26</f>
        <v>117491.467</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818196134.70501697</v>
      </c>
      <c r="N25" s="2649" t="str">
        <f t="shared" si="10"/>
        <v>NO</v>
      </c>
      <c r="O25" s="2649" t="str">
        <f t="shared" si="10"/>
        <v>NO</v>
      </c>
      <c r="P25" s="2649" t="str">
        <f t="shared" si="10"/>
        <v>NO</v>
      </c>
      <c r="Q25" s="2649" t="str">
        <f t="shared" si="10"/>
        <v>NO</v>
      </c>
      <c r="R25" s="3482">
        <f t="shared" si="8"/>
        <v>818196134.70501697</v>
      </c>
      <c r="S25" s="2657"/>
      <c r="T25" s="2658"/>
      <c r="U25" s="3456" t="str">
        <f t="shared" si="9"/>
        <v>NA</v>
      </c>
      <c r="V25" s="3454"/>
      <c r="W25" s="3455"/>
      <c r="X25" s="3314" t="str">
        <f t="shared" si="11"/>
        <v>NA</v>
      </c>
      <c r="Y25" s="3173"/>
      <c r="Z25" s="3457"/>
    </row>
    <row r="26" spans="2:26" ht="18" customHeight="1" x14ac:dyDescent="0.2">
      <c r="B26" s="2642" t="s">
        <v>2201</v>
      </c>
      <c r="C26" s="3495">
        <f>Table3.A!C26</f>
        <v>117491.467</v>
      </c>
      <c r="D26" s="3307">
        <v>6.9638770848355938</v>
      </c>
      <c r="E26" s="3494">
        <f>'Table3.B(a)'!G26</f>
        <v>45.260865062058002</v>
      </c>
      <c r="F26" s="3483" t="s">
        <v>2146</v>
      </c>
      <c r="G26" s="3479" t="s">
        <v>2146</v>
      </c>
      <c r="H26" s="3483" t="s">
        <v>2146</v>
      </c>
      <c r="I26" s="3483" t="s">
        <v>2146</v>
      </c>
      <c r="J26" s="3483" t="s">
        <v>2146</v>
      </c>
      <c r="K26" s="3483" t="s">
        <v>2146</v>
      </c>
      <c r="L26" s="3483" t="s">
        <v>2146</v>
      </c>
      <c r="M26" s="3479">
        <v>818196134.70501697</v>
      </c>
      <c r="N26" s="3483" t="s">
        <v>2146</v>
      </c>
      <c r="O26" s="3483" t="s">
        <v>2146</v>
      </c>
      <c r="P26" s="3483" t="s">
        <v>2146</v>
      </c>
      <c r="Q26" s="3483" t="s">
        <v>2146</v>
      </c>
      <c r="R26" s="3482">
        <f t="shared" si="8"/>
        <v>818196134.70501697</v>
      </c>
      <c r="S26" s="2657"/>
      <c r="T26" s="2658"/>
      <c r="U26" s="3456" t="str">
        <f t="shared" si="9"/>
        <v>NA</v>
      </c>
      <c r="V26" s="3454"/>
      <c r="W26" s="3455"/>
      <c r="X26" s="3315" t="s">
        <v>2147</v>
      </c>
      <c r="Y26" s="3173"/>
      <c r="Z26" s="3457"/>
    </row>
    <row r="27" spans="2:26" ht="18" customHeight="1" x14ac:dyDescent="0.2">
      <c r="B27" s="351" t="s">
        <v>814</v>
      </c>
      <c r="C27" s="3314">
        <f>C28</f>
        <v>2768.346</v>
      </c>
      <c r="D27" s="3492"/>
      <c r="E27" s="3492"/>
      <c r="F27" s="2649">
        <f>F28</f>
        <v>37951550.317792401</v>
      </c>
      <c r="G27" s="2649" t="str">
        <f t="shared" ref="G27:G28" si="12">G28</f>
        <v>NO</v>
      </c>
      <c r="H27" s="2649" t="str">
        <f t="shared" ref="H27:H28" si="13">H28</f>
        <v>NO</v>
      </c>
      <c r="I27" s="2649" t="str">
        <f t="shared" ref="I27:I28" si="14">I28</f>
        <v>IE</v>
      </c>
      <c r="J27" s="2649" t="str">
        <f t="shared" ref="J27:J28" si="15">J28</f>
        <v>IE</v>
      </c>
      <c r="K27" s="2649">
        <f t="shared" ref="K27:K28" si="16">K28</f>
        <v>5185209.1792520592</v>
      </c>
      <c r="L27" s="2649" t="str">
        <f t="shared" ref="L27:L28" si="17">L28</f>
        <v>IE</v>
      </c>
      <c r="M27" s="2649" t="str">
        <f t="shared" ref="M27:M28" si="18">M28</f>
        <v>NO</v>
      </c>
      <c r="N27" s="2649" t="str">
        <f t="shared" ref="N27:N28" si="19">N28</f>
        <v>NO</v>
      </c>
      <c r="O27" s="2649">
        <f t="shared" ref="O27:O28" si="20">O28</f>
        <v>182332.503354557</v>
      </c>
      <c r="P27" s="2649" t="str">
        <f t="shared" ref="P27:P28" si="21">P28</f>
        <v>NO</v>
      </c>
      <c r="Q27" s="2649">
        <f t="shared" ref="Q27:Q28" si="22">Q28</f>
        <v>2934713.9823885499</v>
      </c>
      <c r="R27" s="3482">
        <f t="shared" si="8"/>
        <v>46253805.982787564</v>
      </c>
      <c r="S27" s="2657"/>
      <c r="T27" s="2658"/>
      <c r="U27" s="3456">
        <f t="shared" si="9"/>
        <v>4.3108039292688805E-2</v>
      </c>
      <c r="V27" s="3454"/>
      <c r="W27" s="3455"/>
      <c r="X27" s="3314">
        <f t="shared" ref="X27:X28" si="23">X28</f>
        <v>0.1193379681437579</v>
      </c>
      <c r="Y27" s="3173"/>
      <c r="Z27" s="3457"/>
    </row>
    <row r="28" spans="2:26" ht="18" customHeight="1" x14ac:dyDescent="0.2">
      <c r="B28" s="350" t="s">
        <v>815</v>
      </c>
      <c r="C28" s="3314">
        <f>C29</f>
        <v>2768.346</v>
      </c>
      <c r="D28" s="3492"/>
      <c r="E28" s="3492"/>
      <c r="F28" s="2649">
        <f>F29</f>
        <v>37951550.317792401</v>
      </c>
      <c r="G28" s="2649" t="str">
        <f t="shared" si="12"/>
        <v>NO</v>
      </c>
      <c r="H28" s="2649" t="str">
        <f t="shared" si="13"/>
        <v>NO</v>
      </c>
      <c r="I28" s="2649" t="str">
        <f t="shared" si="14"/>
        <v>IE</v>
      </c>
      <c r="J28" s="2649" t="str">
        <f t="shared" si="15"/>
        <v>IE</v>
      </c>
      <c r="K28" s="2649">
        <f t="shared" si="16"/>
        <v>5185209.1792520592</v>
      </c>
      <c r="L28" s="2649" t="str">
        <f t="shared" si="17"/>
        <v>IE</v>
      </c>
      <c r="M28" s="2649" t="str">
        <f t="shared" si="18"/>
        <v>NO</v>
      </c>
      <c r="N28" s="2649" t="str">
        <f t="shared" si="19"/>
        <v>NO</v>
      </c>
      <c r="O28" s="2649">
        <f t="shared" si="20"/>
        <v>182332.503354557</v>
      </c>
      <c r="P28" s="2649" t="str">
        <f t="shared" si="21"/>
        <v>NO</v>
      </c>
      <c r="Q28" s="2649">
        <f t="shared" si="22"/>
        <v>2934713.9823885499</v>
      </c>
      <c r="R28" s="3482">
        <f t="shared" si="8"/>
        <v>46253805.982787564</v>
      </c>
      <c r="S28" s="2657"/>
      <c r="T28" s="2658"/>
      <c r="U28" s="3456">
        <f t="shared" si="9"/>
        <v>4.3108039292688805E-2</v>
      </c>
      <c r="V28" s="3454"/>
      <c r="W28" s="3455"/>
      <c r="X28" s="3314">
        <f t="shared" si="23"/>
        <v>0.1193379681437579</v>
      </c>
      <c r="Y28" s="3173"/>
      <c r="Z28" s="3457"/>
    </row>
    <row r="29" spans="2:26" ht="18" customHeight="1" x14ac:dyDescent="0.2">
      <c r="B29" s="2642" t="s">
        <v>817</v>
      </c>
      <c r="C29" s="3495">
        <f>Table3.A!C29</f>
        <v>2768.346</v>
      </c>
      <c r="D29" s="3307">
        <v>15.955117131868903</v>
      </c>
      <c r="E29" s="3494">
        <f>'Table3.B(a)'!G29</f>
        <v>53.8173296581298</v>
      </c>
      <c r="F29" s="3479">
        <v>37951550.317792401</v>
      </c>
      <c r="G29" s="3479" t="s">
        <v>2146</v>
      </c>
      <c r="H29" s="3479" t="s">
        <v>2146</v>
      </c>
      <c r="I29" s="3479" t="s">
        <v>2153</v>
      </c>
      <c r="J29" s="3479" t="s">
        <v>2153</v>
      </c>
      <c r="K29" s="3479">
        <v>5185209.1792520592</v>
      </c>
      <c r="L29" s="3479" t="s">
        <v>2153</v>
      </c>
      <c r="M29" s="3479" t="s">
        <v>2146</v>
      </c>
      <c r="N29" s="3479" t="s">
        <v>2146</v>
      </c>
      <c r="O29" s="3479">
        <v>182332.503354557</v>
      </c>
      <c r="P29" s="3479" t="s">
        <v>2146</v>
      </c>
      <c r="Q29" s="3479">
        <v>2934713.9823885499</v>
      </c>
      <c r="R29" s="3482">
        <f t="shared" si="8"/>
        <v>46253805.982787564</v>
      </c>
      <c r="S29" s="2657"/>
      <c r="T29" s="2658"/>
      <c r="U29" s="3456">
        <f t="shared" si="9"/>
        <v>4.3108039292688805E-2</v>
      </c>
      <c r="V29" s="3454"/>
      <c r="W29" s="3455"/>
      <c r="X29" s="3315">
        <v>0.1193379681437579</v>
      </c>
      <c r="Y29" s="3173"/>
      <c r="Z29" s="3457"/>
    </row>
    <row r="30" spans="2:26" ht="18" customHeight="1" x14ac:dyDescent="0.2">
      <c r="B30" s="351" t="s">
        <v>861</v>
      </c>
      <c r="C30" s="3314">
        <f>IF(SUM(C32:C39)=0,"NO",SUM(C32:C39))</f>
        <v>50814.175999999999</v>
      </c>
      <c r="D30" s="3492"/>
      <c r="E30" s="3492"/>
      <c r="F30" s="2649" t="str">
        <f>IF(SUM(F32:F39)=0,"NO",SUM(F32:F39))</f>
        <v>NO</v>
      </c>
      <c r="G30" s="2649" t="str">
        <f t="shared" ref="G30:Q30" si="24">IF(SUM(G32:G39)=0,"NO",SUM(G32:G39))</f>
        <v>NO</v>
      </c>
      <c r="H30" s="2649" t="str">
        <f t="shared" si="24"/>
        <v>NO</v>
      </c>
      <c r="I30" s="2649">
        <f t="shared" si="24"/>
        <v>11562214.023136334</v>
      </c>
      <c r="J30" s="2649" t="str">
        <f t="shared" si="24"/>
        <v>NO</v>
      </c>
      <c r="K30" s="2649" t="str">
        <f t="shared" si="24"/>
        <v>NO</v>
      </c>
      <c r="L30" s="2649" t="str">
        <f t="shared" si="24"/>
        <v>NO</v>
      </c>
      <c r="M30" s="2649">
        <f t="shared" si="24"/>
        <v>14733260.61573064</v>
      </c>
      <c r="N30" s="2649">
        <f t="shared" si="24"/>
        <v>5096928.3698506802</v>
      </c>
      <c r="O30" s="2649">
        <f t="shared" si="24"/>
        <v>56923.851246217499</v>
      </c>
      <c r="P30" s="2649" t="str">
        <f t="shared" si="24"/>
        <v>NO</v>
      </c>
      <c r="Q30" s="2649">
        <f t="shared" si="24"/>
        <v>32969386.949589599</v>
      </c>
      <c r="R30" s="3482">
        <f t="shared" si="8"/>
        <v>64418713.809553474</v>
      </c>
      <c r="S30" s="2657"/>
      <c r="T30" s="2658"/>
      <c r="U30" s="3456">
        <f t="shared" si="9"/>
        <v>4.3836112314168795E-3</v>
      </c>
      <c r="V30" s="3454"/>
      <c r="W30" s="3455"/>
      <c r="X30" s="3314">
        <f t="shared" ref="X30" si="25">IF(SUM(X32:X39)=0,"NO",SUM(X32:X39))</f>
        <v>0.22274959262879407</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11.247999999999999</v>
      </c>
      <c r="D32" s="3307">
        <v>39.5</v>
      </c>
      <c r="E32" s="3494" t="str">
        <f>'Table3.B(a)'!G32</f>
        <v>NA</v>
      </c>
      <c r="F32" s="3479" t="s">
        <v>2146</v>
      </c>
      <c r="G32" s="3479" t="s">
        <v>2146</v>
      </c>
      <c r="H32" s="3479" t="s">
        <v>2146</v>
      </c>
      <c r="I32" s="3479" t="s">
        <v>2146</v>
      </c>
      <c r="J32" s="3479" t="s">
        <v>2146</v>
      </c>
      <c r="K32" s="3479" t="s">
        <v>2146</v>
      </c>
      <c r="L32" s="3479" t="s">
        <v>2146</v>
      </c>
      <c r="M32" s="3479">
        <v>444295.99999999994</v>
      </c>
      <c r="N32" s="3479" t="s">
        <v>2146</v>
      </c>
      <c r="O32" s="3479" t="s">
        <v>2146</v>
      </c>
      <c r="P32" s="3479" t="s">
        <v>2146</v>
      </c>
      <c r="Q32" s="3479" t="s">
        <v>2146</v>
      </c>
      <c r="R32" s="3482">
        <f t="shared" si="8"/>
        <v>444295.99999999994</v>
      </c>
      <c r="S32" s="2657"/>
      <c r="T32" s="2658"/>
      <c r="U32" s="3456" t="str">
        <f>IF(SUM(X32)=0,"NA",X32*1000/C32)</f>
        <v>NA</v>
      </c>
      <c r="V32" s="3454"/>
      <c r="W32" s="3455"/>
      <c r="X32" s="3315" t="s">
        <v>2147</v>
      </c>
      <c r="Y32" s="3173"/>
      <c r="Z32" s="3457"/>
    </row>
    <row r="33" spans="2:26" ht="18" customHeight="1" x14ac:dyDescent="0.2">
      <c r="B33" s="350" t="s">
        <v>819</v>
      </c>
      <c r="C33" s="3495">
        <f>Table3.A!C33</f>
        <v>1.446</v>
      </c>
      <c r="D33" s="3307">
        <v>39.5</v>
      </c>
      <c r="E33" s="3494" t="str">
        <f>'Table3.B(a)'!G33</f>
        <v>NA</v>
      </c>
      <c r="F33" s="3479" t="s">
        <v>2146</v>
      </c>
      <c r="G33" s="3479" t="s">
        <v>2146</v>
      </c>
      <c r="H33" s="3479" t="s">
        <v>2146</v>
      </c>
      <c r="I33" s="3479" t="s">
        <v>2146</v>
      </c>
      <c r="J33" s="3479" t="s">
        <v>2146</v>
      </c>
      <c r="K33" s="3479" t="s">
        <v>2146</v>
      </c>
      <c r="L33" s="3479" t="s">
        <v>2146</v>
      </c>
      <c r="M33" s="3479">
        <v>57117</v>
      </c>
      <c r="N33" s="3479" t="s">
        <v>2146</v>
      </c>
      <c r="O33" s="3479" t="s">
        <v>2146</v>
      </c>
      <c r="P33" s="3479" t="s">
        <v>2146</v>
      </c>
      <c r="Q33" s="3479" t="s">
        <v>2146</v>
      </c>
      <c r="R33" s="3482">
        <f t="shared" si="8"/>
        <v>57117</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165.77699999999999</v>
      </c>
      <c r="D34" s="3307">
        <v>13.2</v>
      </c>
      <c r="E34" s="3494" t="str">
        <f>'Table3.B(a)'!G34</f>
        <v>NA</v>
      </c>
      <c r="F34" s="3479" t="s">
        <v>2146</v>
      </c>
      <c r="G34" s="3479" t="s">
        <v>2146</v>
      </c>
      <c r="H34" s="3479" t="s">
        <v>2146</v>
      </c>
      <c r="I34" s="3479" t="s">
        <v>2146</v>
      </c>
      <c r="J34" s="3479" t="s">
        <v>2146</v>
      </c>
      <c r="K34" s="3479" t="s">
        <v>2146</v>
      </c>
      <c r="L34" s="3479" t="s">
        <v>2146</v>
      </c>
      <c r="M34" s="3479">
        <v>2188256.4</v>
      </c>
      <c r="N34" s="3479" t="s">
        <v>2146</v>
      </c>
      <c r="O34" s="3479" t="s">
        <v>2146</v>
      </c>
      <c r="P34" s="3479" t="s">
        <v>2146</v>
      </c>
      <c r="Q34" s="3479" t="s">
        <v>2146</v>
      </c>
      <c r="R34" s="3482">
        <f t="shared" si="8"/>
        <v>2188256.4</v>
      </c>
      <c r="S34" s="2657"/>
      <c r="T34" s="2658"/>
      <c r="U34" s="3456" t="str">
        <f t="shared" si="26"/>
        <v>NA</v>
      </c>
      <c r="V34" s="3454"/>
      <c r="W34" s="3455"/>
      <c r="X34" s="3315" t="s">
        <v>2147</v>
      </c>
      <c r="Y34" s="3173"/>
      <c r="Z34" s="3457"/>
    </row>
    <row r="35" spans="2:26" ht="18" customHeight="1" x14ac:dyDescent="0.2">
      <c r="B35" s="350" t="s">
        <v>821</v>
      </c>
      <c r="C35" s="3495">
        <f>Table3.A!C35</f>
        <v>218.947</v>
      </c>
      <c r="D35" s="3307">
        <v>7</v>
      </c>
      <c r="E35" s="3494" t="str">
        <f>'Table3.B(a)'!G35</f>
        <v>NA</v>
      </c>
      <c r="F35" s="3479" t="s">
        <v>2146</v>
      </c>
      <c r="G35" s="3479" t="s">
        <v>2146</v>
      </c>
      <c r="H35" s="3479" t="s">
        <v>2146</v>
      </c>
      <c r="I35" s="3479" t="s">
        <v>2146</v>
      </c>
      <c r="J35" s="3479" t="s">
        <v>2146</v>
      </c>
      <c r="K35" s="3479" t="s">
        <v>2146</v>
      </c>
      <c r="L35" s="3479" t="s">
        <v>2146</v>
      </c>
      <c r="M35" s="3479">
        <v>1532628.9999999998</v>
      </c>
      <c r="N35" s="3479" t="s">
        <v>2146</v>
      </c>
      <c r="O35" s="3479" t="s">
        <v>2146</v>
      </c>
      <c r="P35" s="3479" t="s">
        <v>2146</v>
      </c>
      <c r="Q35" s="3479" t="s">
        <v>2146</v>
      </c>
      <c r="R35" s="3482">
        <f t="shared" si="8"/>
        <v>1532628.9999999998</v>
      </c>
      <c r="S35" s="2657"/>
      <c r="T35" s="2658"/>
      <c r="U35" s="3456" t="str">
        <f t="shared" si="26"/>
        <v>NA</v>
      </c>
      <c r="V35" s="3454"/>
      <c r="W35" s="3455"/>
      <c r="X35" s="3315" t="s">
        <v>2147</v>
      </c>
      <c r="Y35" s="3173"/>
      <c r="Z35" s="3457"/>
    </row>
    <row r="36" spans="2:26" ht="18" customHeight="1" x14ac:dyDescent="0.2">
      <c r="B36" s="350" t="s">
        <v>822</v>
      </c>
      <c r="C36" s="3495">
        <f>Table3.A!C36</f>
        <v>233.33699999999999</v>
      </c>
      <c r="D36" s="3307">
        <v>39.5</v>
      </c>
      <c r="E36" s="3494" t="str">
        <f>'Table3.B(a)'!G36</f>
        <v>NA</v>
      </c>
      <c r="F36" s="3479" t="s">
        <v>2146</v>
      </c>
      <c r="G36" s="3479" t="s">
        <v>2146</v>
      </c>
      <c r="H36" s="3479" t="s">
        <v>2146</v>
      </c>
      <c r="I36" s="3479" t="s">
        <v>2146</v>
      </c>
      <c r="J36" s="3479" t="s">
        <v>2146</v>
      </c>
      <c r="K36" s="3479" t="s">
        <v>2146</v>
      </c>
      <c r="L36" s="3479" t="s">
        <v>2146</v>
      </c>
      <c r="M36" s="3479">
        <v>9216811.5</v>
      </c>
      <c r="N36" s="3479" t="s">
        <v>2146</v>
      </c>
      <c r="O36" s="3479" t="s">
        <v>2146</v>
      </c>
      <c r="P36" s="3479" t="s">
        <v>2146</v>
      </c>
      <c r="Q36" s="3479" t="s">
        <v>2146</v>
      </c>
      <c r="R36" s="3482">
        <f t="shared" si="8"/>
        <v>9216811.5</v>
      </c>
      <c r="S36" s="2657"/>
      <c r="T36" s="2658"/>
      <c r="U36" s="3456" t="str">
        <f t="shared" si="26"/>
        <v>NA</v>
      </c>
      <c r="V36" s="3454"/>
      <c r="W36" s="3455"/>
      <c r="X36" s="3315" t="s">
        <v>2147</v>
      </c>
      <c r="Y36" s="3173"/>
      <c r="Z36" s="3457"/>
    </row>
    <row r="37" spans="2:26" ht="18" customHeight="1" x14ac:dyDescent="0.2">
      <c r="B37" s="350" t="s">
        <v>862</v>
      </c>
      <c r="C37" s="3495">
        <f>Table3.A!C37</f>
        <v>0.42899999999999999</v>
      </c>
      <c r="D37" s="3307">
        <v>13.2</v>
      </c>
      <c r="E37" s="3494" t="str">
        <f>'Table3.B(a)'!G37</f>
        <v>NA</v>
      </c>
      <c r="F37" s="3479" t="s">
        <v>2146</v>
      </c>
      <c r="G37" s="3479" t="s">
        <v>2146</v>
      </c>
      <c r="H37" s="3479" t="s">
        <v>2146</v>
      </c>
      <c r="I37" s="3479" t="s">
        <v>2146</v>
      </c>
      <c r="J37" s="3479" t="s">
        <v>2146</v>
      </c>
      <c r="K37" s="3479" t="s">
        <v>2146</v>
      </c>
      <c r="L37" s="3479" t="s">
        <v>2146</v>
      </c>
      <c r="M37" s="3479">
        <v>5662.7999999999993</v>
      </c>
      <c r="N37" s="3479" t="s">
        <v>2146</v>
      </c>
      <c r="O37" s="3479" t="s">
        <v>2146</v>
      </c>
      <c r="P37" s="3479" t="s">
        <v>2146</v>
      </c>
      <c r="Q37" s="3479" t="s">
        <v>2146</v>
      </c>
      <c r="R37" s="3482">
        <f t="shared" si="8"/>
        <v>5662.7999999999993</v>
      </c>
      <c r="S37" s="2657"/>
      <c r="T37" s="2658"/>
      <c r="U37" s="3456" t="str">
        <f t="shared" si="26"/>
        <v>NA</v>
      </c>
      <c r="V37" s="3454"/>
      <c r="W37" s="3455"/>
      <c r="X37" s="3315" t="s">
        <v>2147</v>
      </c>
      <c r="Y37" s="3173"/>
      <c r="Z37" s="3457"/>
    </row>
    <row r="38" spans="2:26" ht="18" customHeight="1" x14ac:dyDescent="0.2">
      <c r="B38" s="350" t="s">
        <v>824</v>
      </c>
      <c r="C38" s="3495">
        <f>Table3.A!C38</f>
        <v>50008.360999999997</v>
      </c>
      <c r="D38" s="3307">
        <v>0.66059869779114999</v>
      </c>
      <c r="E38" s="3494" t="str">
        <f>'Table3.B(a)'!G38</f>
        <v>NA</v>
      </c>
      <c r="F38" s="3479" t="s">
        <v>2146</v>
      </c>
      <c r="G38" s="3479" t="s">
        <v>2146</v>
      </c>
      <c r="H38" s="3479" t="s">
        <v>2146</v>
      </c>
      <c r="I38" s="3479">
        <v>11562214.023136334</v>
      </c>
      <c r="J38" s="3479" t="s">
        <v>2153</v>
      </c>
      <c r="K38" s="3479" t="s">
        <v>2153</v>
      </c>
      <c r="L38" s="3479" t="s">
        <v>2153</v>
      </c>
      <c r="M38" s="3479">
        <v>66070.915730640394</v>
      </c>
      <c r="N38" s="3479">
        <v>5096928.3698506802</v>
      </c>
      <c r="O38" s="3479">
        <v>56923.851246217499</v>
      </c>
      <c r="P38" s="3479" t="s">
        <v>2146</v>
      </c>
      <c r="Q38" s="3479">
        <v>32969386.949589599</v>
      </c>
      <c r="R38" s="3482">
        <f t="shared" si="8"/>
        <v>49751524.109553471</v>
      </c>
      <c r="S38" s="2657"/>
      <c r="T38" s="2658"/>
      <c r="U38" s="3456">
        <f t="shared" si="26"/>
        <v>4.4542470133903025E-3</v>
      </c>
      <c r="V38" s="3454"/>
      <c r="W38" s="3455"/>
      <c r="X38" s="3315">
        <v>0.22274959262879407</v>
      </c>
      <c r="Y38" s="3173"/>
      <c r="Z38" s="3457"/>
    </row>
    <row r="39" spans="2:26" ht="18" customHeight="1" x14ac:dyDescent="0.2">
      <c r="B39" s="350" t="s">
        <v>825</v>
      </c>
      <c r="C39" s="3314">
        <f>IF(SUM(C40:C44)=0,"NO",SUM(C40:C44))</f>
        <v>174.631</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1222417</v>
      </c>
      <c r="N39" s="2649" t="str">
        <f t="shared" si="27"/>
        <v>NO</v>
      </c>
      <c r="O39" s="2649" t="str">
        <f t="shared" si="27"/>
        <v>NO</v>
      </c>
      <c r="P39" s="2649" t="str">
        <f t="shared" si="27"/>
        <v>NO</v>
      </c>
      <c r="Q39" s="2649" t="str">
        <f t="shared" si="27"/>
        <v>NO</v>
      </c>
      <c r="R39" s="3482">
        <f t="shared" si="8"/>
        <v>1222417</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170.05799999999999</v>
      </c>
      <c r="D42" s="3307">
        <v>7</v>
      </c>
      <c r="E42" s="3494" t="str">
        <f>'Table3.B(a)'!G42</f>
        <v>NA</v>
      </c>
      <c r="F42" s="3479" t="s">
        <v>2146</v>
      </c>
      <c r="G42" s="3479" t="s">
        <v>2146</v>
      </c>
      <c r="H42" s="3479" t="s">
        <v>2146</v>
      </c>
      <c r="I42" s="3479" t="s">
        <v>2146</v>
      </c>
      <c r="J42" s="3479" t="s">
        <v>2146</v>
      </c>
      <c r="K42" s="3479" t="s">
        <v>2146</v>
      </c>
      <c r="L42" s="3479" t="s">
        <v>2146</v>
      </c>
      <c r="M42" s="3479">
        <v>1190406</v>
      </c>
      <c r="N42" s="3479" t="s">
        <v>2146</v>
      </c>
      <c r="O42" s="3479" t="s">
        <v>2146</v>
      </c>
      <c r="P42" s="3479" t="s">
        <v>2146</v>
      </c>
      <c r="Q42" s="3479" t="s">
        <v>2146</v>
      </c>
      <c r="R42" s="3482">
        <f t="shared" si="8"/>
        <v>1190406</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4.5730000000000004</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32010.999999999996</v>
      </c>
      <c r="N44" s="2649" t="str">
        <f t="shared" si="28"/>
        <v>NO</v>
      </c>
      <c r="O44" s="2649" t="str">
        <f t="shared" si="28"/>
        <v>NO</v>
      </c>
      <c r="P44" s="2649" t="str">
        <f t="shared" si="28"/>
        <v>NO</v>
      </c>
      <c r="Q44" s="2649" t="str">
        <f t="shared" si="28"/>
        <v>NO</v>
      </c>
      <c r="R44" s="3482">
        <f t="shared" si="8"/>
        <v>32010.999999999996</v>
      </c>
      <c r="S44" s="2657"/>
      <c r="T44" s="2658"/>
      <c r="U44" s="3456" t="str">
        <f t="shared" si="26"/>
        <v>NA</v>
      </c>
      <c r="V44" s="3454"/>
      <c r="W44" s="3455"/>
      <c r="X44" s="3314" t="str">
        <f>X45</f>
        <v>NA</v>
      </c>
      <c r="Y44" s="3173"/>
      <c r="Z44" s="3457"/>
    </row>
    <row r="45" spans="2:26" ht="18" customHeight="1" x14ac:dyDescent="0.2">
      <c r="B45" s="2646" t="s">
        <v>2199</v>
      </c>
      <c r="C45" s="3495">
        <f>Table3.A!C45</f>
        <v>4.5730000000000004</v>
      </c>
      <c r="D45" s="3307">
        <v>7</v>
      </c>
      <c r="E45" s="3494" t="str">
        <f>'Table3.B(a)'!G45</f>
        <v>NA</v>
      </c>
      <c r="F45" s="3479" t="s">
        <v>2146</v>
      </c>
      <c r="G45" s="3479" t="s">
        <v>2146</v>
      </c>
      <c r="H45" s="3479" t="s">
        <v>2146</v>
      </c>
      <c r="I45" s="3479" t="s">
        <v>2146</v>
      </c>
      <c r="J45" s="3479" t="s">
        <v>2146</v>
      </c>
      <c r="K45" s="3479" t="s">
        <v>2146</v>
      </c>
      <c r="L45" s="3479" t="s">
        <v>2146</v>
      </c>
      <c r="M45" s="3479">
        <v>32010.999999999996</v>
      </c>
      <c r="N45" s="3479" t="s">
        <v>2146</v>
      </c>
      <c r="O45" s="3479" t="s">
        <v>2146</v>
      </c>
      <c r="P45" s="3479" t="s">
        <v>2146</v>
      </c>
      <c r="Q45" s="3479" t="s">
        <v>2146</v>
      </c>
      <c r="R45" s="3482">
        <f t="shared" si="8"/>
        <v>32010.999999999996</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70340420.483407199</v>
      </c>
      <c r="T46" s="3447">
        <v>199767.064198785</v>
      </c>
      <c r="U46" s="3466"/>
      <c r="V46" s="3467">
        <f>IF(SUM(S46)=0,"NA",Y46*1000000/S46)</f>
        <v>3.5557894647065312E-3</v>
      </c>
      <c r="W46" s="3468">
        <f>IF(SUM(T46)=0,"NA",Z46*1000000/T46)</f>
        <v>1.7285714285714279E-2</v>
      </c>
      <c r="X46" s="3316"/>
      <c r="Y46" s="3320">
        <v>0.25011572609792682</v>
      </c>
      <c r="Z46" s="3321">
        <v>3.4531163954361396E-3</v>
      </c>
    </row>
    <row r="47" spans="2:26" ht="18" customHeight="1" x14ac:dyDescent="0.2">
      <c r="B47" s="358" t="s">
        <v>863</v>
      </c>
      <c r="C47" s="359"/>
      <c r="D47" s="359"/>
      <c r="E47" s="359"/>
      <c r="F47" s="3485">
        <f>IF(SUM(F30,F27,F24,F10)=0,"NO",SUM(F30,F27,F24,F10))</f>
        <v>54305141.302273437</v>
      </c>
      <c r="G47" s="3485" t="str">
        <f t="shared" ref="G47:Q47" si="29">IF(SUM(G30,G27,G24,G10)=0,"NO",SUM(G30,G27,G24,G10))</f>
        <v>NO</v>
      </c>
      <c r="H47" s="3485">
        <f t="shared" si="29"/>
        <v>19371284.296193901</v>
      </c>
      <c r="I47" s="3485">
        <f t="shared" si="29"/>
        <v>15400860.8579333</v>
      </c>
      <c r="J47" s="3485" t="str">
        <f t="shared" si="29"/>
        <v>NO</v>
      </c>
      <c r="K47" s="3485">
        <f t="shared" si="29"/>
        <v>53809939.069021046</v>
      </c>
      <c r="L47" s="3485" t="str">
        <f t="shared" si="29"/>
        <v>NO</v>
      </c>
      <c r="M47" s="3409"/>
      <c r="N47" s="3485">
        <f t="shared" si="29"/>
        <v>5096928.3698506802</v>
      </c>
      <c r="O47" s="3485">
        <f t="shared" si="29"/>
        <v>239256.3546007745</v>
      </c>
      <c r="P47" s="3409"/>
      <c r="Q47" s="3485">
        <f t="shared" si="29"/>
        <v>35904100.931978151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3.9493042227311571E-2</v>
      </c>
      <c r="J48" s="3486" t="str">
        <f t="shared" si="30"/>
        <v>NA</v>
      </c>
      <c r="K48" s="3486" t="str">
        <f t="shared" si="30"/>
        <v>NA</v>
      </c>
      <c r="L48" s="3486" t="str">
        <f t="shared" si="30"/>
        <v>NA</v>
      </c>
      <c r="M48" s="87"/>
      <c r="N48" s="3486">
        <f t="shared" si="30"/>
        <v>1.5714285714285299E-2</v>
      </c>
      <c r="O48" s="3486" t="str">
        <f t="shared" si="30"/>
        <v>NA</v>
      </c>
      <c r="P48" s="87"/>
      <c r="Q48" s="3486">
        <f t="shared" si="30"/>
        <v>2.4698509163820544E-3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0.60822684819930961</v>
      </c>
      <c r="J49" s="3487" t="s">
        <v>2153</v>
      </c>
      <c r="K49" s="3487" t="s">
        <v>2153</v>
      </c>
      <c r="L49" s="3487" t="s">
        <v>2153</v>
      </c>
      <c r="M49" s="3474"/>
      <c r="N49" s="3488">
        <v>8.0094588669079994E-2</v>
      </c>
      <c r="O49" s="3488" t="s">
        <v>2147</v>
      </c>
      <c r="P49" s="3474"/>
      <c r="Q49" s="3488">
        <v>8.8677776588720003E-2</v>
      </c>
      <c r="R49" s="1312"/>
      <c r="S49" s="1313"/>
      <c r="T49" s="1314"/>
      <c r="U49" s="3473">
        <f>X49*1000/SUM(C10,C24,C27,C30)</f>
        <v>3.9257164047225594E-3</v>
      </c>
      <c r="V49" s="3474"/>
      <c r="W49" s="3475"/>
      <c r="X49" s="3319">
        <f>SUM(X10,X24,X27,X30)</f>
        <v>0.77699921345710954</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23.460790500000002</v>
      </c>
    </row>
    <row r="11" spans="1:9" ht="18" customHeight="1" x14ac:dyDescent="0.2">
      <c r="B11" s="439" t="s">
        <v>876</v>
      </c>
      <c r="C11" s="4147">
        <v>1.47645</v>
      </c>
      <c r="D11" s="243" t="s">
        <v>2146</v>
      </c>
      <c r="E11" s="283" t="s">
        <v>2146</v>
      </c>
      <c r="F11" s="2305">
        <f>IF(SUM(C11)=0,"NA",G11/C11)</f>
        <v>15.89</v>
      </c>
      <c r="G11" s="3093">
        <v>23.460790500000002</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1.47645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31.180052029258828</v>
      </c>
      <c r="H10" s="397" t="s">
        <v>897</v>
      </c>
      <c r="I10" s="398" t="s">
        <v>898</v>
      </c>
      <c r="J10" s="399">
        <v>0.21</v>
      </c>
    </row>
    <row r="11" spans="2:10" ht="24" customHeight="1" x14ac:dyDescent="0.2">
      <c r="B11" s="2431" t="s">
        <v>1949</v>
      </c>
      <c r="C11" s="2432" t="s">
        <v>899</v>
      </c>
      <c r="D11" s="3720">
        <v>811761.50723783881</v>
      </c>
      <c r="E11" s="3714">
        <f>IF(SUM(D11)=0,"NA",F11*1000/D11/(44/28))</f>
        <v>4.8430848316998809E-3</v>
      </c>
      <c r="F11" s="3425">
        <v>6.177961181325073</v>
      </c>
      <c r="H11" s="397" t="s">
        <v>900</v>
      </c>
      <c r="I11" s="398" t="s">
        <v>901</v>
      </c>
      <c r="J11" s="399">
        <v>0.24</v>
      </c>
    </row>
    <row r="12" spans="2:10" ht="24" customHeight="1" thickBot="1" x14ac:dyDescent="0.25">
      <c r="B12" s="2431" t="s">
        <v>1950</v>
      </c>
      <c r="C12" s="2433" t="s">
        <v>902</v>
      </c>
      <c r="D12" s="3721">
        <f>IF(SUM(D13:D15)=0,"NO",SUM(D13:D15))</f>
        <v>87052.051795244421</v>
      </c>
      <c r="E12" s="3715">
        <f t="shared" ref="E12:E23" si="0">IF(SUM(D12)=0,"NA",F12*1000/D12/(44/28))</f>
        <v>8.4136605675600822E-3</v>
      </c>
      <c r="F12" s="3426">
        <f>IF(SUM(F13:F15)=0,"NO",SUM(F13:F15))</f>
        <v>1.1509557958090433</v>
      </c>
      <c r="H12" s="407" t="s">
        <v>903</v>
      </c>
      <c r="I12" s="408" t="s">
        <v>2147</v>
      </c>
      <c r="J12" s="2668" t="s">
        <v>2147</v>
      </c>
    </row>
    <row r="13" spans="2:10" ht="24" customHeight="1" x14ac:dyDescent="0.2">
      <c r="B13" s="2431" t="s">
        <v>904</v>
      </c>
      <c r="C13" s="2432" t="s">
        <v>905</v>
      </c>
      <c r="D13" s="3722">
        <v>80285.714328559392</v>
      </c>
      <c r="E13" s="3714">
        <f t="shared" si="0"/>
        <v>8.3642449211640494E-3</v>
      </c>
      <c r="F13" s="3425">
        <v>1.0552604516373552</v>
      </c>
      <c r="H13" s="1436" t="s">
        <v>906</v>
      </c>
      <c r="I13" s="1078"/>
      <c r="J13" s="1078"/>
    </row>
    <row r="14" spans="2:10" ht="24" customHeight="1" x14ac:dyDescent="0.2">
      <c r="B14" s="2431" t="s">
        <v>907</v>
      </c>
      <c r="C14" s="2432" t="s">
        <v>908</v>
      </c>
      <c r="D14" s="3722">
        <v>6766.3374666850295</v>
      </c>
      <c r="E14" s="3714">
        <f t="shared" si="0"/>
        <v>8.9999999999999976E-3</v>
      </c>
      <c r="F14" s="3425">
        <v>9.5695344171688235E-2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1995082.9676588294</v>
      </c>
      <c r="E16" s="3714">
        <f t="shared" si="0"/>
        <v>4.000000000000001E-3</v>
      </c>
      <c r="F16" s="3425">
        <v>12.540521510998358</v>
      </c>
    </row>
    <row r="17" spans="2:11" ht="24" customHeight="1" x14ac:dyDescent="0.2">
      <c r="B17" s="2431" t="s">
        <v>913</v>
      </c>
      <c r="C17" s="2432" t="s">
        <v>914</v>
      </c>
      <c r="D17" s="3722">
        <v>710510.35039868043</v>
      </c>
      <c r="E17" s="3714">
        <f t="shared" si="0"/>
        <v>9.9999999999999985E-3</v>
      </c>
      <c r="F17" s="3425">
        <v>11.16516264912212</v>
      </c>
    </row>
    <row r="18" spans="2:11" ht="24" customHeight="1" x14ac:dyDescent="0.2">
      <c r="B18" s="2431" t="s">
        <v>1951</v>
      </c>
      <c r="C18" s="2432" t="s">
        <v>915</v>
      </c>
      <c r="D18" s="3722">
        <v>18279.829274074302</v>
      </c>
      <c r="E18" s="3716">
        <f t="shared" si="0"/>
        <v>2.0000000000000013E-3</v>
      </c>
      <c r="F18" s="3427">
        <v>5.7450892004233561E-2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10.126881318003347</v>
      </c>
    </row>
    <row r="22" spans="2:11" ht="24" customHeight="1" x14ac:dyDescent="0.2">
      <c r="B22" s="2438" t="s">
        <v>1953</v>
      </c>
      <c r="C22" s="2432" t="s">
        <v>919</v>
      </c>
      <c r="D22" s="3722">
        <v>526474.45650685101</v>
      </c>
      <c r="E22" s="3714">
        <f t="shared" si="0"/>
        <v>2.8437884110764679E-3</v>
      </c>
      <c r="F22" s="3425">
        <v>2.3527145056516594</v>
      </c>
    </row>
    <row r="23" spans="2:11" ht="24" customHeight="1" thickBot="1" x14ac:dyDescent="0.25">
      <c r="B23" s="410" t="s">
        <v>920</v>
      </c>
      <c r="C23" s="411" t="s">
        <v>921</v>
      </c>
      <c r="D23" s="3725">
        <v>450391.06515869405</v>
      </c>
      <c r="E23" s="3719">
        <f t="shared" si="0"/>
        <v>1.0984225587740041E-2</v>
      </c>
      <c r="F23" s="3430">
        <v>7.7741668123516874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19226634.300000001</v>
      </c>
      <c r="N9" s="4179">
        <v>6481693.5</v>
      </c>
      <c r="O9" s="4179">
        <v>271672.90000000002</v>
      </c>
      <c r="P9" s="4180">
        <v>1080841</v>
      </c>
      <c r="Q9" s="4180">
        <v>1634377.9</v>
      </c>
      <c r="R9" s="4180">
        <v>299028.43603270798</v>
      </c>
      <c r="S9" s="4180">
        <v>1324248.2</v>
      </c>
      <c r="T9" s="4180">
        <v>632484.9</v>
      </c>
      <c r="U9" s="4180">
        <v>2361290.9164</v>
      </c>
      <c r="V9" s="4180">
        <v>40996020.299999997</v>
      </c>
      <c r="W9" s="4180">
        <v>32032.338299999999</v>
      </c>
      <c r="X9" s="4181">
        <v>946593.4</v>
      </c>
    </row>
    <row r="10" spans="2:24" ht="18" customHeight="1" thickTop="1" x14ac:dyDescent="0.2">
      <c r="B10" s="437" t="s">
        <v>947</v>
      </c>
      <c r="C10" s="376"/>
      <c r="D10" s="438"/>
      <c r="E10" s="438"/>
      <c r="F10" s="4149">
        <f>IF(SUM(F11:F14)=0,"NO",SUM(F11:F14))</f>
        <v>6087.5217570281693</v>
      </c>
      <c r="G10" s="4150">
        <f>IF(SUM($F10)=0,"NA",I10/$F10*1000)</f>
        <v>1.8840740377581087</v>
      </c>
      <c r="H10" s="4151">
        <f>IF(SUM($F10)=0,"NA",J10/$F10*1000)</f>
        <v>7.6161032758285938E-2</v>
      </c>
      <c r="I10" s="3192">
        <f>IF(SUM(I11:I14)=0,"NO",SUM(I11:I14))</f>
        <v>11.469341696704399</v>
      </c>
      <c r="J10" s="420">
        <f>IF(SUM(J11:J14)=0,"NO",SUM(J11:J14))</f>
        <v>0.46363194395380081</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3366.4748311830399</v>
      </c>
      <c r="G11" s="4153">
        <f>IF(SUM($F11)=0,"NA",I11/$F11*1000)</f>
        <v>1.8666666666666678</v>
      </c>
      <c r="H11" s="4154">
        <f>IF(SUM($F11)=0,"NA",J11/$F11*1000)</f>
        <v>7.1657142857142891E-2</v>
      </c>
      <c r="I11" s="3326">
        <v>6.2840863515416778</v>
      </c>
      <c r="J11" s="3327">
        <v>0.24123196790305909</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973.41013259857095</v>
      </c>
      <c r="G12" s="4155">
        <f t="shared" ref="G12:G28" si="0">IF(SUM($F12)=0,"NA",I12/$F12*1000)</f>
        <v>1.8666666666666676</v>
      </c>
      <c r="H12" s="4154">
        <f t="shared" ref="H12:H28" si="1">IF(SUM($F12)=0,"NA",J12/$F12*1000)</f>
        <v>8.3600000000000035E-2</v>
      </c>
      <c r="I12" s="3180">
        <v>1.8170322475173333</v>
      </c>
      <c r="J12" s="3327">
        <v>8.1377087085240565E-2</v>
      </c>
      <c r="L12" s="1324" t="s">
        <v>952</v>
      </c>
      <c r="M12" s="4177">
        <v>0.27634838916672</v>
      </c>
      <c r="N12" s="4177">
        <v>0.28672250170314001</v>
      </c>
      <c r="O12" s="4177">
        <v>0.27591444376645002</v>
      </c>
      <c r="P12" s="4178">
        <v>0.22972420714507999</v>
      </c>
      <c r="Q12" s="4178">
        <v>0.29477030077456001</v>
      </c>
      <c r="R12" s="4178">
        <v>0.27516989763617</v>
      </c>
      <c r="S12" s="4178">
        <v>0.81499999999999995</v>
      </c>
      <c r="T12" s="4178">
        <v>0.32324538902061001</v>
      </c>
      <c r="U12" s="4178">
        <v>0.26218684821040333</v>
      </c>
      <c r="V12" s="4178">
        <v>0.44309916345709288</v>
      </c>
      <c r="W12" s="4178">
        <v>0.18265853807763582</v>
      </c>
      <c r="X12" s="4152">
        <v>0.29256005430677468</v>
      </c>
    </row>
    <row r="13" spans="2:24" ht="18" customHeight="1" thickBot="1" x14ac:dyDescent="0.25">
      <c r="B13" s="439" t="s">
        <v>953</v>
      </c>
      <c r="C13" s="440" t="s">
        <v>2147</v>
      </c>
      <c r="D13" s="440" t="s">
        <v>2147</v>
      </c>
      <c r="E13" s="440" t="s">
        <v>2147</v>
      </c>
      <c r="F13" s="4152">
        <v>49.544555017352302</v>
      </c>
      <c r="G13" s="4155">
        <f t="shared" si="0"/>
        <v>1.9600000000000004</v>
      </c>
      <c r="H13" s="4154">
        <f t="shared" si="1"/>
        <v>5.9714285714285747E-2</v>
      </c>
      <c r="I13" s="3180">
        <v>9.7107327834010521E-2</v>
      </c>
      <c r="J13" s="3327">
        <v>2.9585177138933246E-3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1698.0922382292058</v>
      </c>
      <c r="G14" s="4157">
        <f t="shared" si="0"/>
        <v>1.9263475188029491</v>
      </c>
      <c r="H14" s="4158">
        <f t="shared" si="1"/>
        <v>8.1305578191431624E-2</v>
      </c>
      <c r="I14" s="3199">
        <f>IF(SUM(I15:I19)=0,"NO",SUM(I15:I19))</f>
        <v>3.2711157698113769</v>
      </c>
      <c r="J14" s="3085">
        <f>IF(SUM(J15:J19)=0,"NO",SUM(J15:J19))</f>
        <v>0.13806437125160781</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143.01811686234299</v>
      </c>
      <c r="G15" s="4159">
        <f t="shared" si="0"/>
        <v>1.8666666666666638</v>
      </c>
      <c r="H15" s="4160">
        <f t="shared" si="1"/>
        <v>9.5542857142856999E-2</v>
      </c>
      <c r="I15" s="3328">
        <v>0.26696715147637318</v>
      </c>
      <c r="J15" s="3327">
        <v>1.3664359508219264E-2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288.96714001286199</v>
      </c>
      <c r="G16" s="4161">
        <f t="shared" si="0"/>
        <v>1.8666666666666656</v>
      </c>
      <c r="H16" s="4162">
        <f t="shared" si="1"/>
        <v>7.1657142857142836E-2</v>
      </c>
      <c r="I16" s="3329">
        <v>0.53940532802400876</v>
      </c>
      <c r="J16" s="3327">
        <v>2.0706559632921645E-2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50.744640137578898</v>
      </c>
      <c r="G17" s="4161">
        <f t="shared" si="0"/>
        <v>1.8666666666666683</v>
      </c>
      <c r="H17" s="4162">
        <f t="shared" si="1"/>
        <v>7.1657142857142905E-2</v>
      </c>
      <c r="I17" s="3329">
        <v>9.4723328256814024E-2</v>
      </c>
      <c r="J17" s="3327">
        <v>3.6362159275727989E-3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1085.8241976806401</v>
      </c>
      <c r="G18" s="4161">
        <f t="shared" si="0"/>
        <v>1.96</v>
      </c>
      <c r="H18" s="4162">
        <f t="shared" si="1"/>
        <v>8.359999999999998E-2</v>
      </c>
      <c r="I18" s="3329">
        <v>2.1282154274540543</v>
      </c>
      <c r="J18" s="3327">
        <v>9.0774902926101492E-2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129.53814353578201</v>
      </c>
      <c r="G19" s="4161">
        <f t="shared" si="0"/>
        <v>1.8666666666666663</v>
      </c>
      <c r="H19" s="4162">
        <f t="shared" si="1"/>
        <v>7.1657142857142836E-2</v>
      </c>
      <c r="I19" s="3329">
        <v>0.24180453460012635</v>
      </c>
      <c r="J19" s="3327">
        <v>9.2823332567926048E-3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354.194209136442</v>
      </c>
      <c r="G20" s="4165">
        <f t="shared" si="0"/>
        <v>1.8666666666666658</v>
      </c>
      <c r="H20" s="4166">
        <f t="shared" si="1"/>
        <v>0.10748571428571421</v>
      </c>
      <c r="I20" s="3220">
        <f>I21</f>
        <v>0.66116252372135809</v>
      </c>
      <c r="J20" s="449">
        <f>J21</f>
        <v>3.8070817564894111E-2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354.194209136442</v>
      </c>
      <c r="G21" s="4168">
        <f t="shared" si="0"/>
        <v>1.8666666666666658</v>
      </c>
      <c r="H21" s="4158">
        <f t="shared" si="1"/>
        <v>0.10748571428571421</v>
      </c>
      <c r="I21" s="3199">
        <f>I22</f>
        <v>0.66116252372135809</v>
      </c>
      <c r="J21" s="3085">
        <f>J22</f>
        <v>3.8070817564894111E-2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354.194209136442</v>
      </c>
      <c r="G22" s="4170">
        <f t="shared" si="0"/>
        <v>1.8666666666666658</v>
      </c>
      <c r="H22" s="4171">
        <f t="shared" si="1"/>
        <v>0.10748571428571421</v>
      </c>
      <c r="I22" s="3330">
        <v>0.66116252372135809</v>
      </c>
      <c r="J22" s="3331">
        <v>3.8070817564894111E-2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871.93451040000002</v>
      </c>
      <c r="G26" s="4175">
        <f t="shared" si="0"/>
        <v>1.8666666666666667</v>
      </c>
      <c r="H26" s="4176">
        <f t="shared" si="1"/>
        <v>5.9714285714285706E-2</v>
      </c>
      <c r="I26" s="3332">
        <v>1.6276110860799999</v>
      </c>
      <c r="J26" s="3333">
        <v>5.2066946478171422E-2</v>
      </c>
      <c r="L26" s="159"/>
    </row>
    <row r="27" spans="2:24" ht="18" customHeight="1" x14ac:dyDescent="0.2">
      <c r="B27" s="446" t="s">
        <v>963</v>
      </c>
      <c r="C27" s="447"/>
      <c r="D27" s="448"/>
      <c r="E27" s="448"/>
      <c r="F27" s="4164">
        <f>IF(SUM(F28:F29)=0,"NO",SUM(F28:F29))</f>
        <v>267.83667774761722</v>
      </c>
      <c r="G27" s="4165">
        <f t="shared" si="0"/>
        <v>1.8675044087823993</v>
      </c>
      <c r="H27" s="4166">
        <f t="shared" si="1"/>
        <v>0.10823609186652008</v>
      </c>
      <c r="I27" s="3220">
        <f>IF(SUM(I28:I29)=0,"NO",SUM(I28:I29))</f>
        <v>0.5001861765273059</v>
      </c>
      <c r="J27" s="449">
        <f>IF(SUM(J28:J29)=0,"NO",SUM(J28:J29))</f>
        <v>2.8989595257914634E-2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2.40405069736024</v>
      </c>
      <c r="G28" s="4161">
        <f t="shared" si="0"/>
        <v>1.9600000000000031</v>
      </c>
      <c r="H28" s="4162">
        <f t="shared" si="1"/>
        <v>0.19108571428571458</v>
      </c>
      <c r="I28" s="3329">
        <v>4.7119393668260774E-3</v>
      </c>
      <c r="J28" s="3327">
        <v>4.5937974468415174E-4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265.432627050257</v>
      </c>
      <c r="G29" s="4161">
        <f t="shared" ref="G29" si="2">IF(SUM($F29)=0,"NA",I29/$F29*1000)</f>
        <v>1.8666666666666669</v>
      </c>
      <c r="H29" s="4162">
        <f t="shared" ref="H29" si="3">IF(SUM($F29)=0,"NA",J29/$F29*1000)</f>
        <v>0.1074857142857143</v>
      </c>
      <c r="I29" s="3329">
        <v>0.49547423716047978</v>
      </c>
      <c r="J29" s="3327">
        <v>2.8530215513230484E-2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585.8261268850398</v>
      </c>
    </row>
    <row r="11" spans="2:5" s="83" customFormat="1" ht="18" customHeight="1" x14ac:dyDescent="0.2">
      <c r="B11" s="1854" t="s">
        <v>972</v>
      </c>
      <c r="C11" s="4187">
        <v>1311756.41666206</v>
      </c>
      <c r="D11" s="3594">
        <f>IF(SUM(C11)=0,"NA",E11*1000/(44/12)/C11)</f>
        <v>0.1079999999999996</v>
      </c>
      <c r="E11" s="3431">
        <v>519.45554099817377</v>
      </c>
    </row>
    <row r="12" spans="2:5" s="83" customFormat="1" ht="18" customHeight="1" x14ac:dyDescent="0.2">
      <c r="B12" s="1854" t="s">
        <v>973</v>
      </c>
      <c r="C12" s="4187">
        <v>146567.359337945</v>
      </c>
      <c r="D12" s="3594">
        <f t="shared" ref="D12:D16" si="0">IF(SUM(C12)=0,"NA",E12*1000/(44/12)/C12)</f>
        <v>0.12349999999999987</v>
      </c>
      <c r="E12" s="3431">
        <v>66.370585886866024</v>
      </c>
    </row>
    <row r="13" spans="2:5" s="83" customFormat="1" ht="18" customHeight="1" x14ac:dyDescent="0.2">
      <c r="B13" s="846" t="s">
        <v>974</v>
      </c>
      <c r="C13" s="4188">
        <v>1013043.47826087</v>
      </c>
      <c r="D13" s="4189">
        <f t="shared" si="0"/>
        <v>0.19999999999999993</v>
      </c>
      <c r="E13" s="3432">
        <v>742.89855072463774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19210.644503414045</v>
      </c>
      <c r="D10" s="2989">
        <f t="shared" ref="D10:H10" si="0">IF(SUM(D11,D14,D17,D20,D23,D26,D29:D30)=0,"NO",SUM(D11,D14,D17,D20,D23,D26,D29:D30))</f>
        <v>616.48152481139596</v>
      </c>
      <c r="E10" s="2989">
        <f t="shared" si="0"/>
        <v>14.429027769262129</v>
      </c>
      <c r="F10" s="2989">
        <f t="shared" si="0"/>
        <v>853.45183898621258</v>
      </c>
      <c r="G10" s="2989">
        <f t="shared" si="0"/>
        <v>22341.703304801045</v>
      </c>
      <c r="H10" s="2990">
        <f t="shared" si="0"/>
        <v>586.63358184870594</v>
      </c>
      <c r="I10" s="2991">
        <f>IF(SUM(C10:E10)=0,"NO",SUM(C10)+28*SUM(D10)+265*SUM(E10))</f>
        <v>40295.819556987604</v>
      </c>
    </row>
    <row r="11" spans="2:9" ht="18" customHeight="1" x14ac:dyDescent="0.2">
      <c r="B11" s="473" t="s">
        <v>981</v>
      </c>
      <c r="C11" s="2992">
        <f>IF(SUM(C12:C13)=0,"NO",SUM(C12:C13))</f>
        <v>-38345.538956690478</v>
      </c>
      <c r="D11" s="2992">
        <f t="shared" ref="D11:H11" si="1">IF(SUM(D12:D13)=0,"NO",SUM(D12:D13))</f>
        <v>200.35225964360049</v>
      </c>
      <c r="E11" s="2992">
        <f t="shared" si="1"/>
        <v>4.1288590284281455</v>
      </c>
      <c r="F11" s="2992">
        <f t="shared" si="1"/>
        <v>226.68262463270952</v>
      </c>
      <c r="G11" s="2992">
        <f t="shared" si="1"/>
        <v>6014.4489858894513</v>
      </c>
      <c r="H11" s="2993">
        <f t="shared" si="1"/>
        <v>183.35090023838731</v>
      </c>
      <c r="I11" s="2994">
        <f t="shared" ref="I11:I32" si="2">IF(SUM(C11:E11)=0,"NO",SUM(C11)+28*SUM(D11)+265*SUM(E11))</f>
        <v>-31641.528044136205</v>
      </c>
    </row>
    <row r="12" spans="2:9" ht="18" customHeight="1" x14ac:dyDescent="0.2">
      <c r="B12" s="474" t="s">
        <v>982</v>
      </c>
      <c r="C12" s="2995">
        <f>IF(SUM(Table4.A!U11,'Table4(IV)'!J12)=0,"NO",SUM(Table4.A!U11,'Table4(IV)'!J12))</f>
        <v>-18753.638965622413</v>
      </c>
      <c r="D12" s="2995">
        <f>'Table4(IV)'!K12</f>
        <v>198.59911791417926</v>
      </c>
      <c r="E12" s="2995">
        <f>IF(SUM('Table4(III)'!I12,'Table4(IV)'!L12)=0,"NO",SUM('Table4(III)'!I12,'Table4(IV)'!L12))</f>
        <v>3.6502304889663759</v>
      </c>
      <c r="F12" s="2905">
        <v>225.454930543562</v>
      </c>
      <c r="G12" s="2905">
        <v>5969.846684819795</v>
      </c>
      <c r="H12" s="2906">
        <v>178.6202831787551</v>
      </c>
      <c r="I12" s="2996">
        <f t="shared" si="2"/>
        <v>-12225.552584449304</v>
      </c>
    </row>
    <row r="13" spans="2:9" ht="18" customHeight="1" thickBot="1" x14ac:dyDescent="0.25">
      <c r="B13" s="475" t="s">
        <v>983</v>
      </c>
      <c r="C13" s="2997">
        <f>IF(SUM(Table4.A!U16,'Table4(IV)'!J19)=0,"NO",SUM(Table4.A!U16,'Table4(IV)'!J19))</f>
        <v>-19591.899991068061</v>
      </c>
      <c r="D13" s="2997">
        <f>'Table4(IV)'!K19</f>
        <v>1.7531417294212344</v>
      </c>
      <c r="E13" s="2997">
        <f>IF(SUM('Table4(III)'!I13,'Table4(IV)'!L19)=0,"NO",SUM('Table4(III)'!I13,'Table4(IV)'!L19))</f>
        <v>0.47862853946176936</v>
      </c>
      <c r="F13" s="2908">
        <v>1.2276940891475083</v>
      </c>
      <c r="G13" s="2908">
        <v>44.602301069656292</v>
      </c>
      <c r="H13" s="2907">
        <v>4.7306170596322135</v>
      </c>
      <c r="I13" s="2998">
        <f t="shared" si="2"/>
        <v>-19415.975459686899</v>
      </c>
    </row>
    <row r="14" spans="2:9" ht="18" customHeight="1" x14ac:dyDescent="0.2">
      <c r="B14" s="473" t="s">
        <v>984</v>
      </c>
      <c r="C14" s="2992">
        <f>IF(SUM(C15:C16)=0,"NO",SUM(C15:C16))</f>
        <v>4967.0981540024186</v>
      </c>
      <c r="D14" s="2992">
        <f t="shared" ref="D14" si="3">IF(SUM(D15:D16)=0,"NO",SUM(D15:D16))</f>
        <v>5.2888608000000001</v>
      </c>
      <c r="E14" s="2992">
        <f t="shared" ref="E14" si="4">IF(SUM(E15:E16)=0,"NO",SUM(E15:E16))</f>
        <v>0.23407454048426529</v>
      </c>
      <c r="F14" s="2992">
        <f t="shared" ref="F14" si="5">IF(SUM(F15:F16)=0,"NO",SUM(F15:F16))</f>
        <v>3.9823862571428568</v>
      </c>
      <c r="G14" s="2992">
        <f t="shared" ref="G14" si="6">IF(SUM(G15:G16)=0,"NO",SUM(G15:G16))</f>
        <v>155.97242266666666</v>
      </c>
      <c r="H14" s="2993">
        <f t="shared" ref="H14" si="7">IF(SUM(H15:H16)=0,"NO",SUM(H15:H16))</f>
        <v>18.853809333333334</v>
      </c>
      <c r="I14" s="2999">
        <f t="shared" si="2"/>
        <v>5177.2160096307489</v>
      </c>
    </row>
    <row r="15" spans="2:9" ht="18" customHeight="1" x14ac:dyDescent="0.2">
      <c r="B15" s="474" t="s">
        <v>985</v>
      </c>
      <c r="C15" s="2995">
        <f>IF(SUM(Table4.B!S11,'Table4(IV)'!J26)=0,"NO",SUM(Table4.B!S11,'Table4(IV)'!J26))</f>
        <v>-1000.2433528059596</v>
      </c>
      <c r="D15" s="2995" t="str">
        <f>'Table4(IV)'!K26</f>
        <v>IE</v>
      </c>
      <c r="E15" s="2995" t="str">
        <f>'Table4(IV)'!L26</f>
        <v>IE</v>
      </c>
      <c r="F15" s="2905" t="s">
        <v>2153</v>
      </c>
      <c r="G15" s="2905" t="s">
        <v>2153</v>
      </c>
      <c r="H15" s="2906" t="s">
        <v>2153</v>
      </c>
      <c r="I15" s="2996">
        <f t="shared" si="2"/>
        <v>-1000.2433528059596</v>
      </c>
    </row>
    <row r="16" spans="2:9" ht="18" customHeight="1" thickBot="1" x14ac:dyDescent="0.25">
      <c r="B16" s="475" t="s">
        <v>986</v>
      </c>
      <c r="C16" s="2997">
        <f>IF(SUM(Table4.B!S13,'Table4(IV)'!J31)=0,"IE",SUM(Table4.B!S13,'Table4(IV)'!J31))</f>
        <v>5967.3415068083787</v>
      </c>
      <c r="D16" s="2997">
        <f>'Table4(IV)'!K31</f>
        <v>5.2888608000000001</v>
      </c>
      <c r="E16" s="2997">
        <f>IF(SUM('Table4(III)'!I21,'Table4(IV)'!L31)=0,"IE",SUM('Table4(III)'!I21,'Table4(IV)'!L31))</f>
        <v>0.23407454048426529</v>
      </c>
      <c r="F16" s="2908">
        <v>3.9823862571428568</v>
      </c>
      <c r="G16" s="2908">
        <v>155.97242266666666</v>
      </c>
      <c r="H16" s="2907">
        <v>18.853809333333334</v>
      </c>
      <c r="I16" s="2998">
        <f t="shared" si="2"/>
        <v>6177.4593624367089</v>
      </c>
    </row>
    <row r="17" spans="2:9" ht="18" customHeight="1" x14ac:dyDescent="0.2">
      <c r="B17" s="473" t="s">
        <v>987</v>
      </c>
      <c r="C17" s="2992">
        <f>IF(SUM(C18:C19)=0,"NO",SUM(C18:C19))</f>
        <v>53426.538709294837</v>
      </c>
      <c r="D17" s="2992">
        <f t="shared" ref="D17" si="8">IF(SUM(D18:D19)=0,"NO",SUM(D18:D19))</f>
        <v>320.13402105141972</v>
      </c>
      <c r="E17" s="2992">
        <f t="shared" ref="E17" si="9">IF(SUM(E18:E19)=0,"NO",SUM(E18:E19))</f>
        <v>9.6251852531349407</v>
      </c>
      <c r="F17" s="2992">
        <f t="shared" ref="F17" si="10">IF(SUM(F18:F19)=0,"NO",SUM(F18:F19))</f>
        <v>597.93114234637767</v>
      </c>
      <c r="G17" s="2992">
        <f t="shared" ref="G17" si="11">IF(SUM(G18:G19)=0,"NO",SUM(G18:G19))</f>
        <v>15535.866812603712</v>
      </c>
      <c r="H17" s="2993">
        <f t="shared" ref="H17" si="12">IF(SUM(H18:H19)=0,"NO",SUM(H18:H19))</f>
        <v>371.80295264310996</v>
      </c>
      <c r="I17" s="2999">
        <f t="shared" si="2"/>
        <v>64940.965390815349</v>
      </c>
    </row>
    <row r="18" spans="2:9" ht="18" customHeight="1" x14ac:dyDescent="0.2">
      <c r="B18" s="474" t="s">
        <v>988</v>
      </c>
      <c r="C18" s="2995">
        <f>IF(SUM(Table4.C!S11,'Table4(IV)'!J37)=0,"IE",SUM(Table4.C!S11,'Table4(IV)'!J37))</f>
        <v>-6645.7950422746999</v>
      </c>
      <c r="D18" s="2995">
        <f>'Table4(IV)'!K37</f>
        <v>242.0749180285078</v>
      </c>
      <c r="E18" s="2995">
        <f>IF(SUM('Table4(III)'!I29,'Table4(IV)'!L37)=0,"NO",SUM('Table4(III)'!I29,'Table4(IV)'!L37))</f>
        <v>7.7766393654770587</v>
      </c>
      <c r="F18" s="2905">
        <v>538.34709806716717</v>
      </c>
      <c r="G18" s="2905">
        <v>13224.527501120843</v>
      </c>
      <c r="H18" s="2906">
        <v>96.644609406429481</v>
      </c>
      <c r="I18" s="2996">
        <f t="shared" si="2"/>
        <v>2193.1120943749384</v>
      </c>
    </row>
    <row r="19" spans="2:9" ht="18" customHeight="1" thickBot="1" x14ac:dyDescent="0.25">
      <c r="B19" s="475" t="s">
        <v>989</v>
      </c>
      <c r="C19" s="2997">
        <f>IF(SUM(Table4.C!S15,'Table4(IV)'!J42)=0,"IE",SUM(Table4.C!S15,'Table4(IV)'!J42))</f>
        <v>60072.333751569538</v>
      </c>
      <c r="D19" s="2997">
        <f>'Table4(IV)'!K42</f>
        <v>78.059103022911927</v>
      </c>
      <c r="E19" s="2997">
        <f>IF(SUM('Table4(III)'!I30,'Table4(IV)'!L42)=0,"NO",SUM('Table4(III)'!I30,'Table4(IV)'!L42))</f>
        <v>1.848545887657882</v>
      </c>
      <c r="F19" s="2908">
        <v>59.584044279210502</v>
      </c>
      <c r="G19" s="2908">
        <v>2311.3393114828682</v>
      </c>
      <c r="H19" s="2907">
        <v>275.15834323668048</v>
      </c>
      <c r="I19" s="2998">
        <f t="shared" si="2"/>
        <v>62747.853296440408</v>
      </c>
    </row>
    <row r="20" spans="2:9" ht="18" customHeight="1" x14ac:dyDescent="0.2">
      <c r="B20" s="473" t="s">
        <v>2027</v>
      </c>
      <c r="C20" s="2992">
        <f>IF(SUM(C21:C22)=0,"NO",SUM(C21:C22))</f>
        <v>1138.6297219973433</v>
      </c>
      <c r="D20" s="2992">
        <f t="shared" ref="D20" si="13">IF(SUM(D21:D22)=0,"NO",SUM(D21:D22))</f>
        <v>87.260650516375776</v>
      </c>
      <c r="E20" s="2992">
        <f t="shared" ref="E20" si="14">IF(SUM(E21:E22)=0,"NO",SUM(E21:E22))</f>
        <v>0.30845295559243241</v>
      </c>
      <c r="F20" s="2992">
        <f t="shared" ref="F20" si="15">IF(SUM(F21:F22)=0,"NO",SUM(F21:F22))</f>
        <v>22.261130992839657</v>
      </c>
      <c r="G20" s="2992">
        <f t="shared" ref="G20" si="16">IF(SUM(G21:G22)=0,"NO",SUM(G21:G22))</f>
        <v>533.79787097454789</v>
      </c>
      <c r="H20" s="2993">
        <f t="shared" ref="H20" si="17">IF(SUM(H21:H22)=0,"NO",SUM(H21:H22))</f>
        <v>0.34252030054200144</v>
      </c>
      <c r="I20" s="2999">
        <f t="shared" si="2"/>
        <v>3663.6679696878596</v>
      </c>
    </row>
    <row r="21" spans="2:9" ht="18" customHeight="1" x14ac:dyDescent="0.2">
      <c r="B21" s="474" t="s">
        <v>990</v>
      </c>
      <c r="C21" s="2995">
        <f>IF(SUM(Table4.D!S11,'Table4(IV)'!J49)=0,"IE",SUM(Table4.D!S11,'Table4(IV)'!J49))</f>
        <v>1058.1757219973433</v>
      </c>
      <c r="D21" s="2995">
        <f>IF(SUM('Table4(IV)'!K49,'Table4(II)'!J270)=0,"NO",SUM('Table4(IV)'!K49,'Table4(II)'!J270))</f>
        <v>74.412888167417449</v>
      </c>
      <c r="E21" s="2995">
        <f>IF(SUM('Table4(II)'!I270,'Table4(III)'!I38,'Table4(IV)'!L49)=0,"NO",SUM('Table4(II)'!I270,'Table4(III)'!I38,'Table4(IV)'!L49))</f>
        <v>0.30845295559243241</v>
      </c>
      <c r="F21" s="2905">
        <v>22.261130992839657</v>
      </c>
      <c r="G21" s="2905">
        <v>533.79787097454789</v>
      </c>
      <c r="H21" s="2906">
        <v>0.34252030054200144</v>
      </c>
      <c r="I21" s="2996">
        <f t="shared" si="2"/>
        <v>3223.4766239170262</v>
      </c>
    </row>
    <row r="22" spans="2:9" ht="18" customHeight="1" thickBot="1" x14ac:dyDescent="0.25">
      <c r="B22" s="475" t="s">
        <v>991</v>
      </c>
      <c r="C22" s="2997">
        <f>IF(SUM(Table4.D!S23,'Table4(II)'!H320,'Table4(IV)'!J54)=0,"NO",SUM(Table4.D!S23,'Table4(II)'!H320,'Table4(IV)'!J54))</f>
        <v>80.453999999999994</v>
      </c>
      <c r="D22" s="2997">
        <f>IF(SUM('Table4(IV)'!K54,'Table4(II)'!J320)=0,"NO",SUM('Table4(IV)'!K54,'Table4(II)'!J320))</f>
        <v>12.847762348958328</v>
      </c>
      <c r="E22" s="2997" t="str">
        <f>IF(SUM('Table4(II)'!I320,'Table4(III)'!I39,'Table4(IV)'!L54)=0,"NO",SUM('Table4(II)'!I320,'Table4(III)'!I39,'Table4(IV)'!L54))</f>
        <v>NO</v>
      </c>
      <c r="F22" s="2908" t="s">
        <v>2153</v>
      </c>
      <c r="G22" s="2908" t="s">
        <v>2153</v>
      </c>
      <c r="H22" s="2907" t="s">
        <v>2153</v>
      </c>
      <c r="I22" s="2998">
        <f t="shared" si="2"/>
        <v>440.19134577083321</v>
      </c>
    </row>
    <row r="23" spans="2:9" ht="18" customHeight="1" x14ac:dyDescent="0.2">
      <c r="B23" s="473" t="s">
        <v>992</v>
      </c>
      <c r="C23" s="2992">
        <f>IF(SUM(C24:C25)=0,"NO",SUM(C24:C25))</f>
        <v>5163.5843041827757</v>
      </c>
      <c r="D23" s="2992">
        <f t="shared" ref="D23" si="18">IF(SUM(D24:D25)=0,"NO",SUM(D24:D25))</f>
        <v>3.4457328</v>
      </c>
      <c r="E23" s="2992">
        <f t="shared" ref="E23" si="19">IF(SUM(E24:E25)=0,"NO",SUM(E24:E25))</f>
        <v>8.8989915908059408E-2</v>
      </c>
      <c r="F23" s="2992">
        <f>IF(SUM(F24:F25)=0,"NO",SUM(F24:F25))</f>
        <v>2.5945547571428573</v>
      </c>
      <c r="G23" s="2992">
        <f t="shared" ref="G23" si="20">IF(SUM(G24:G25)=0,"NO",SUM(G24:G25))</f>
        <v>101.61721266666666</v>
      </c>
      <c r="H23" s="2993">
        <f t="shared" ref="H23" si="21">IF(SUM(H24:H25)=0,"NO",SUM(H24:H25))</f>
        <v>12.283399333333334</v>
      </c>
      <c r="I23" s="2999">
        <f t="shared" si="2"/>
        <v>5283.6471502984114</v>
      </c>
    </row>
    <row r="24" spans="2:9" ht="18" customHeight="1" x14ac:dyDescent="0.2">
      <c r="B24" s="474" t="s">
        <v>993</v>
      </c>
      <c r="C24" s="2995">
        <f>IF(SUM(Table4.E!S11,'Table4(IV)'!J60)=0,"IE",SUM(Table4.E!S11,'Table4(IV)'!J60))</f>
        <v>14.677935186830149</v>
      </c>
      <c r="D24" s="2995" t="str">
        <f>'Table4(IV)'!K60</f>
        <v>IE</v>
      </c>
      <c r="E24" s="2995">
        <f>IF(SUM('Table4(III)'!I47,'Table4(IV)'!L60)=0,"IE",SUM('Table4(III)'!I47,'Table4(IV)'!L60))</f>
        <v>9.1368380541617764E-4</v>
      </c>
      <c r="F24" s="2905" t="s">
        <v>2154</v>
      </c>
      <c r="G24" s="2905" t="s">
        <v>2154</v>
      </c>
      <c r="H24" s="2906" t="s">
        <v>2154</v>
      </c>
      <c r="I24" s="2996">
        <f t="shared" si="2"/>
        <v>14.920061395265437</v>
      </c>
    </row>
    <row r="25" spans="2:9" ht="18" customHeight="1" thickBot="1" x14ac:dyDescent="0.25">
      <c r="B25" s="475" t="s">
        <v>994</v>
      </c>
      <c r="C25" s="2997">
        <f>IF(SUM(Table4.E!S13,'Table4(IV)'!J65)=0,"IE",SUM(Table4.E!S13,'Table4(IV)'!J65))</f>
        <v>5148.9063689959457</v>
      </c>
      <c r="D25" s="2997">
        <f>'Table4(IV)'!K65</f>
        <v>3.4457328</v>
      </c>
      <c r="E25" s="2997">
        <f>IF(SUM('Table4(III)'!I48,'Table4(IV)'!L65)=0,"NO",SUM('Table4(III)'!I48,'Table4(IV)'!L65))</f>
        <v>8.8076232102643232E-2</v>
      </c>
      <c r="F25" s="2908">
        <v>2.5945547571428573</v>
      </c>
      <c r="G25" s="2908">
        <v>101.61721266666666</v>
      </c>
      <c r="H25" s="2907">
        <v>12.283399333333334</v>
      </c>
      <c r="I25" s="2998">
        <f t="shared" si="2"/>
        <v>5268.7270889031461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-7140.1742663664481</v>
      </c>
      <c r="D29" s="3004"/>
      <c r="E29" s="3004"/>
      <c r="F29" s="3004"/>
      <c r="G29" s="3004"/>
      <c r="H29" s="3005"/>
      <c r="I29" s="3006">
        <f t="shared" si="2"/>
        <v>-7140.1742663664481</v>
      </c>
    </row>
    <row r="30" spans="2:9" ht="18" customHeight="1" x14ac:dyDescent="0.2">
      <c r="B30" s="1168" t="s">
        <v>2063</v>
      </c>
      <c r="C30" s="3007">
        <f>IF(SUM(C31:C32)=0,"NO",SUM(C31:C32))</f>
        <v>0.50683699359333334</v>
      </c>
      <c r="D30" s="3007" t="str">
        <f t="shared" ref="D30" si="27">IF(SUM(D31:D32)=0,"NO",SUM(D31:D32))</f>
        <v>NO</v>
      </c>
      <c r="E30" s="3007">
        <f t="shared" ref="E30" si="28">IF(SUM(E31:E32)=0,"NO",SUM(E31:E32))</f>
        <v>4.3466075714285714E-2</v>
      </c>
      <c r="F30" s="3007" t="str">
        <f t="shared" ref="F30" si="29">IF(SUM(F31:F32)=0,"NO",SUM(F31:F32))</f>
        <v>NO</v>
      </c>
      <c r="G30" s="3007" t="str">
        <f t="shared" ref="G30" si="30">IF(SUM(G31:G32)=0,"NO",SUM(G31:G32))</f>
        <v>NO</v>
      </c>
      <c r="H30" s="3008" t="str">
        <f t="shared" ref="H30" si="31">IF(SUM(H31:H32)=0,"NO",SUM(H31:H32))</f>
        <v>NO</v>
      </c>
      <c r="I30" s="3009">
        <f t="shared" si="2"/>
        <v>12.025347057879047</v>
      </c>
    </row>
    <row r="31" spans="2:9" ht="18" customHeight="1" x14ac:dyDescent="0.2">
      <c r="B31" s="2677" t="s">
        <v>2218</v>
      </c>
      <c r="C31" s="3010" t="s">
        <v>2146</v>
      </c>
      <c r="D31" s="3010" t="s">
        <v>2146</v>
      </c>
      <c r="E31" s="3010">
        <v>4.3466075714285714E-2</v>
      </c>
      <c r="F31" s="3010" t="s">
        <v>2146</v>
      </c>
      <c r="G31" s="3010" t="s">
        <v>2146</v>
      </c>
      <c r="H31" s="3011" t="s">
        <v>2146</v>
      </c>
      <c r="I31" s="3012">
        <f t="shared" si="2"/>
        <v>11.518510064285714</v>
      </c>
    </row>
    <row r="32" spans="2:9" ht="18" customHeight="1" thickBot="1" x14ac:dyDescent="0.25">
      <c r="B32" s="2676" t="s">
        <v>2219</v>
      </c>
      <c r="C32" s="3013">
        <v>0.50683699359333334</v>
      </c>
      <c r="D32" s="3013" t="s">
        <v>2146</v>
      </c>
      <c r="E32" s="3013" t="s">
        <v>2146</v>
      </c>
      <c r="F32" s="3014" t="s">
        <v>2146</v>
      </c>
      <c r="G32" s="3014" t="s">
        <v>2146</v>
      </c>
      <c r="H32" s="3014" t="s">
        <v>2146</v>
      </c>
      <c r="I32" s="2998">
        <f t="shared" si="2"/>
        <v>0.50683699359333334</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311286.34421070101</v>
      </c>
      <c r="D10" s="3765">
        <f t="shared" ref="D10:I10" si="0">IF(SUM(D11,D37,D47)=0,"NO",SUM(D11,D37,D47))</f>
        <v>1437.3141428118861</v>
      </c>
      <c r="E10" s="3765">
        <f t="shared" si="0"/>
        <v>9.4065583030332025</v>
      </c>
      <c r="F10" s="3765">
        <f t="shared" si="0"/>
        <v>1759.2899128733818</v>
      </c>
      <c r="G10" s="3765">
        <f t="shared" si="0"/>
        <v>5373.7651745530002</v>
      </c>
      <c r="H10" s="3765">
        <f t="shared" si="0"/>
        <v>803.01343513019606</v>
      </c>
      <c r="I10" s="3766">
        <f t="shared" si="0"/>
        <v>625.54763301560604</v>
      </c>
      <c r="J10" s="3028">
        <f t="shared" ref="J10:J40" si="1">IF(SUM(C10:E10)=0,"NO",SUM(C10,IFERROR(28*D10,0),IFERROR(265*E10,0)))</f>
        <v>354023.87815973762</v>
      </c>
    </row>
    <row r="11" spans="2:10" s="83" customFormat="1" ht="18" customHeight="1" thickBot="1" x14ac:dyDescent="0.25">
      <c r="B11" s="18" t="s">
        <v>75</v>
      </c>
      <c r="C11" s="3029">
        <f>IF(SUM(C12,C16,C24,C30,C34)=0,"NO",SUM(C12,C16,C24,C30,C34))</f>
        <v>304384.38556825282</v>
      </c>
      <c r="D11" s="3029">
        <f t="shared" ref="D11:I11" si="2">IF(SUM(D12,D16,D24,D30,D34)=0,"NO",SUM(D12,D16,D24,D30,D34))</f>
        <v>122.71031809767517</v>
      </c>
      <c r="E11" s="3029">
        <f t="shared" si="2"/>
        <v>9.320734552964657</v>
      </c>
      <c r="F11" s="3029">
        <f t="shared" si="2"/>
        <v>1755.5978014057484</v>
      </c>
      <c r="G11" s="3029">
        <f t="shared" si="2"/>
        <v>5364.6057072407275</v>
      </c>
      <c r="H11" s="3029">
        <f t="shared" si="2"/>
        <v>605.93782279252616</v>
      </c>
      <c r="I11" s="3030">
        <f t="shared" si="2"/>
        <v>625.54763301560604</v>
      </c>
      <c r="J11" s="3031">
        <f t="shared" si="1"/>
        <v>310290.26913152332</v>
      </c>
    </row>
    <row r="12" spans="2:10" s="83" customFormat="1" ht="18" customHeight="1" x14ac:dyDescent="0.2">
      <c r="B12" s="26" t="s">
        <v>76</v>
      </c>
      <c r="C12" s="3029">
        <f>IF(SUM(C13:C15)=0,"NO",SUM(C13:C15))</f>
        <v>181214.84033435362</v>
      </c>
      <c r="D12" s="3029">
        <f t="shared" ref="D12:I12" si="3">IF(SUM(D13:D15)=0,"NO",SUM(D13:D15))</f>
        <v>9.0829981985042814</v>
      </c>
      <c r="E12" s="3029">
        <f t="shared" si="3"/>
        <v>2.2515240802437124</v>
      </c>
      <c r="F12" s="3029">
        <f t="shared" si="3"/>
        <v>587.25965763284307</v>
      </c>
      <c r="G12" s="3029">
        <f t="shared" si="3"/>
        <v>93.796317575314617</v>
      </c>
      <c r="H12" s="3029">
        <f>IF(SUM(H13:H15)=0,"NO",SUM(H13:H15))</f>
        <v>15.415112441261144</v>
      </c>
      <c r="I12" s="3030">
        <f t="shared" si="3"/>
        <v>496.99348791900229</v>
      </c>
      <c r="J12" s="3031">
        <f t="shared" si="1"/>
        <v>182065.81816517632</v>
      </c>
    </row>
    <row r="13" spans="2:10" s="83" customFormat="1" ht="18" customHeight="1" x14ac:dyDescent="0.2">
      <c r="B13" s="20" t="s">
        <v>77</v>
      </c>
      <c r="C13" s="3032">
        <f>'Table1.A(a)s1'!H24</f>
        <v>164724.45122576004</v>
      </c>
      <c r="D13" s="3032">
        <f>'Table1.A(a)s1'!I24</f>
        <v>3.3116834127063997</v>
      </c>
      <c r="E13" s="3032">
        <f>'Table1.A(a)s1'!J24</f>
        <v>1.9834727040076758</v>
      </c>
      <c r="F13" s="3033">
        <v>454.81245950059042</v>
      </c>
      <c r="G13" s="3033">
        <v>60.950972535299492</v>
      </c>
      <c r="H13" s="3033">
        <v>4.7073664348567004</v>
      </c>
      <c r="I13" s="3034">
        <v>482.72433720145398</v>
      </c>
      <c r="J13" s="3035">
        <f t="shared" si="1"/>
        <v>165342.79862787787</v>
      </c>
    </row>
    <row r="14" spans="2:10" s="83" customFormat="1" ht="18" customHeight="1" x14ac:dyDescent="0.2">
      <c r="B14" s="20" t="s">
        <v>78</v>
      </c>
      <c r="C14" s="3032">
        <f>'Table1.A(a)s1'!H53</f>
        <v>5935.2910971908659</v>
      </c>
      <c r="D14" s="3032">
        <f>'Table1.A(a)s1'!I53</f>
        <v>6.5501569350649283E-2</v>
      </c>
      <c r="E14" s="3032">
        <f>'Table1.A(a)s1'!J53</f>
        <v>4.8892577679653645E-2</v>
      </c>
      <c r="F14" s="3033">
        <v>32.962183765367939</v>
      </c>
      <c r="G14" s="3033">
        <v>4.6252457038961001</v>
      </c>
      <c r="H14" s="3033">
        <v>7.6093799705627629E-2</v>
      </c>
      <c r="I14" s="3034">
        <v>4.7987266666666617</v>
      </c>
      <c r="J14" s="3035">
        <f t="shared" si="1"/>
        <v>5950.0816742177922</v>
      </c>
    </row>
    <row r="15" spans="2:10" s="83" customFormat="1" ht="18" customHeight="1" thickBot="1" x14ac:dyDescent="0.25">
      <c r="B15" s="21" t="s">
        <v>79</v>
      </c>
      <c r="C15" s="3036">
        <f>'Table1.A(a)s1'!H60</f>
        <v>10555.098011402717</v>
      </c>
      <c r="D15" s="3036">
        <f>'Table1.A(a)s1'!I60</f>
        <v>5.7058132164472326</v>
      </c>
      <c r="E15" s="3036">
        <f>'Table1.A(a)s1'!J60</f>
        <v>0.21915879855638298</v>
      </c>
      <c r="F15" s="3037">
        <v>99.48501436688467</v>
      </c>
      <c r="G15" s="3037">
        <v>28.220099336119027</v>
      </c>
      <c r="H15" s="3037">
        <v>10.631652206698815</v>
      </c>
      <c r="I15" s="3038">
        <v>9.4704240508816557</v>
      </c>
      <c r="J15" s="3039">
        <f t="shared" si="1"/>
        <v>10772.93786308068</v>
      </c>
    </row>
    <row r="16" spans="2:10" s="83" customFormat="1" ht="18" customHeight="1" x14ac:dyDescent="0.2">
      <c r="B16" s="25" t="s">
        <v>80</v>
      </c>
      <c r="C16" s="3029">
        <f>IF(SUM(C17:C23)=0,"NO",SUM(C17:C23))</f>
        <v>37440.664739964937</v>
      </c>
      <c r="D16" s="3029">
        <f t="shared" ref="D16:I16" si="4">IF(SUM(D17:D23)=0,"NO",SUM(D17:D23))</f>
        <v>2.2801350775648839</v>
      </c>
      <c r="E16" s="3029">
        <f t="shared" si="4"/>
        <v>1.3289940991559226</v>
      </c>
      <c r="F16" s="3029">
        <f t="shared" si="4"/>
        <v>515.60515412496738</v>
      </c>
      <c r="G16" s="3029">
        <f t="shared" si="4"/>
        <v>166.92474688139711</v>
      </c>
      <c r="H16" s="3029">
        <f t="shared" si="4"/>
        <v>65.913437372959663</v>
      </c>
      <c r="I16" s="3030">
        <f t="shared" si="4"/>
        <v>93.388307647064494</v>
      </c>
      <c r="J16" s="3031">
        <f t="shared" si="1"/>
        <v>37856.691958413074</v>
      </c>
    </row>
    <row r="17" spans="2:10" s="83" customFormat="1" ht="18" customHeight="1" x14ac:dyDescent="0.2">
      <c r="B17" s="20" t="s">
        <v>81</v>
      </c>
      <c r="C17" s="3032">
        <f>'Table1.A(a)s2'!H17</f>
        <v>2820.5674261017934</v>
      </c>
      <c r="D17" s="3032">
        <f>'Table1.A(a)s2'!I17</f>
        <v>0.10889314893865884</v>
      </c>
      <c r="E17" s="3032">
        <f>'Table1.A(a)s2'!J17</f>
        <v>3.5233947156268888E-2</v>
      </c>
      <c r="F17" s="3033">
        <v>31.718100678632194</v>
      </c>
      <c r="G17" s="3033">
        <v>8.6634001314908105</v>
      </c>
      <c r="H17" s="3033">
        <v>4.0345504098911702</v>
      </c>
      <c r="I17" s="3034">
        <v>11.32519140823212</v>
      </c>
      <c r="J17" s="3035">
        <f t="shared" si="1"/>
        <v>2832.953430268487</v>
      </c>
    </row>
    <row r="18" spans="2:10" s="83" customFormat="1" ht="18" customHeight="1" x14ac:dyDescent="0.2">
      <c r="B18" s="20" t="s">
        <v>82</v>
      </c>
      <c r="C18" s="3032">
        <f>'Table1.A(a)s2'!H24</f>
        <v>12182.269622974458</v>
      </c>
      <c r="D18" s="3032">
        <f>'Table1.A(a)s2'!I24</f>
        <v>0.22664635998754457</v>
      </c>
      <c r="E18" s="3032">
        <f>'Table1.A(a)s2'!J24</f>
        <v>0.13065958427918753</v>
      </c>
      <c r="F18" s="3033">
        <v>75.830959587163221</v>
      </c>
      <c r="G18" s="3033">
        <v>11.818415026293531</v>
      </c>
      <c r="H18" s="3033">
        <v>0.99419799985902335</v>
      </c>
      <c r="I18" s="3034">
        <v>52.396460712483133</v>
      </c>
      <c r="J18" s="3035">
        <f t="shared" si="1"/>
        <v>12223.240510888094</v>
      </c>
    </row>
    <row r="19" spans="2:10" s="83" customFormat="1" ht="18" customHeight="1" x14ac:dyDescent="0.2">
      <c r="B19" s="20" t="s">
        <v>83</v>
      </c>
      <c r="C19" s="3032">
        <f>'Table1.A(a)s2'!H31</f>
        <v>6137.8958821052029</v>
      </c>
      <c r="D19" s="3032">
        <f>'Table1.A(a)s2'!I31</f>
        <v>0.24909111787626328</v>
      </c>
      <c r="E19" s="3032">
        <f>'Table1.A(a)s2'!J31</f>
        <v>7.2138578835819492E-2</v>
      </c>
      <c r="F19" s="3033">
        <v>44.869368429897165</v>
      </c>
      <c r="G19" s="3033">
        <v>18.360135141571696</v>
      </c>
      <c r="H19" s="3033">
        <v>12.624845307703204</v>
      </c>
      <c r="I19" s="3034">
        <v>4.740180178184934</v>
      </c>
      <c r="J19" s="3035">
        <f t="shared" si="1"/>
        <v>6163.9871567972305</v>
      </c>
    </row>
    <row r="20" spans="2:10" s="83" customFormat="1" ht="18" customHeight="1" x14ac:dyDescent="0.2">
      <c r="B20" s="20" t="s">
        <v>84</v>
      </c>
      <c r="C20" s="3032">
        <f>'Table1.A(a)s2'!H38</f>
        <v>1284.2316811103292</v>
      </c>
      <c r="D20" s="3032">
        <f>'Table1.A(a)s2'!I38</f>
        <v>0.19814849350649355</v>
      </c>
      <c r="E20" s="3032">
        <f>'Table1.A(a)s2'!J38</f>
        <v>0.13256174112554114</v>
      </c>
      <c r="F20" s="3033">
        <v>5.5674198961038961</v>
      </c>
      <c r="G20" s="3033">
        <v>4.63361683982684</v>
      </c>
      <c r="H20" s="3033">
        <v>0.15993505887445886</v>
      </c>
      <c r="I20" s="3034">
        <v>1.0627175438596492</v>
      </c>
      <c r="J20" s="3035">
        <f t="shared" si="1"/>
        <v>1324.9087003267794</v>
      </c>
    </row>
    <row r="21" spans="2:10" s="83" customFormat="1" ht="18" customHeight="1" x14ac:dyDescent="0.2">
      <c r="B21" s="20" t="s">
        <v>85</v>
      </c>
      <c r="C21" s="3032">
        <f>'Table1.A(a)s2'!H45</f>
        <v>3124.7244401639905</v>
      </c>
      <c r="D21" s="3032">
        <f>'Table1.A(a)s2'!I45</f>
        <v>0.97393321081284412</v>
      </c>
      <c r="E21" s="3032">
        <f>'Table1.A(a)s2'!J45</f>
        <v>0.63888266990697229</v>
      </c>
      <c r="F21" s="3033">
        <v>24.598628121101907</v>
      </c>
      <c r="G21" s="3033">
        <v>24.290239856246046</v>
      </c>
      <c r="H21" s="3033">
        <v>1.0974885351654717</v>
      </c>
      <c r="I21" s="3034">
        <v>6.418146758465932</v>
      </c>
      <c r="J21" s="3035">
        <f t="shared" si="1"/>
        <v>3321.2984775920977</v>
      </c>
    </row>
    <row r="22" spans="2:10" s="83" customFormat="1" ht="18" customHeight="1" x14ac:dyDescent="0.2">
      <c r="B22" s="20" t="s">
        <v>86</v>
      </c>
      <c r="C22" s="3032">
        <f>'Table1.A(a)s2'!H52</f>
        <v>4903.621410804295</v>
      </c>
      <c r="D22" s="3032">
        <f>'Table1.A(a)s2'!I52</f>
        <v>0.15728478170495788</v>
      </c>
      <c r="E22" s="3032">
        <f>'Table1.A(a)s2'!J52</f>
        <v>3.7315256887193116E-2</v>
      </c>
      <c r="F22" s="3033">
        <v>68.024125902450592</v>
      </c>
      <c r="G22" s="3033">
        <v>12.808909117755418</v>
      </c>
      <c r="H22" s="3033">
        <v>5.9841833932639839</v>
      </c>
      <c r="I22" s="3034">
        <v>8.730172226720649</v>
      </c>
      <c r="J22" s="3035">
        <f t="shared" si="1"/>
        <v>4917.9139277671402</v>
      </c>
    </row>
    <row r="23" spans="2:10" s="83" customFormat="1" ht="18" customHeight="1" thickBot="1" x14ac:dyDescent="0.25">
      <c r="B23" s="3060" t="s">
        <v>2115</v>
      </c>
      <c r="C23" s="3032">
        <f>'Table1.A(a)s2'!H59</f>
        <v>6987.3542767048702</v>
      </c>
      <c r="D23" s="3032">
        <f>'Table1.A(a)s2'!I59</f>
        <v>0.36613796473812155</v>
      </c>
      <c r="E23" s="3032">
        <f>'Table1.A(a)s2'!J59</f>
        <v>0.2822023209649403</v>
      </c>
      <c r="F23" s="3033">
        <v>264.99655150961837</v>
      </c>
      <c r="G23" s="3033">
        <v>86.350030768212761</v>
      </c>
      <c r="H23" s="3033">
        <v>41.018236668202356</v>
      </c>
      <c r="I23" s="3034">
        <v>8.7154388191180665</v>
      </c>
      <c r="J23" s="3035">
        <f t="shared" si="1"/>
        <v>7072.3897547732477</v>
      </c>
    </row>
    <row r="24" spans="2:10" s="83" customFormat="1" ht="18" customHeight="1" x14ac:dyDescent="0.2">
      <c r="B24" s="25" t="s">
        <v>87</v>
      </c>
      <c r="C24" s="3029">
        <f>IF(SUM(C25:C29)=0,"NO",SUM(C25:C29))</f>
        <v>69419.203221923817</v>
      </c>
      <c r="D24" s="3029">
        <f t="shared" ref="D24:I24" si="5">IF(SUM(D25:D29)=0,"NO",SUM(D25:D29))</f>
        <v>29.313779273523515</v>
      </c>
      <c r="E24" s="3029">
        <f t="shared" si="5"/>
        <v>5.1228691269862372</v>
      </c>
      <c r="F24" s="3029">
        <f t="shared" si="5"/>
        <v>401.14854008044694</v>
      </c>
      <c r="G24" s="3029">
        <f t="shared" si="5"/>
        <v>4076.8528355673934</v>
      </c>
      <c r="H24" s="3029">
        <f t="shared" si="5"/>
        <v>375.9841621919868</v>
      </c>
      <c r="I24" s="3030">
        <f t="shared" si="5"/>
        <v>28.723241470674566</v>
      </c>
      <c r="J24" s="3031">
        <f t="shared" si="1"/>
        <v>71597.549360233825</v>
      </c>
    </row>
    <row r="25" spans="2:10" s="83" customFormat="1" ht="18" customHeight="1" x14ac:dyDescent="0.2">
      <c r="B25" s="20" t="s">
        <v>88</v>
      </c>
      <c r="C25" s="1878">
        <f>'Table1.A(a)s3'!H16</f>
        <v>4902.2468790780122</v>
      </c>
      <c r="D25" s="1878">
        <f>'Table1.A(a)s3'!I16</f>
        <v>3.342753936014705E-2</v>
      </c>
      <c r="E25" s="1878">
        <f>'Table1.A(a)s3'!J16</f>
        <v>4.6142114427713432E-2</v>
      </c>
      <c r="F25" s="3033">
        <v>16.706238914175728</v>
      </c>
      <c r="G25" s="3033">
        <v>11.225864434285157</v>
      </c>
      <c r="H25" s="3033">
        <v>1.1001299766783004</v>
      </c>
      <c r="I25" s="3034">
        <v>0.57858977067791406</v>
      </c>
      <c r="J25" s="3035">
        <f t="shared" si="1"/>
        <v>4915.4105105034405</v>
      </c>
    </row>
    <row r="26" spans="2:10" s="83" customFormat="1" ht="18" customHeight="1" x14ac:dyDescent="0.2">
      <c r="B26" s="20" t="s">
        <v>89</v>
      </c>
      <c r="C26" s="1878">
        <f>'Table1.A(a)s3'!H20</f>
        <v>60320.285474319127</v>
      </c>
      <c r="D26" s="1878">
        <f>'Table1.A(a)s3'!I20</f>
        <v>25.246649751167023</v>
      </c>
      <c r="E26" s="1878">
        <f>'Table1.A(a)s3'!J20</f>
        <v>4.3602163853813796</v>
      </c>
      <c r="F26" s="3033">
        <v>319.19092822445305</v>
      </c>
      <c r="G26" s="3033">
        <v>3850.6595338906782</v>
      </c>
      <c r="H26" s="3033">
        <v>338.07546362815521</v>
      </c>
      <c r="I26" s="3034">
        <v>11.852067754704169</v>
      </c>
      <c r="J26" s="3035">
        <f t="shared" si="1"/>
        <v>62182.649009477871</v>
      </c>
    </row>
    <row r="27" spans="2:10" s="83" customFormat="1" ht="18" customHeight="1" x14ac:dyDescent="0.2">
      <c r="B27" s="20" t="s">
        <v>90</v>
      </c>
      <c r="C27" s="1878">
        <f>'Table1.A(a)s3'!H81</f>
        <v>1566.4590000000001</v>
      </c>
      <c r="D27" s="1878">
        <f>'Table1.A(a)s3'!I81</f>
        <v>8.9639999999999997E-2</v>
      </c>
      <c r="E27" s="1878">
        <f>'Table1.A(a)s3'!J81</f>
        <v>0.6722999999999999</v>
      </c>
      <c r="F27" s="3033">
        <v>34.287300000000002</v>
      </c>
      <c r="G27" s="3033">
        <v>4.5268199999999998</v>
      </c>
      <c r="H27" s="3033">
        <v>1.5911099999999996</v>
      </c>
      <c r="I27" s="3034">
        <v>1.2777631578947366</v>
      </c>
      <c r="J27" s="3035">
        <f t="shared" si="1"/>
        <v>1747.12842</v>
      </c>
    </row>
    <row r="28" spans="2:10" s="83" customFormat="1" ht="18" customHeight="1" x14ac:dyDescent="0.2">
      <c r="B28" s="20" t="s">
        <v>91</v>
      </c>
      <c r="C28" s="1878">
        <f>'Table1.A(a)s3'!H88</f>
        <v>2141.6170486708329</v>
      </c>
      <c r="D28" s="1878">
        <f>'Table1.A(a)s3'!I88</f>
        <v>3.8459719720834959</v>
      </c>
      <c r="E28" s="1878">
        <f>'Table1.A(a)s3'!J88</f>
        <v>4.3221264393767486E-2</v>
      </c>
      <c r="F28" s="3033">
        <v>29.108327135035676</v>
      </c>
      <c r="G28" s="3033">
        <v>205.86271982422073</v>
      </c>
      <c r="H28" s="3033">
        <v>34.551840789791925</v>
      </c>
      <c r="I28" s="3034">
        <v>15.009906903279274</v>
      </c>
      <c r="J28" s="3035">
        <f t="shared" si="1"/>
        <v>2260.7578989535191</v>
      </c>
    </row>
    <row r="29" spans="2:10" s="83" customFormat="1" ht="18" customHeight="1" thickBot="1" x14ac:dyDescent="0.25">
      <c r="B29" s="22" t="s">
        <v>92</v>
      </c>
      <c r="C29" s="1881">
        <f>'Table1.A(a)s3'!H99</f>
        <v>488.59481985584591</v>
      </c>
      <c r="D29" s="1881">
        <f>'Table1.A(a)s3'!I99</f>
        <v>9.8090010912846762E-2</v>
      </c>
      <c r="E29" s="1881">
        <f>'Table1.A(a)s3'!J99</f>
        <v>9.8936278337741451E-4</v>
      </c>
      <c r="F29" s="3040">
        <v>1.8557458067824655</v>
      </c>
      <c r="G29" s="3040">
        <v>4.5778974182095036</v>
      </c>
      <c r="H29" s="3040">
        <v>0.66561779736132554</v>
      </c>
      <c r="I29" s="3041">
        <v>4.9138841184739905E-3</v>
      </c>
      <c r="J29" s="3042">
        <f t="shared" si="1"/>
        <v>491.60352129900065</v>
      </c>
    </row>
    <row r="30" spans="2:10" ht="18" customHeight="1" x14ac:dyDescent="0.2">
      <c r="B30" s="26" t="s">
        <v>93</v>
      </c>
      <c r="C30" s="3029">
        <f>IF(SUM(C31:C33)=0,"NO",SUM(C31:C33))</f>
        <v>15631.368149487873</v>
      </c>
      <c r="D30" s="3029">
        <f t="shared" ref="D30" si="6">IF(SUM(D31:D33)=0,"NO",SUM(D31:D33))</f>
        <v>82.000511244687715</v>
      </c>
      <c r="E30" s="3029">
        <f t="shared" ref="E30" si="7">IF(SUM(E31:E33)=0,"NO",SUM(E31:E33))</f>
        <v>0.59864468082477562</v>
      </c>
      <c r="F30" s="3029">
        <f t="shared" ref="F30" si="8">IF(SUM(F31:F33)=0,"NO",SUM(F31:F33))</f>
        <v>245.11428160188265</v>
      </c>
      <c r="G30" s="3029">
        <f t="shared" ref="G30" si="9">IF(SUM(G31:G33)=0,"NO",SUM(G31:G33))</f>
        <v>1021.6867890329954</v>
      </c>
      <c r="H30" s="3029">
        <f t="shared" ref="H30" si="10">IF(SUM(H31:H33)=0,"NO",SUM(H31:H33))</f>
        <v>148.06915078774838</v>
      </c>
      <c r="I30" s="3030">
        <f t="shared" ref="I30" si="11">IF(SUM(I31:I33)=0,"NO",SUM(I31:I33))</f>
        <v>6.1888347468102438</v>
      </c>
      <c r="J30" s="3043">
        <f t="shared" si="1"/>
        <v>18086.023304757691</v>
      </c>
    </row>
    <row r="31" spans="2:10" ht="18" customHeight="1" x14ac:dyDescent="0.2">
      <c r="B31" s="20" t="s">
        <v>94</v>
      </c>
      <c r="C31" s="3032">
        <f>'Table1.A(a)s4'!H17</f>
        <v>4231.3636149561316</v>
      </c>
      <c r="D31" s="3032">
        <f>'Table1.A(a)s4'!I17</f>
        <v>7.3021804545454566E-2</v>
      </c>
      <c r="E31" s="3032">
        <f>'Table1.A(a)s4'!J17</f>
        <v>8.4889452164502166E-2</v>
      </c>
      <c r="F31" s="3033">
        <v>14.954292237445888</v>
      </c>
      <c r="G31" s="3033">
        <v>4.28670504025974</v>
      </c>
      <c r="H31" s="3033">
        <v>1.5633621837878791</v>
      </c>
      <c r="I31" s="3034">
        <v>2.1338098110661265</v>
      </c>
      <c r="J31" s="3035">
        <f t="shared" si="1"/>
        <v>4255.9039303069976</v>
      </c>
    </row>
    <row r="32" spans="2:10" ht="18" customHeight="1" x14ac:dyDescent="0.2">
      <c r="B32" s="20" t="s">
        <v>95</v>
      </c>
      <c r="C32" s="3032">
        <f>'Table1.A(a)s4'!H38</f>
        <v>7280.6114426978147</v>
      </c>
      <c r="D32" s="3032">
        <f>'Table1.A(a)s4'!I38</f>
        <v>81.684212816765637</v>
      </c>
      <c r="E32" s="3032">
        <f>'Table1.A(a)s4'!J38</f>
        <v>0.29551060528365009</v>
      </c>
      <c r="F32" s="3033">
        <v>10.384244342791762</v>
      </c>
      <c r="G32" s="3033">
        <v>945.44098918754082</v>
      </c>
      <c r="H32" s="3033">
        <v>115.56380446543237</v>
      </c>
      <c r="I32" s="3034">
        <v>0.7692494238142924</v>
      </c>
      <c r="J32" s="3035">
        <f t="shared" si="1"/>
        <v>9646.0797119674207</v>
      </c>
    </row>
    <row r="33" spans="2:10" ht="18" customHeight="1" thickBot="1" x14ac:dyDescent="0.25">
      <c r="B33" s="20" t="s">
        <v>96</v>
      </c>
      <c r="C33" s="3032">
        <f>'Table1.A(a)s4'!H59</f>
        <v>4119.3930918339274</v>
      </c>
      <c r="D33" s="3032">
        <f>'Table1.A(a)s4'!I59</f>
        <v>0.24327662337662337</v>
      </c>
      <c r="E33" s="3032">
        <f>'Table1.A(a)s4'!J59</f>
        <v>0.21824462337662337</v>
      </c>
      <c r="F33" s="3033">
        <v>219.77574502164501</v>
      </c>
      <c r="G33" s="3033">
        <v>71.959094805194809</v>
      </c>
      <c r="H33" s="3033">
        <v>30.941984138528142</v>
      </c>
      <c r="I33" s="3034">
        <v>3.2857755119298244</v>
      </c>
      <c r="J33" s="3035">
        <f t="shared" si="1"/>
        <v>4184.0396624832783</v>
      </c>
    </row>
    <row r="34" spans="2:10" ht="18" customHeight="1" x14ac:dyDescent="0.2">
      <c r="B34" s="25" t="s">
        <v>2116</v>
      </c>
      <c r="C34" s="3029">
        <f>IF(SUM(C35:C36)=0,"NO",SUM(C35:C36))</f>
        <v>678.30912252252608</v>
      </c>
      <c r="D34" s="3029">
        <f t="shared" ref="D34:E34" si="12">IF(SUM(D35:D36)=0,"NO",SUM(D35:D36))</f>
        <v>3.2894303394768613E-2</v>
      </c>
      <c r="E34" s="3029">
        <f t="shared" si="12"/>
        <v>1.8702565754007937E-2</v>
      </c>
      <c r="F34" s="3029">
        <f t="shared" ref="F34:I34" si="13">IF(SUM(F35:F36)=0,"NO",SUM(F35:F36))</f>
        <v>6.4701679656083675</v>
      </c>
      <c r="G34" s="3029">
        <f t="shared" si="13"/>
        <v>5.3450181836267294</v>
      </c>
      <c r="H34" s="3029">
        <f t="shared" si="13"/>
        <v>0.55595999857013734</v>
      </c>
      <c r="I34" s="3030">
        <f t="shared" si="13"/>
        <v>0.25376123205443712</v>
      </c>
      <c r="J34" s="3031">
        <f t="shared" si="1"/>
        <v>684.18634294239166</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678.30912252252608</v>
      </c>
      <c r="D36" s="3044">
        <f>'Table1.A(a)s4'!I108</f>
        <v>3.2894303394768613E-2</v>
      </c>
      <c r="E36" s="3044">
        <f>'Table1.A(a)s4'!J108</f>
        <v>1.8702565754007937E-2</v>
      </c>
      <c r="F36" s="3040">
        <v>6.4701679656083675</v>
      </c>
      <c r="G36" s="3040">
        <v>5.3450181836267294</v>
      </c>
      <c r="H36" s="3040">
        <v>0.55595999857013734</v>
      </c>
      <c r="I36" s="3041">
        <v>0.25376123205443712</v>
      </c>
      <c r="J36" s="3042">
        <f t="shared" si="1"/>
        <v>684.18634294239166</v>
      </c>
    </row>
    <row r="37" spans="2:10" ht="18" customHeight="1" thickBot="1" x14ac:dyDescent="0.25">
      <c r="B37" s="18" t="s">
        <v>99</v>
      </c>
      <c r="C37" s="3029">
        <f>IF(SUM(C38,C42)=0,"NO",SUM(C38,C42))</f>
        <v>6901.9586424481731</v>
      </c>
      <c r="D37" s="3029">
        <f t="shared" ref="D37:I37" si="14">IF(SUM(D38,D42)=0,"NO",SUM(D38,D42))</f>
        <v>1314.603824714211</v>
      </c>
      <c r="E37" s="3029">
        <f t="shared" si="14"/>
        <v>8.5823750068545937E-2</v>
      </c>
      <c r="F37" s="3029">
        <f t="shared" si="14"/>
        <v>3.6921114676332749</v>
      </c>
      <c r="G37" s="3029">
        <f t="shared" si="14"/>
        <v>9.1594673122729926</v>
      </c>
      <c r="H37" s="3029">
        <f t="shared" si="14"/>
        <v>197.0756123376699</v>
      </c>
      <c r="I37" s="3030" t="str">
        <f t="shared" si="14"/>
        <v>NO</v>
      </c>
      <c r="J37" s="3031">
        <f t="shared" si="1"/>
        <v>43733.609028214247</v>
      </c>
    </row>
    <row r="38" spans="2:10" ht="18" customHeight="1" x14ac:dyDescent="0.2">
      <c r="B38" s="26" t="s">
        <v>100</v>
      </c>
      <c r="C38" s="3029">
        <f>IF(SUM(C39:C41)=0,"NO",SUM(C39:C41))</f>
        <v>1320.7717624290267</v>
      </c>
      <c r="D38" s="3029">
        <f t="shared" ref="D38" si="15">IF(SUM(D39:D41)=0,"NO",SUM(D39:D41))</f>
        <v>1013.9194201286596</v>
      </c>
      <c r="E38" s="3029">
        <f t="shared" ref="E38" si="16">IF(SUM(E39:E41)=0,"NO",SUM(E39:E41))</f>
        <v>1.8881593331029871E-5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29710.520529653728</v>
      </c>
    </row>
    <row r="39" spans="2:10" ht="18" customHeight="1" x14ac:dyDescent="0.2">
      <c r="B39" s="20" t="s">
        <v>101</v>
      </c>
      <c r="C39" s="3032">
        <f>'Table1.B.1'!G10</f>
        <v>1320.7717624290267</v>
      </c>
      <c r="D39" s="3032">
        <f>SUM('Table1.B.1'!F10,'Table1.B.1'!H10)</f>
        <v>1013.9194201286596</v>
      </c>
      <c r="E39" s="3033">
        <v>1.8881593331029871E-5</v>
      </c>
      <c r="F39" s="3033" t="s">
        <v>2146</v>
      </c>
      <c r="G39" s="3033" t="s">
        <v>2146</v>
      </c>
      <c r="H39" s="3033" t="s">
        <v>2146</v>
      </c>
      <c r="I39" s="2931"/>
      <c r="J39" s="3035">
        <f t="shared" si="1"/>
        <v>29710.520529653728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5581.186880019146</v>
      </c>
      <c r="D42" s="3029">
        <f t="shared" ref="D42:I42" si="21">IF(SUM(D43:D46)=0,"NO",SUM(D43:D46))</f>
        <v>300.68440458555153</v>
      </c>
      <c r="E42" s="3029">
        <f t="shared" si="21"/>
        <v>8.5804868475214902E-2</v>
      </c>
      <c r="F42" s="3029">
        <f t="shared" si="21"/>
        <v>3.6921114676332749</v>
      </c>
      <c r="G42" s="3029">
        <f t="shared" si="21"/>
        <v>9.1594673122729926</v>
      </c>
      <c r="H42" s="3029">
        <f t="shared" si="21"/>
        <v>197.0756123376699</v>
      </c>
      <c r="I42" s="3030" t="str">
        <f t="shared" si="21"/>
        <v>NO</v>
      </c>
      <c r="J42" s="3031">
        <f t="shared" ref="J42:J59" si="22">IF(SUM(C42:E42)=0,"NO",SUM(C42,IFERROR(28*D42,0),IFERROR(265*E42,0)))</f>
        <v>14023.088498560521</v>
      </c>
    </row>
    <row r="43" spans="2:10" ht="18" customHeight="1" x14ac:dyDescent="0.2">
      <c r="B43" s="20" t="s">
        <v>103</v>
      </c>
      <c r="C43" s="3032">
        <f>'Table1.B.2'!I10</f>
        <v>472.79281969214941</v>
      </c>
      <c r="D43" s="3032">
        <f>'Table1.B.2'!J10</f>
        <v>3.2210873518660805</v>
      </c>
      <c r="E43" s="3032">
        <f>'Table1.B.2'!K10</f>
        <v>1.4222277710355528E-2</v>
      </c>
      <c r="F43" s="3033">
        <v>0.2629826666666667</v>
      </c>
      <c r="G43" s="3033">
        <v>1.5252994666666666</v>
      </c>
      <c r="H43" s="3033">
        <v>95.660847833333349</v>
      </c>
      <c r="I43" s="3034" t="s">
        <v>2146</v>
      </c>
      <c r="J43" s="3035">
        <f t="shared" si="22"/>
        <v>566.75216913764382</v>
      </c>
    </row>
    <row r="44" spans="2:10" ht="18" customHeight="1" x14ac:dyDescent="0.2">
      <c r="B44" s="20" t="s">
        <v>104</v>
      </c>
      <c r="C44" s="3032">
        <f>SUM('Table1.B.2'!I21,'Table1.B.2'!L21)</f>
        <v>20.612197355061294</v>
      </c>
      <c r="D44" s="3032">
        <f>'Table1.B.2'!J21</f>
        <v>149.82974180937745</v>
      </c>
      <c r="E44" s="3032">
        <f>'Table1.B.2'!K21</f>
        <v>3.2981912300359914E-4</v>
      </c>
      <c r="F44" s="3033">
        <v>6.1077615371036885E-3</v>
      </c>
      <c r="G44" s="3033">
        <v>3.5425016915201391E-2</v>
      </c>
      <c r="H44" s="3033">
        <v>58.28444411004152</v>
      </c>
      <c r="I44" s="3034" t="s">
        <v>2146</v>
      </c>
      <c r="J44" s="3035">
        <f t="shared" si="22"/>
        <v>4215.9323700852256</v>
      </c>
    </row>
    <row r="45" spans="2:10" ht="18" customHeight="1" x14ac:dyDescent="0.2">
      <c r="B45" s="20" t="s">
        <v>105</v>
      </c>
      <c r="C45" s="3032">
        <f>'Table1.B.2'!I35</f>
        <v>5087.781862971935</v>
      </c>
      <c r="D45" s="3032">
        <f>'Table1.B.2'!J35</f>
        <v>147.63357542430799</v>
      </c>
      <c r="E45" s="3032">
        <f>'Table1.B.2'!K35</f>
        <v>7.1252771641855769E-2</v>
      </c>
      <c r="F45" s="3033">
        <v>3.4230210394295044</v>
      </c>
      <c r="G45" s="3033">
        <v>7.5987428286911252</v>
      </c>
      <c r="H45" s="3033">
        <v>43.130320394295047</v>
      </c>
      <c r="I45" s="3034" t="s">
        <v>2146</v>
      </c>
      <c r="J45" s="3035">
        <f t="shared" si="22"/>
        <v>9240.403959337651</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9532.9939999999988</v>
      </c>
      <c r="D52" s="3032">
        <f t="shared" ref="D52:I52" si="23">IF(SUM(D53:D54)=0,"NO",SUM(D53:D54))</f>
        <v>0.22715249666666665</v>
      </c>
      <c r="E52" s="3032">
        <f t="shared" si="23"/>
        <v>9.8623807064912292E-2</v>
      </c>
      <c r="F52" s="3032">
        <f t="shared" si="23"/>
        <v>96.085153277017554</v>
      </c>
      <c r="G52" s="3032">
        <f t="shared" si="23"/>
        <v>13.516101825789471</v>
      </c>
      <c r="H52" s="3032">
        <f t="shared" si="23"/>
        <v>7.4348186141929826</v>
      </c>
      <c r="I52" s="3055">
        <f t="shared" si="23"/>
        <v>33.395384612685568</v>
      </c>
      <c r="J52" s="3035">
        <f t="shared" si="22"/>
        <v>9565.4895787788682</v>
      </c>
    </row>
    <row r="53" spans="2:10" ht="18" customHeight="1" x14ac:dyDescent="0.2">
      <c r="B53" s="164" t="s">
        <v>111</v>
      </c>
      <c r="C53" s="3032">
        <f>Table1.D!G10</f>
        <v>7293.3839999999991</v>
      </c>
      <c r="D53" s="3032">
        <f>Table1.D!H10</f>
        <v>1.2182496666666667E-2</v>
      </c>
      <c r="E53" s="3032">
        <f>Table1.D!I10</f>
        <v>3.7203807064912282E-2</v>
      </c>
      <c r="F53" s="3033">
        <v>37.008753277017547</v>
      </c>
      <c r="G53" s="3033">
        <v>11.500841825789472</v>
      </c>
      <c r="H53" s="3033">
        <v>5.5949486141929823</v>
      </c>
      <c r="I53" s="3034">
        <v>0.8592780000000001</v>
      </c>
      <c r="J53" s="3035">
        <f t="shared" si="22"/>
        <v>7303.5841187788683</v>
      </c>
    </row>
    <row r="54" spans="2:10" ht="18" customHeight="1" x14ac:dyDescent="0.2">
      <c r="B54" s="164" t="s">
        <v>112</v>
      </c>
      <c r="C54" s="3032">
        <f>Table1.D!G14</f>
        <v>2239.6099999999997</v>
      </c>
      <c r="D54" s="3032">
        <f>Table1.D!H14</f>
        <v>0.21496999999999999</v>
      </c>
      <c r="E54" s="3032">
        <f>Table1.D!I14</f>
        <v>6.1420000000000009E-2</v>
      </c>
      <c r="F54" s="3033">
        <v>59.076400000000007</v>
      </c>
      <c r="G54" s="3033">
        <v>2.0152600000000001</v>
      </c>
      <c r="H54" s="3033">
        <v>1.8398699999999999</v>
      </c>
      <c r="I54" s="3034">
        <v>32.536106612685565</v>
      </c>
      <c r="J54" s="3035">
        <f t="shared" si="22"/>
        <v>2261.9054599999995</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19328.68835</v>
      </c>
      <c r="D56" s="3056"/>
      <c r="E56" s="3056"/>
      <c r="F56" s="3056"/>
      <c r="G56" s="3056"/>
      <c r="H56" s="3056"/>
      <c r="I56" s="2971"/>
      <c r="J56" s="3039">
        <f t="shared" si="22"/>
        <v>19328.68835</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133281.02723772899</v>
      </c>
      <c r="D10" s="3549" t="s">
        <v>2146</v>
      </c>
      <c r="E10" s="3549">
        <v>29.061081058999999</v>
      </c>
      <c r="F10" s="3549">
        <v>486.92615469100002</v>
      </c>
      <c r="G10" s="3549" t="s">
        <v>2146</v>
      </c>
      <c r="H10" s="3549">
        <v>0.65701629900000003</v>
      </c>
      <c r="I10" s="3549" t="s">
        <v>2146</v>
      </c>
      <c r="J10" s="3549">
        <v>21.343131523</v>
      </c>
      <c r="K10" s="3549" t="s">
        <v>2146</v>
      </c>
      <c r="L10" s="3549" t="s">
        <v>2146</v>
      </c>
      <c r="M10" s="3550">
        <f>IF(SUM(C10:L10)=0,"NO",SUM(C10:L10))</f>
        <v>133819.01462130097</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7.1934713620000004</v>
      </c>
      <c r="D12" s="3549" t="s">
        <v>2146</v>
      </c>
      <c r="E12" s="3549">
        <v>39784.233758481998</v>
      </c>
      <c r="F12" s="3549" t="s">
        <v>2153</v>
      </c>
      <c r="G12" s="3549" t="s">
        <v>2146</v>
      </c>
      <c r="H12" s="3549" t="s">
        <v>2153</v>
      </c>
      <c r="I12" s="3549" t="s">
        <v>2146</v>
      </c>
      <c r="J12" s="3549" t="s">
        <v>2153</v>
      </c>
      <c r="K12" s="3549" t="s">
        <v>2146</v>
      </c>
      <c r="L12" s="3549" t="s">
        <v>2146</v>
      </c>
      <c r="M12" s="3550">
        <f t="shared" si="0"/>
        <v>39791.427229843997</v>
      </c>
    </row>
    <row r="13" spans="2:13" ht="18" customHeight="1" x14ac:dyDescent="0.2">
      <c r="B13" s="2277" t="s">
        <v>1961</v>
      </c>
      <c r="C13" s="3549">
        <v>348.62013649699998</v>
      </c>
      <c r="D13" s="3549" t="s">
        <v>2146</v>
      </c>
      <c r="E13" s="3549" t="s">
        <v>2153</v>
      </c>
      <c r="F13" s="3549">
        <v>519577.86168824299</v>
      </c>
      <c r="G13" s="3549" t="s">
        <v>2146</v>
      </c>
      <c r="H13" s="3549" t="s">
        <v>2153</v>
      </c>
      <c r="I13" s="3549" t="s">
        <v>2146</v>
      </c>
      <c r="J13" s="3549" t="s">
        <v>2153</v>
      </c>
      <c r="K13" s="3549" t="s">
        <v>2146</v>
      </c>
      <c r="L13" s="3549" t="s">
        <v>2146</v>
      </c>
      <c r="M13" s="3550">
        <f t="shared" si="0"/>
        <v>519926.48182474001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6.3341141150000002</v>
      </c>
      <c r="D15" s="3549" t="s">
        <v>2146</v>
      </c>
      <c r="E15" s="3549">
        <v>0.63304705100000003</v>
      </c>
      <c r="F15" s="3549">
        <v>2.443871627</v>
      </c>
      <c r="G15" s="3549" t="s">
        <v>2146</v>
      </c>
      <c r="H15" s="3549">
        <v>13332.872684611</v>
      </c>
      <c r="I15" s="3549" t="s">
        <v>2146</v>
      </c>
      <c r="J15" s="3549" t="s">
        <v>2146</v>
      </c>
      <c r="K15" s="3549" t="s">
        <v>2146</v>
      </c>
      <c r="L15" s="3549" t="s">
        <v>2146</v>
      </c>
      <c r="M15" s="3550">
        <f t="shared" si="0"/>
        <v>13342.283717404</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4.4976771949999996</v>
      </c>
      <c r="D17" s="3549" t="s">
        <v>2146</v>
      </c>
      <c r="E17" s="3549" t="s">
        <v>2146</v>
      </c>
      <c r="F17" s="3549" t="s">
        <v>2146</v>
      </c>
      <c r="G17" s="3549" t="s">
        <v>2146</v>
      </c>
      <c r="H17" s="3549" t="s">
        <v>2146</v>
      </c>
      <c r="I17" s="3549" t="s">
        <v>2146</v>
      </c>
      <c r="J17" s="3549">
        <v>1252.666083698</v>
      </c>
      <c r="K17" s="3549" t="s">
        <v>2146</v>
      </c>
      <c r="L17" s="3549" t="s">
        <v>2146</v>
      </c>
      <c r="M17" s="3550">
        <f t="shared" si="0"/>
        <v>1257.163760893</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133647.67263689797</v>
      </c>
      <c r="D20" s="3551" t="str">
        <f t="shared" ref="D20:L20" si="1">IF(SUM(D10:D19)=0,"NO",SUM(D10:D19))</f>
        <v>NO</v>
      </c>
      <c r="E20" s="3551">
        <f t="shared" si="1"/>
        <v>39813.927886591999</v>
      </c>
      <c r="F20" s="3551">
        <f t="shared" si="1"/>
        <v>520067.231714561</v>
      </c>
      <c r="G20" s="3551" t="str">
        <f t="shared" si="1"/>
        <v>NO</v>
      </c>
      <c r="H20" s="3551">
        <f t="shared" si="1"/>
        <v>13333.52970091</v>
      </c>
      <c r="I20" s="3551" t="str">
        <f t="shared" si="1"/>
        <v>NO</v>
      </c>
      <c r="J20" s="3551">
        <f t="shared" si="1"/>
        <v>1274.009215221</v>
      </c>
      <c r="K20" s="3551">
        <f t="shared" si="1"/>
        <v>60692.328845821001</v>
      </c>
      <c r="L20" s="3551" t="str">
        <f t="shared" si="1"/>
        <v>NO</v>
      </c>
      <c r="M20" s="3550">
        <f t="shared" si="0"/>
        <v>768828.70000000298</v>
      </c>
    </row>
    <row r="21" spans="2:13" ht="18" customHeight="1" thickBot="1" x14ac:dyDescent="0.25">
      <c r="B21" s="2279" t="s">
        <v>1968</v>
      </c>
      <c r="C21" s="3552">
        <f>IF(SUM(C20)=0,"NO",C20-M10)</f>
        <v>-171.34198440299951</v>
      </c>
      <c r="D21" s="3552" t="str">
        <f>IF(SUM(D20)=0,"NO",D20-M11)</f>
        <v>NO</v>
      </c>
      <c r="E21" s="3552">
        <f>IF(SUM(E20)=0,"NO",E20-M12)</f>
        <v>22.500656748001347</v>
      </c>
      <c r="F21" s="3552">
        <f>IF(SUM(F20)=0,"NO",F20-M13)</f>
        <v>140.74988982098876</v>
      </c>
      <c r="G21" s="3552" t="str">
        <f>IF(SUM(G20)=0,"NO",G20-M14)</f>
        <v>NO</v>
      </c>
      <c r="H21" s="3552">
        <f>IF(SUM(H20)=0,"NO",H20-M15)</f>
        <v>-8.7540164940000977</v>
      </c>
      <c r="I21" s="3552" t="str">
        <f>IF(SUM(I20)=0,"NO",I20-M16)</f>
        <v>NO</v>
      </c>
      <c r="J21" s="3552">
        <f>IF(SUM(J20)=0,"NO",J20-M17)</f>
        <v>16.84545432799996</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133764.1227534319</v>
      </c>
      <c r="E10" s="3556">
        <f t="shared" ref="E10:U10" si="0">IF(SUM(E11,E16)=0,"IE",SUM(E11,E16))</f>
        <v>133647.67263689745</v>
      </c>
      <c r="F10" s="3557">
        <f t="shared" si="0"/>
        <v>116.45011653443412</v>
      </c>
      <c r="G10" s="3558">
        <f t="shared" ref="G10:K11" si="1">IFERROR(IF(SUM($D10)=0,"NA",N10/$D10),"NA")</f>
        <v>6.776461717933846E-2</v>
      </c>
      <c r="H10" s="3078">
        <f t="shared" si="1"/>
        <v>-2.5243016612036943E-3</v>
      </c>
      <c r="I10" s="3078">
        <f t="shared" si="1"/>
        <v>6.5240315518134764E-2</v>
      </c>
      <c r="J10" s="3078">
        <f t="shared" si="1"/>
        <v>1.1985988199925877E-2</v>
      </c>
      <c r="K10" s="3078">
        <f t="shared" si="1"/>
        <v>7.8143705155224921E-3</v>
      </c>
      <c r="L10" s="3078">
        <f>IFERROR(IF(SUM(E10)=0,"NA",S10/E10),"NA")</f>
        <v>-6.580125961283852E-3</v>
      </c>
      <c r="M10" s="3128">
        <f>IFERROR(IF(SUM(F10)=0,"NA",T10/F10),"NA")</f>
        <v>-0.32716503040651151</v>
      </c>
      <c r="N10" s="3559">
        <f t="shared" si="0"/>
        <v>9064.4745707163511</v>
      </c>
      <c r="O10" s="3560">
        <f t="shared" si="0"/>
        <v>-337.66099727594303</v>
      </c>
      <c r="P10" s="3560">
        <f t="shared" si="0"/>
        <v>8726.8135734404077</v>
      </c>
      <c r="Q10" s="3560">
        <f t="shared" si="0"/>
        <v>1603.2951968960713</v>
      </c>
      <c r="R10" s="3560">
        <f t="shared" si="0"/>
        <v>1045.2824168791497</v>
      </c>
      <c r="S10" s="3560">
        <f t="shared" si="0"/>
        <v>-879.4185203832144</v>
      </c>
      <c r="T10" s="3561">
        <f t="shared" si="0"/>
        <v>-38.098405916829947</v>
      </c>
      <c r="U10" s="3562">
        <f t="shared" si="0"/>
        <v>-38345.538956690478</v>
      </c>
      <c r="W10" s="2396"/>
    </row>
    <row r="11" spans="2:23" ht="18" customHeight="1" x14ac:dyDescent="0.2">
      <c r="B11" s="502" t="s">
        <v>982</v>
      </c>
      <c r="C11" s="2256"/>
      <c r="D11" s="3563">
        <f>IF(SUM(D12:D15)=0,"IE",SUM(D12:D15))</f>
        <v>127223.14541548</v>
      </c>
      <c r="E11" s="3564">
        <f t="shared" ref="E11:U11" si="2">IF(SUM(E12:E15)=0,"IE",SUM(E12:E15))</f>
        <v>127223.14541548</v>
      </c>
      <c r="F11" s="3565" t="str">
        <f t="shared" si="2"/>
        <v>IE</v>
      </c>
      <c r="G11" s="3558">
        <f t="shared" si="1"/>
        <v>2.1150488040633412E-2</v>
      </c>
      <c r="H11" s="3078">
        <f t="shared" si="1"/>
        <v>-2.6379325553711605E-3</v>
      </c>
      <c r="I11" s="3078">
        <f t="shared" si="1"/>
        <v>1.8512555485262251E-2</v>
      </c>
      <c r="J11" s="3078">
        <f t="shared" si="1"/>
        <v>8.5342583269457546E-3</v>
      </c>
      <c r="K11" s="3078">
        <f t="shared" si="1"/>
        <v>6.2809068589139237E-3</v>
      </c>
      <c r="L11" s="3078">
        <f t="shared" ref="L11:L28" si="3">IFERROR(IF(SUM(E11)=0,"NA",S11/E11),"NA")</f>
        <v>6.8743101158309696E-3</v>
      </c>
      <c r="M11" s="3128" t="str">
        <f t="shared" ref="M11:M28" si="4">IFERROR(IF(SUM(F11)=0,"NA",T11/F11),"NA")</f>
        <v>NA</v>
      </c>
      <c r="N11" s="3109">
        <f t="shared" si="2"/>
        <v>2690.8316156018755</v>
      </c>
      <c r="O11" s="3109">
        <f t="shared" si="2"/>
        <v>-335.60607708821391</v>
      </c>
      <c r="P11" s="3109">
        <f t="shared" si="2"/>
        <v>2355.2255385136614</v>
      </c>
      <c r="Q11" s="3109">
        <f t="shared" si="2"/>
        <v>1085.7551881422908</v>
      </c>
      <c r="R11" s="3566">
        <f t="shared" si="2"/>
        <v>799.07672665269183</v>
      </c>
      <c r="S11" s="3566">
        <f t="shared" si="2"/>
        <v>874.57135549746863</v>
      </c>
      <c r="T11" s="3566" t="str">
        <f t="shared" si="2"/>
        <v>IE</v>
      </c>
      <c r="U11" s="3567">
        <f t="shared" si="2"/>
        <v>-18753.638965622413</v>
      </c>
      <c r="W11" s="2397"/>
    </row>
    <row r="12" spans="2:23" ht="18" customHeight="1" x14ac:dyDescent="0.2">
      <c r="B12" s="500"/>
      <c r="C12" s="508" t="s">
        <v>2220</v>
      </c>
      <c r="D12" s="3568">
        <f>IF(SUM(E12:F12)=0,E12,SUM(E12:F12))</f>
        <v>12293.550585774799</v>
      </c>
      <c r="E12" s="3569">
        <v>12293.550585774799</v>
      </c>
      <c r="F12" s="3554" t="s">
        <v>2153</v>
      </c>
      <c r="G12" s="3558">
        <f>IFERROR(IF(SUM($D12)=0,"NA",N12/$D12),"NA")</f>
        <v>8.9379834020728605E-2</v>
      </c>
      <c r="H12" s="3078" t="str">
        <f>IFERROR(IF(SUM($D12)=0,"NA",O12/$D12),"NA")</f>
        <v>NA</v>
      </c>
      <c r="I12" s="3078">
        <f>IFERROR(IF(SUM($D12)=0,"NA",P12/$D12),"NA")</f>
        <v>8.9379834020728605E-2</v>
      </c>
      <c r="J12" s="3078">
        <f>IFERROR(IF(SUM($D12)=0,"NA",Q12/$D12),"NA")</f>
        <v>4.0484546646137688E-2</v>
      </c>
      <c r="K12" s="3078">
        <f>IFERROR(IF(SUM($D12)=0,"NA",R12/$D12),"NA")</f>
        <v>1.7841911541204968E-2</v>
      </c>
      <c r="L12" s="3078">
        <f t="shared" si="3"/>
        <v>1.5540659688665866E-2</v>
      </c>
      <c r="M12" s="3128" t="str">
        <f t="shared" si="4"/>
        <v>NA</v>
      </c>
      <c r="N12" s="2905">
        <v>1098.7955108819824</v>
      </c>
      <c r="O12" s="2905" t="s">
        <v>2153</v>
      </c>
      <c r="P12" s="3109">
        <f>IF(SUM(N12:O12)=0,N12,SUM(N12:O12))</f>
        <v>1098.7955108819824</v>
      </c>
      <c r="Q12" s="2905">
        <v>497.6988221364532</v>
      </c>
      <c r="R12" s="2906">
        <v>219.3404420787225</v>
      </c>
      <c r="S12" s="2906">
        <v>191.04988601892506</v>
      </c>
      <c r="T12" s="2906" t="s">
        <v>2153</v>
      </c>
      <c r="U12" s="3570">
        <f>IF(SUM(P12:T12)=0,P12,SUM(P12:T12)*-44/12)</f>
        <v>-7358.5770907589713</v>
      </c>
      <c r="W12" s="2398"/>
    </row>
    <row r="13" spans="2:23" ht="18" customHeight="1" x14ac:dyDescent="0.2">
      <c r="B13" s="500"/>
      <c r="C13" s="508" t="s">
        <v>2221</v>
      </c>
      <c r="D13" s="3568">
        <f t="shared" ref="D13:D15" si="5">IF(SUM(E13:F13)=0,E13,SUM(E13:F13))</f>
        <v>682.24894237664296</v>
      </c>
      <c r="E13" s="3569">
        <v>682.24894237664296</v>
      </c>
      <c r="F13" s="3554" t="s">
        <v>2153</v>
      </c>
      <c r="G13" s="3558">
        <f t="shared" ref="G13:K28" si="6">IFERROR(IF(SUM($D13)=0,"NA",N13/$D13),"NA")</f>
        <v>1.4880500368015914</v>
      </c>
      <c r="H13" s="3078" t="str">
        <f t="shared" si="6"/>
        <v>NA</v>
      </c>
      <c r="I13" s="3078">
        <f t="shared" si="6"/>
        <v>1.4880500368015914</v>
      </c>
      <c r="J13" s="3078">
        <f t="shared" si="6"/>
        <v>0.36351819953886672</v>
      </c>
      <c r="K13" s="3078">
        <f t="shared" si="6"/>
        <v>0.21366444098816906</v>
      </c>
      <c r="L13" s="3078">
        <f t="shared" si="3"/>
        <v>1.0018651946860739</v>
      </c>
      <c r="M13" s="3128" t="str">
        <f t="shared" si="4"/>
        <v>NA</v>
      </c>
      <c r="N13" s="2905">
        <v>1015.2205638114104</v>
      </c>
      <c r="O13" s="2905" t="s">
        <v>2153</v>
      </c>
      <c r="P13" s="3109">
        <f t="shared" ref="P13:P15" si="7">IF(SUM(N13:O13)=0,N13,SUM(N13:O13))</f>
        <v>1015.2205638114104</v>
      </c>
      <c r="Q13" s="2905">
        <v>248.00990717005328</v>
      </c>
      <c r="R13" s="2906">
        <v>145.77233888767498</v>
      </c>
      <c r="S13" s="2906">
        <v>683.52146947854351</v>
      </c>
      <c r="T13" s="2906" t="s">
        <v>2153</v>
      </c>
      <c r="U13" s="3570">
        <f t="shared" ref="U13:U15" si="8">IF(SUM(P13:T13)=0,P13,SUM(P13:T13)*-44/12)</f>
        <v>-7672.5890242748355</v>
      </c>
      <c r="W13" s="2398"/>
    </row>
    <row r="14" spans="2:23" ht="18" customHeight="1" x14ac:dyDescent="0.2">
      <c r="B14" s="500"/>
      <c r="C14" s="508" t="s">
        <v>2222</v>
      </c>
      <c r="D14" s="3568">
        <f t="shared" si="5"/>
        <v>114247.34588732856</v>
      </c>
      <c r="E14" s="3569">
        <v>114247.34588732856</v>
      </c>
      <c r="F14" s="3554" t="s">
        <v>2153</v>
      </c>
      <c r="G14" s="3558">
        <f t="shared" si="6"/>
        <v>5.0488309940901503E-3</v>
      </c>
      <c r="H14" s="3078" t="str">
        <f t="shared" si="6"/>
        <v>NA</v>
      </c>
      <c r="I14" s="3078">
        <f t="shared" si="6"/>
        <v>5.0488309940901503E-3</v>
      </c>
      <c r="J14" s="3078">
        <f t="shared" si="6"/>
        <v>5.6194087829175877E-3</v>
      </c>
      <c r="K14" s="3078">
        <f t="shared" si="6"/>
        <v>3.7984597569056199E-3</v>
      </c>
      <c r="L14" s="3078" t="str">
        <f t="shared" si="3"/>
        <v>NA</v>
      </c>
      <c r="M14" s="3128" t="str">
        <f t="shared" si="4"/>
        <v>NA</v>
      </c>
      <c r="N14" s="2905">
        <v>576.81554090848226</v>
      </c>
      <c r="O14" s="2905" t="s">
        <v>2153</v>
      </c>
      <c r="P14" s="3109">
        <f t="shared" si="7"/>
        <v>576.81554090848226</v>
      </c>
      <c r="Q14" s="2905">
        <v>642.00253890427769</v>
      </c>
      <c r="R14" s="2906">
        <v>433.96394568629432</v>
      </c>
      <c r="S14" s="2906" t="s">
        <v>2147</v>
      </c>
      <c r="T14" s="2906" t="s">
        <v>2147</v>
      </c>
      <c r="U14" s="3570">
        <f t="shared" si="8"/>
        <v>-6060.2007601631994</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-335.60607708821391</v>
      </c>
      <c r="P15" s="3109">
        <f t="shared" si="7"/>
        <v>-335.60607708821391</v>
      </c>
      <c r="Q15" s="2905">
        <v>-301.95608006849329</v>
      </c>
      <c r="R15" s="2906" t="s">
        <v>2147</v>
      </c>
      <c r="S15" s="2906" t="s">
        <v>2147</v>
      </c>
      <c r="T15" s="2906" t="s">
        <v>2147</v>
      </c>
      <c r="U15" s="3570">
        <f t="shared" si="8"/>
        <v>2337.727909574593</v>
      </c>
      <c r="W15" s="2398"/>
    </row>
    <row r="16" spans="2:23" ht="18" customHeight="1" x14ac:dyDescent="0.2">
      <c r="B16" s="485" t="s">
        <v>1041</v>
      </c>
      <c r="C16" s="504"/>
      <c r="D16" s="3568">
        <f>IF(SUM(D17,D19,D23,D25,D27)=0,"IE",SUM(D17,D19,D23,D25,D27))</f>
        <v>6540.9773379518938</v>
      </c>
      <c r="E16" s="3571">
        <f t="shared" ref="E16:T16" si="9">IF(SUM(E17,E19,E23,E25,E27)=0,"IE",SUM(E17,E19,E23,E25,E27))</f>
        <v>6424.5272214174593</v>
      </c>
      <c r="F16" s="3572">
        <f t="shared" si="9"/>
        <v>116.45011653443412</v>
      </c>
      <c r="G16" s="3558">
        <f t="shared" si="6"/>
        <v>0.97441752597635301</v>
      </c>
      <c r="H16" s="3078">
        <f t="shared" si="6"/>
        <v>-3.1416103153363636E-4</v>
      </c>
      <c r="I16" s="3078">
        <f t="shared" si="6"/>
        <v>0.97410336494481931</v>
      </c>
      <c r="J16" s="3078">
        <f t="shared" si="6"/>
        <v>7.9122733807824544E-2</v>
      </c>
      <c r="K16" s="3078">
        <f t="shared" si="6"/>
        <v>3.7640505004952307E-2</v>
      </c>
      <c r="L16" s="3078">
        <f t="shared" si="3"/>
        <v>-0.2730146227777514</v>
      </c>
      <c r="M16" s="3128">
        <f t="shared" si="4"/>
        <v>-0.32716503040651151</v>
      </c>
      <c r="N16" s="3078">
        <f t="shared" si="9"/>
        <v>6373.6429551144756</v>
      </c>
      <c r="O16" s="3078">
        <f t="shared" si="9"/>
        <v>-2.0549201877291057</v>
      </c>
      <c r="P16" s="3078">
        <f t="shared" si="9"/>
        <v>6371.5880349267463</v>
      </c>
      <c r="Q16" s="3078">
        <f t="shared" si="9"/>
        <v>517.54000875378051</v>
      </c>
      <c r="R16" s="3573">
        <f t="shared" si="9"/>
        <v>246.20569022645788</v>
      </c>
      <c r="S16" s="3573">
        <f t="shared" si="9"/>
        <v>-1753.989875880683</v>
      </c>
      <c r="T16" s="3573">
        <f t="shared" si="9"/>
        <v>-38.098405916829947</v>
      </c>
      <c r="U16" s="3570">
        <f>IF(SUM(U17,U19,U23,U25,U27)=0,"IE",SUM(U17,U19,U23,U25,U27))</f>
        <v>-19591.899991068061</v>
      </c>
      <c r="W16" s="2019"/>
    </row>
    <row r="17" spans="2:23" ht="18" customHeight="1" x14ac:dyDescent="0.2">
      <c r="B17" s="487" t="s">
        <v>1042</v>
      </c>
      <c r="C17" s="504"/>
      <c r="D17" s="3568">
        <f>D18</f>
        <v>60.856999999999999</v>
      </c>
      <c r="E17" s="3571">
        <f t="shared" ref="E17:U17" si="10">E18</f>
        <v>60.856999999999999</v>
      </c>
      <c r="F17" s="3572" t="str">
        <f t="shared" si="10"/>
        <v>NO</v>
      </c>
      <c r="G17" s="3558">
        <f t="shared" si="6"/>
        <v>1.5847807154476887</v>
      </c>
      <c r="H17" s="3078" t="str">
        <f t="shared" si="6"/>
        <v>NA</v>
      </c>
      <c r="I17" s="3078">
        <f t="shared" si="6"/>
        <v>1.5847807154476887</v>
      </c>
      <c r="J17" s="3078">
        <f t="shared" si="6"/>
        <v>2.1279392674630689E-2</v>
      </c>
      <c r="K17" s="3078">
        <f t="shared" si="6"/>
        <v>1.0089225561562356E-2</v>
      </c>
      <c r="L17" s="3078">
        <f t="shared" si="3"/>
        <v>-0.39576383982122026</v>
      </c>
      <c r="M17" s="3128" t="str">
        <f t="shared" si="4"/>
        <v>NA</v>
      </c>
      <c r="N17" s="3078">
        <f t="shared" si="10"/>
        <v>96.444999999999993</v>
      </c>
      <c r="O17" s="3078" t="str">
        <f t="shared" si="10"/>
        <v>IE</v>
      </c>
      <c r="P17" s="3078">
        <f t="shared" si="10"/>
        <v>96.444999999999993</v>
      </c>
      <c r="Q17" s="3078">
        <f t="shared" si="10"/>
        <v>1.2949999999999999</v>
      </c>
      <c r="R17" s="3573">
        <f t="shared" si="10"/>
        <v>0.61400000000000032</v>
      </c>
      <c r="S17" s="3573">
        <f t="shared" si="10"/>
        <v>-24.085000000000001</v>
      </c>
      <c r="T17" s="3573" t="str">
        <f t="shared" si="10"/>
        <v>NO</v>
      </c>
      <c r="U17" s="3570">
        <f t="shared" si="10"/>
        <v>-272.31966666666671</v>
      </c>
      <c r="W17" s="2019"/>
    </row>
    <row r="18" spans="2:23" ht="18" customHeight="1" x14ac:dyDescent="0.2">
      <c r="B18" s="488"/>
      <c r="C18" s="508" t="s">
        <v>278</v>
      </c>
      <c r="D18" s="3568">
        <f>IF(SUM(E18:F18)=0,E18,SUM(E18:F18))</f>
        <v>60.856999999999999</v>
      </c>
      <c r="E18" s="3569">
        <v>60.856999999999999</v>
      </c>
      <c r="F18" s="3554" t="s">
        <v>2146</v>
      </c>
      <c r="G18" s="3558">
        <f t="shared" si="6"/>
        <v>1.5847807154476887</v>
      </c>
      <c r="H18" s="3078" t="str">
        <f t="shared" si="6"/>
        <v>NA</v>
      </c>
      <c r="I18" s="3078">
        <f t="shared" si="6"/>
        <v>1.5847807154476887</v>
      </c>
      <c r="J18" s="3078">
        <f t="shared" si="6"/>
        <v>2.1279392674630689E-2</v>
      </c>
      <c r="K18" s="3078">
        <f t="shared" si="6"/>
        <v>1.0089225561562356E-2</v>
      </c>
      <c r="L18" s="3078">
        <f t="shared" si="3"/>
        <v>-0.39576383982122026</v>
      </c>
      <c r="M18" s="3128" t="str">
        <f t="shared" si="4"/>
        <v>NA</v>
      </c>
      <c r="N18" s="2905">
        <v>96.444999999999993</v>
      </c>
      <c r="O18" s="2905" t="s">
        <v>2153</v>
      </c>
      <c r="P18" s="3109">
        <f>IF(SUM(N18:O18)=0,N18,SUM(N18:O18))</f>
        <v>96.444999999999993</v>
      </c>
      <c r="Q18" s="2905">
        <v>1.2949999999999999</v>
      </c>
      <c r="R18" s="2906">
        <v>0.61400000000000032</v>
      </c>
      <c r="S18" s="2906">
        <v>-24.085000000000001</v>
      </c>
      <c r="T18" s="2906" t="s">
        <v>2146</v>
      </c>
      <c r="U18" s="3570">
        <f t="shared" ref="U18" si="11">IF(SUM(P18:T18)=0,P18,SUM(P18:T18)*-44/12)</f>
        <v>-272.31966666666671</v>
      </c>
      <c r="W18" s="2398"/>
    </row>
    <row r="19" spans="2:23" ht="18" customHeight="1" x14ac:dyDescent="0.2">
      <c r="B19" s="487" t="s">
        <v>1043</v>
      </c>
      <c r="C19" s="504"/>
      <c r="D19" s="3563">
        <f>IF(SUM(D20:D22)=0,"IE",SUM(D20:D22))</f>
        <v>6326.2812214174592</v>
      </c>
      <c r="E19" s="3571">
        <f t="shared" ref="E19:U19" si="12">IF(SUM(E20:E22)=0,"IE",SUM(E20:E22))</f>
        <v>6326.2812214174592</v>
      </c>
      <c r="F19" s="3572" t="str">
        <f t="shared" si="12"/>
        <v>IE</v>
      </c>
      <c r="G19" s="3558">
        <f t="shared" si="6"/>
        <v>0.81212683992525669</v>
      </c>
      <c r="H19" s="3078">
        <f t="shared" si="6"/>
        <v>-3.2482276961893938E-4</v>
      </c>
      <c r="I19" s="3078">
        <f t="shared" si="6"/>
        <v>0.81180201715563771</v>
      </c>
      <c r="J19" s="3078">
        <f t="shared" si="6"/>
        <v>9.8066830180701697E-2</v>
      </c>
      <c r="K19" s="3078">
        <f t="shared" si="6"/>
        <v>3.390752666324362E-2</v>
      </c>
      <c r="L19" s="3078">
        <f t="shared" si="3"/>
        <v>-0.26931364829509458</v>
      </c>
      <c r="M19" s="3128" t="str">
        <f t="shared" si="4"/>
        <v>NA</v>
      </c>
      <c r="N19" s="3078">
        <f t="shared" si="12"/>
        <v>5137.7427768282541</v>
      </c>
      <c r="O19" s="3078">
        <f t="shared" si="12"/>
        <v>-2.0549201877291057</v>
      </c>
      <c r="P19" s="3078">
        <f t="shared" si="12"/>
        <v>5135.6878566405248</v>
      </c>
      <c r="Q19" s="3078">
        <f t="shared" si="12"/>
        <v>620.39834621610805</v>
      </c>
      <c r="R19" s="3573">
        <f t="shared" si="12"/>
        <v>214.5085491943899</v>
      </c>
      <c r="S19" s="3573">
        <f t="shared" si="12"/>
        <v>-1703.7538758806829</v>
      </c>
      <c r="T19" s="3573" t="str">
        <f t="shared" si="12"/>
        <v>IE</v>
      </c>
      <c r="U19" s="3570">
        <f t="shared" si="12"/>
        <v>-15645.083212624579</v>
      </c>
      <c r="W19" s="2019"/>
    </row>
    <row r="20" spans="2:23" ht="18" customHeight="1" x14ac:dyDescent="0.2">
      <c r="B20" s="496"/>
      <c r="C20" s="508" t="s">
        <v>2223</v>
      </c>
      <c r="D20" s="3568">
        <f>IF(SUM(E20:F20)=0,E20,SUM(E20:F20))</f>
        <v>1705.6859999999988</v>
      </c>
      <c r="E20" s="3569">
        <v>1705.6859999999988</v>
      </c>
      <c r="F20" s="3554" t="s">
        <v>2146</v>
      </c>
      <c r="G20" s="3558">
        <f t="shared" si="6"/>
        <v>1.4868363813738301</v>
      </c>
      <c r="H20" s="3078" t="str">
        <f t="shared" si="6"/>
        <v>NA</v>
      </c>
      <c r="I20" s="3078">
        <f t="shared" si="6"/>
        <v>1.4868363813738301</v>
      </c>
      <c r="J20" s="3078">
        <f t="shared" si="6"/>
        <v>1.5802439604944856E-2</v>
      </c>
      <c r="K20" s="3078">
        <f t="shared" si="6"/>
        <v>9.0913567913437441E-3</v>
      </c>
      <c r="L20" s="3078">
        <f t="shared" si="3"/>
        <v>-0.39905527746607528</v>
      </c>
      <c r="M20" s="3128" t="str">
        <f t="shared" si="4"/>
        <v>NA</v>
      </c>
      <c r="N20" s="2905">
        <v>2536.0760000000009</v>
      </c>
      <c r="O20" s="2905" t="s">
        <v>2153</v>
      </c>
      <c r="P20" s="3109">
        <f>IF(SUM(N20:O20)=0,N20,SUM(N20:O20))</f>
        <v>2536.0760000000009</v>
      </c>
      <c r="Q20" s="2905">
        <v>26.953999999999951</v>
      </c>
      <c r="R20" s="2906">
        <v>15.506999999999934</v>
      </c>
      <c r="S20" s="2906">
        <v>-680.66299999999956</v>
      </c>
      <c r="T20" s="2906" t="s">
        <v>2146</v>
      </c>
      <c r="U20" s="3570">
        <f t="shared" ref="U20:U22" si="13">IF(SUM(P20:T20)=0,P20,SUM(P20:T20)*-44/12)</f>
        <v>-6958.8713333333371</v>
      </c>
      <c r="W20" s="2398"/>
    </row>
    <row r="21" spans="2:23" ht="18" customHeight="1" x14ac:dyDescent="0.2">
      <c r="B21" s="500"/>
      <c r="C21" s="508" t="s">
        <v>2291</v>
      </c>
      <c r="D21" s="3568">
        <f>IF(SUM(E21:F21)=0,E21,SUM(E21:F21))</f>
        <v>4620.5952214174604</v>
      </c>
      <c r="E21" s="3569">
        <v>4620.5952214174604</v>
      </c>
      <c r="F21" s="3554" t="s">
        <v>2146</v>
      </c>
      <c r="G21" s="3558">
        <f t="shared" si="6"/>
        <v>0.56305879484291632</v>
      </c>
      <c r="H21" s="3078" t="str">
        <f t="shared" si="6"/>
        <v>NA</v>
      </c>
      <c r="I21" s="3078">
        <f t="shared" si="6"/>
        <v>0.56305879484291632</v>
      </c>
      <c r="J21" s="3078">
        <f t="shared" si="6"/>
        <v>0.12847213914686845</v>
      </c>
      <c r="K21" s="3078">
        <f t="shared" si="6"/>
        <v>4.3068379647707426E-2</v>
      </c>
      <c r="L21" s="3078">
        <f t="shared" si="3"/>
        <v>-0.22141971474550193</v>
      </c>
      <c r="M21" s="3128" t="str">
        <f t="shared" si="4"/>
        <v>NA</v>
      </c>
      <c r="N21" s="2905">
        <v>2601.6667768282532</v>
      </c>
      <c r="O21" s="2905" t="s">
        <v>2153</v>
      </c>
      <c r="P21" s="3109">
        <f t="shared" ref="P21:P28" si="14">IF(SUM(N21:O21)=0,N21,SUM(N21:O21))</f>
        <v>2601.6667768282532</v>
      </c>
      <c r="Q21" s="2905">
        <v>593.61775222729943</v>
      </c>
      <c r="R21" s="2906">
        <v>199.00154919438995</v>
      </c>
      <c r="S21" s="2906">
        <v>-1023.0908758806834</v>
      </c>
      <c r="T21" s="2906" t="s">
        <v>2146</v>
      </c>
      <c r="U21" s="3570">
        <f t="shared" si="13"/>
        <v>-8694.3824086872846</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-2.0549201877291057</v>
      </c>
      <c r="P22" s="3109">
        <f t="shared" si="14"/>
        <v>-2.0549201877291057</v>
      </c>
      <c r="Q22" s="2905">
        <v>-0.17340601119137805</v>
      </c>
      <c r="R22" s="2906" t="s">
        <v>2147</v>
      </c>
      <c r="S22" s="2906" t="s">
        <v>2147</v>
      </c>
      <c r="T22" s="2906" t="s">
        <v>2147</v>
      </c>
      <c r="U22" s="3570">
        <f t="shared" si="13"/>
        <v>8.1705293960417738</v>
      </c>
      <c r="W22" s="2398"/>
    </row>
    <row r="23" spans="2:23" ht="18" customHeight="1" x14ac:dyDescent="0.2">
      <c r="B23" s="487" t="s">
        <v>1044</v>
      </c>
      <c r="C23" s="504"/>
      <c r="D23" s="3568">
        <f>D24</f>
        <v>116.45011653443412</v>
      </c>
      <c r="E23" s="3571" t="str">
        <f t="shared" ref="E23" si="15">E24</f>
        <v>NO</v>
      </c>
      <c r="F23" s="3572">
        <f t="shared" ref="F23" si="16">F24</f>
        <v>116.45011653443412</v>
      </c>
      <c r="G23" s="3558">
        <f t="shared" si="6"/>
        <v>9.2023796126416517</v>
      </c>
      <c r="H23" s="3078" t="str">
        <f t="shared" si="6"/>
        <v>NA</v>
      </c>
      <c r="I23" s="3078">
        <f t="shared" si="6"/>
        <v>9.2023796126416517</v>
      </c>
      <c r="J23" s="3078">
        <f t="shared" si="6"/>
        <v>-0.89235065240660516</v>
      </c>
      <c r="K23" s="3078">
        <f t="shared" si="6"/>
        <v>0.26196745816950162</v>
      </c>
      <c r="L23" s="3078" t="str">
        <f t="shared" si="3"/>
        <v>NA</v>
      </c>
      <c r="M23" s="3128">
        <f t="shared" si="4"/>
        <v>-0.32716503040651151</v>
      </c>
      <c r="N23" s="3078">
        <f t="shared" ref="N23" si="17">N24</f>
        <v>1071.6181782862211</v>
      </c>
      <c r="O23" s="3078" t="str">
        <f t="shared" ref="O23" si="18">O24</f>
        <v>IE</v>
      </c>
      <c r="P23" s="3078">
        <f t="shared" ref="P23" si="19">P24</f>
        <v>1071.6181782862211</v>
      </c>
      <c r="Q23" s="3078">
        <f t="shared" ref="Q23" si="20">Q24</f>
        <v>-103.91433746232748</v>
      </c>
      <c r="R23" s="3573">
        <f t="shared" ref="R23" si="21">R24</f>
        <v>30.506141032067958</v>
      </c>
      <c r="S23" s="3573" t="str">
        <f t="shared" ref="S23" si="22">S24</f>
        <v>NO</v>
      </c>
      <c r="T23" s="3573">
        <f t="shared" ref="T23" si="23">T24</f>
        <v>-38.098405916829947</v>
      </c>
      <c r="U23" s="3570">
        <f t="shared" ref="U23" si="24">U24</f>
        <v>-3520.4091117768162</v>
      </c>
      <c r="W23" s="2019"/>
    </row>
    <row r="24" spans="2:23" ht="18" customHeight="1" x14ac:dyDescent="0.2">
      <c r="B24" s="488"/>
      <c r="C24" s="508" t="s">
        <v>278</v>
      </c>
      <c r="D24" s="3568">
        <f>IF(SUM(E24:F24)=0,E24,SUM(E24:F24))</f>
        <v>116.45011653443412</v>
      </c>
      <c r="E24" s="3569" t="s">
        <v>2146</v>
      </c>
      <c r="F24" s="3554">
        <v>116.45011653443412</v>
      </c>
      <c r="G24" s="3558">
        <f t="shared" si="6"/>
        <v>9.2023796126416517</v>
      </c>
      <c r="H24" s="3078" t="str">
        <f t="shared" si="6"/>
        <v>NA</v>
      </c>
      <c r="I24" s="3078">
        <f t="shared" si="6"/>
        <v>9.2023796126416517</v>
      </c>
      <c r="J24" s="3078">
        <f t="shared" si="6"/>
        <v>-0.89235065240660516</v>
      </c>
      <c r="K24" s="3078">
        <f t="shared" si="6"/>
        <v>0.26196745816950162</v>
      </c>
      <c r="L24" s="3078" t="str">
        <f t="shared" si="3"/>
        <v>NA</v>
      </c>
      <c r="M24" s="3128">
        <f t="shared" si="4"/>
        <v>-0.32716503040651151</v>
      </c>
      <c r="N24" s="2905">
        <v>1071.6181782862211</v>
      </c>
      <c r="O24" s="2905" t="s">
        <v>2153</v>
      </c>
      <c r="P24" s="3109">
        <f t="shared" si="14"/>
        <v>1071.6181782862211</v>
      </c>
      <c r="Q24" s="2905">
        <v>-103.91433746232748</v>
      </c>
      <c r="R24" s="2906">
        <v>30.506141032067958</v>
      </c>
      <c r="S24" s="2906" t="s">
        <v>2146</v>
      </c>
      <c r="T24" s="2906">
        <v>-38.098405916829947</v>
      </c>
      <c r="U24" s="3570">
        <f t="shared" ref="U24" si="25">IF(SUM(P24:T24)=0,P24,SUM(P24:T24)*-44/12)</f>
        <v>-3520.4091117768162</v>
      </c>
      <c r="W24" s="2398"/>
    </row>
    <row r="25" spans="2:23" ht="18" customHeight="1" x14ac:dyDescent="0.2">
      <c r="B25" s="487" t="s">
        <v>1045</v>
      </c>
      <c r="C25" s="504"/>
      <c r="D25" s="3568">
        <f>D26</f>
        <v>37.389000000000003</v>
      </c>
      <c r="E25" s="3571">
        <f t="shared" ref="E25" si="26">E26</f>
        <v>37.389000000000003</v>
      </c>
      <c r="F25" s="3572" t="str">
        <f t="shared" ref="F25" si="27">F26</f>
        <v>NO</v>
      </c>
      <c r="G25" s="3558">
        <f t="shared" si="6"/>
        <v>1.8143571638717266</v>
      </c>
      <c r="H25" s="3078" t="str">
        <f t="shared" si="6"/>
        <v>NA</v>
      </c>
      <c r="I25" s="3078">
        <f t="shared" si="6"/>
        <v>1.8143571638717266</v>
      </c>
      <c r="J25" s="3078">
        <f t="shared" si="6"/>
        <v>-6.3922544063762035E-3</v>
      </c>
      <c r="K25" s="3078">
        <f t="shared" si="6"/>
        <v>1.5432346412046327E-2</v>
      </c>
      <c r="L25" s="3078">
        <f t="shared" si="3"/>
        <v>-0.69943031372863673</v>
      </c>
      <c r="M25" s="3128" t="str">
        <f t="shared" si="4"/>
        <v>NA</v>
      </c>
      <c r="N25" s="3078">
        <f t="shared" ref="N25" si="28">N26</f>
        <v>67.836999999999989</v>
      </c>
      <c r="O25" s="3078" t="str">
        <f t="shared" ref="O25" si="29">O26</f>
        <v>IE</v>
      </c>
      <c r="P25" s="3078">
        <f t="shared" ref="P25" si="30">P26</f>
        <v>67.836999999999989</v>
      </c>
      <c r="Q25" s="3078">
        <f t="shared" ref="Q25" si="31">Q26</f>
        <v>-0.23899999999999988</v>
      </c>
      <c r="R25" s="3573">
        <f t="shared" ref="R25" si="32">R26</f>
        <v>0.57700000000000018</v>
      </c>
      <c r="S25" s="3573">
        <f t="shared" ref="S25" si="33">S26</f>
        <v>-26.151</v>
      </c>
      <c r="T25" s="3573" t="str">
        <f t="shared" ref="T25" si="34">T26</f>
        <v>NO</v>
      </c>
      <c r="U25" s="3570">
        <f t="shared" ref="U25" si="35">U26</f>
        <v>-154.08799999999994</v>
      </c>
      <c r="W25" s="2019"/>
    </row>
    <row r="26" spans="2:23" ht="18" customHeight="1" x14ac:dyDescent="0.2">
      <c r="B26" s="488"/>
      <c r="C26" s="508" t="s">
        <v>278</v>
      </c>
      <c r="D26" s="3568">
        <f>IF(SUM(E26:F26)=0,E26,SUM(E26:F26))</f>
        <v>37.389000000000003</v>
      </c>
      <c r="E26" s="3569">
        <v>37.389000000000003</v>
      </c>
      <c r="F26" s="3554" t="s">
        <v>2146</v>
      </c>
      <c r="G26" s="3558">
        <f t="shared" si="6"/>
        <v>1.8143571638717266</v>
      </c>
      <c r="H26" s="3078" t="str">
        <f t="shared" si="6"/>
        <v>NA</v>
      </c>
      <c r="I26" s="3078">
        <f t="shared" si="6"/>
        <v>1.8143571638717266</v>
      </c>
      <c r="J26" s="3078">
        <f t="shared" si="6"/>
        <v>-6.3922544063762035E-3</v>
      </c>
      <c r="K26" s="3078">
        <f t="shared" si="6"/>
        <v>1.5432346412046327E-2</v>
      </c>
      <c r="L26" s="3078">
        <f t="shared" si="3"/>
        <v>-0.69943031372863673</v>
      </c>
      <c r="M26" s="3128" t="str">
        <f t="shared" si="4"/>
        <v>NA</v>
      </c>
      <c r="N26" s="2905">
        <v>67.836999999999989</v>
      </c>
      <c r="O26" s="2905" t="s">
        <v>2153</v>
      </c>
      <c r="P26" s="3109">
        <f t="shared" si="14"/>
        <v>67.836999999999989</v>
      </c>
      <c r="Q26" s="2905">
        <v>-0.23899999999999988</v>
      </c>
      <c r="R26" s="2906">
        <v>0.57700000000000018</v>
      </c>
      <c r="S26" s="2906">
        <v>-26.151</v>
      </c>
      <c r="T26" s="2906" t="s">
        <v>2146</v>
      </c>
      <c r="U26" s="3570">
        <f t="shared" ref="U26" si="36">IF(SUM(P26:T26)=0,P26,SUM(P26:T26)*-44/12)</f>
        <v>-154.08799999999994</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39813.92788659181</v>
      </c>
      <c r="E10" s="3583">
        <f t="shared" ref="E10:F10" si="0">IF(SUM(E11,E13)=0,"IE",SUM(E11,E13))</f>
        <v>39810.92788659181</v>
      </c>
      <c r="F10" s="3584">
        <f t="shared" si="0"/>
        <v>3</v>
      </c>
      <c r="G10" s="3558">
        <f>IFERROR(IF(SUM($D10)=0,"NA",M10/$D10),"NA")</f>
        <v>8.7265265114794515E-4</v>
      </c>
      <c r="H10" s="3583">
        <f t="shared" ref="H10:J10" si="1">IFERROR(IF(SUM($D10)=0,"NA",N10/$D10),"NA")</f>
        <v>-1.5973179079730324E-2</v>
      </c>
      <c r="I10" s="3583">
        <f t="shared" si="1"/>
        <v>-1.5100526428582379E-2</v>
      </c>
      <c r="J10" s="3583">
        <f t="shared" si="1"/>
        <v>-9.572554636799617E-3</v>
      </c>
      <c r="K10" s="3585">
        <f>IFERROR(IF(SUM(E10)=0,"NA",Q10/E10),"NA")</f>
        <v>-8.4124103710075393E-3</v>
      </c>
      <c r="L10" s="3584">
        <f>IFERROR(IF(SUM(F10)=0,"NA",R10/F10),"NA")</f>
        <v>-12.475</v>
      </c>
      <c r="M10" s="3586">
        <f>IF(SUM(M11,M13)=0,"IE",SUM(M11,M13))</f>
        <v>34.743729722847448</v>
      </c>
      <c r="N10" s="3583">
        <f t="shared" ref="N10:S10" si="2">IF(SUM(N11,N13)=0,"IE",SUM(N11,N13))</f>
        <v>-635.95500000000004</v>
      </c>
      <c r="O10" s="3587">
        <f t="shared" si="2"/>
        <v>-601.21127027715261</v>
      </c>
      <c r="P10" s="3583">
        <f t="shared" si="2"/>
        <v>-381.12099999999998</v>
      </c>
      <c r="Q10" s="3585">
        <f t="shared" si="2"/>
        <v>-334.9058626325982</v>
      </c>
      <c r="R10" s="3585">
        <f t="shared" si="2"/>
        <v>-37.424999999999997</v>
      </c>
      <c r="S10" s="3588">
        <f t="shared" si="2"/>
        <v>4967.0981540024186</v>
      </c>
      <c r="U10" s="2261"/>
    </row>
    <row r="11" spans="2:21" ht="18" customHeight="1" x14ac:dyDescent="0.2">
      <c r="B11" s="499" t="s">
        <v>985</v>
      </c>
      <c r="C11" s="2256"/>
      <c r="D11" s="3589">
        <f>D12</f>
        <v>37665.919945563997</v>
      </c>
      <c r="E11" s="3078">
        <f t="shared" ref="E11" si="3">E12</f>
        <v>37665.919945563997</v>
      </c>
      <c r="F11" s="3078" t="str">
        <f t="shared" ref="F11" si="4">F12</f>
        <v>IE</v>
      </c>
      <c r="G11" s="3558">
        <f t="shared" ref="G11:G23" si="5">IFERROR(IF(SUM($D11)=0,"NA",M11/$D11),"NA")</f>
        <v>9.224181905834294E-4</v>
      </c>
      <c r="H11" s="3078" t="str">
        <f t="shared" ref="H11:H23" si="6">IFERROR(IF(SUM($D11)=0,"NA",N11/$D11),"NA")</f>
        <v>NA</v>
      </c>
      <c r="I11" s="3078">
        <f t="shared" ref="I11:I23" si="7">IFERROR(IF(SUM($D11)=0,"NA",O11/$D11),"NA")</f>
        <v>9.224181905834294E-4</v>
      </c>
      <c r="J11" s="3078" t="str">
        <f t="shared" ref="J11:J23" si="8">IFERROR(IF(SUM($D11)=0,"NA",P11/$D11),"NA")</f>
        <v>NA</v>
      </c>
      <c r="K11" s="3573">
        <f t="shared" ref="K11:K23" si="9">IFERROR(IF(SUM(E11)=0,"NA",Q11/E11),"NA")</f>
        <v>6.3200344580868475E-3</v>
      </c>
      <c r="L11" s="3128" t="str">
        <f t="shared" ref="L11:L23" si="10">IFERROR(IF(SUM(F11)=0,"NA",R11/F11),"NA")</f>
        <v>NA</v>
      </c>
      <c r="M11" s="3590">
        <f t="shared" ref="M11" si="11">M12</f>
        <v>34.743729722847448</v>
      </c>
      <c r="N11" s="3591" t="str">
        <f t="shared" ref="N11" si="12">N12</f>
        <v>IE</v>
      </c>
      <c r="O11" s="3592">
        <f t="shared" ref="O11" si="13">O12</f>
        <v>34.743729722847448</v>
      </c>
      <c r="P11" s="3591" t="str">
        <f t="shared" ref="P11" si="14">P12</f>
        <v>NA</v>
      </c>
      <c r="Q11" s="3593">
        <f t="shared" ref="Q11" si="15">Q12</f>
        <v>238.04991195150515</v>
      </c>
      <c r="R11" s="3593" t="str">
        <f t="shared" ref="R11" si="16">R12</f>
        <v>IE</v>
      </c>
      <c r="S11" s="3594">
        <f t="shared" ref="S11" si="17">S12</f>
        <v>-1000.2433528059596</v>
      </c>
      <c r="U11" s="2258"/>
    </row>
    <row r="12" spans="2:21" ht="18" customHeight="1" x14ac:dyDescent="0.2">
      <c r="B12" s="501"/>
      <c r="C12" s="508" t="s">
        <v>278</v>
      </c>
      <c r="D12" s="3568">
        <f>IF(SUM(E12:F12)=0,E12,SUM(E12:F12))</f>
        <v>37665.919945563997</v>
      </c>
      <c r="E12" s="3569">
        <v>37665.919945563997</v>
      </c>
      <c r="F12" s="3554" t="s">
        <v>2153</v>
      </c>
      <c r="G12" s="3558">
        <f t="shared" si="5"/>
        <v>9.224181905834294E-4</v>
      </c>
      <c r="H12" s="3078" t="str">
        <f t="shared" si="6"/>
        <v>NA</v>
      </c>
      <c r="I12" s="3078">
        <f t="shared" si="7"/>
        <v>9.224181905834294E-4</v>
      </c>
      <c r="J12" s="3078" t="str">
        <f t="shared" si="8"/>
        <v>NA</v>
      </c>
      <c r="K12" s="3573">
        <f t="shared" si="9"/>
        <v>6.3200344580868475E-3</v>
      </c>
      <c r="L12" s="3128" t="str">
        <f t="shared" si="10"/>
        <v>NA</v>
      </c>
      <c r="M12" s="2905">
        <v>34.743729722847448</v>
      </c>
      <c r="N12" s="2905" t="s">
        <v>2153</v>
      </c>
      <c r="O12" s="3109">
        <f>IF(SUM(M12:N12)=0,M12,SUM(M12:N12))</f>
        <v>34.743729722847448</v>
      </c>
      <c r="P12" s="2905" t="s">
        <v>2147</v>
      </c>
      <c r="Q12" s="2906">
        <v>238.04991195150515</v>
      </c>
      <c r="R12" s="2906" t="s">
        <v>2153</v>
      </c>
      <c r="S12" s="3594">
        <f>IF(SUM(O12:R12)=0,Q12,SUM(O12:R12)*-44/12)</f>
        <v>-1000.2433528059596</v>
      </c>
      <c r="U12" s="2398"/>
    </row>
    <row r="13" spans="2:21" ht="18" customHeight="1" x14ac:dyDescent="0.2">
      <c r="B13" s="485" t="s">
        <v>1054</v>
      </c>
      <c r="C13" s="504"/>
      <c r="D13" s="3589">
        <f>IF(SUM(D14,D16,D18,D20,D22)=0,"IE",SUM(D14,D16,D18,D20,D22))</f>
        <v>2148.0079410278122</v>
      </c>
      <c r="E13" s="3591">
        <f t="shared" ref="E13:F13" si="18">IF(SUM(E14,E16,E18,E20,E22)=0,"IE",SUM(E14,E16,E18,E20,E22))</f>
        <v>2145.0079410278122</v>
      </c>
      <c r="F13" s="3595">
        <f t="shared" si="18"/>
        <v>3</v>
      </c>
      <c r="G13" s="3558" t="str">
        <f t="shared" si="5"/>
        <v>NA</v>
      </c>
      <c r="H13" s="3078">
        <f t="shared" si="6"/>
        <v>-0.29606734121089812</v>
      </c>
      <c r="I13" s="3078">
        <f t="shared" si="7"/>
        <v>-0.29606734121089812</v>
      </c>
      <c r="J13" s="3078">
        <f t="shared" si="8"/>
        <v>-0.17742997719907649</v>
      </c>
      <c r="K13" s="3573">
        <f t="shared" si="9"/>
        <v>-0.26711126034785826</v>
      </c>
      <c r="L13" s="3128">
        <f t="shared" si="10"/>
        <v>-12.475</v>
      </c>
      <c r="M13" s="3590" t="str">
        <f>IF(SUM(M14,M16,M18,M20,M22)=0,"IE",SUM(M14,M16,M18,M20,M22))</f>
        <v>IE</v>
      </c>
      <c r="N13" s="3591">
        <f t="shared" ref="N13" si="19">IF(SUM(N14,N16,N18,N20,N22)=0,"IE",SUM(N14,N16,N18,N20,N22))</f>
        <v>-635.95500000000004</v>
      </c>
      <c r="O13" s="3592">
        <f t="shared" ref="O13" si="20">IF(SUM(O14,O16,O18,O20,O22)=0,"IE",SUM(O14,O16,O18,O20,O22))</f>
        <v>-635.95500000000004</v>
      </c>
      <c r="P13" s="3592">
        <f t="shared" ref="P13" si="21">IF(SUM(P14,P16,P18,P20,P22)=0,"IE",SUM(P14,P16,P18,P20,P22))</f>
        <v>-381.12099999999998</v>
      </c>
      <c r="Q13" s="3592">
        <f t="shared" ref="Q13" si="22">IF(SUM(Q14,Q16,Q18,Q20,Q22)=0,"IE",SUM(Q14,Q16,Q18,Q20,Q22))</f>
        <v>-572.95577458410332</v>
      </c>
      <c r="R13" s="3592">
        <f t="shared" ref="R13" si="23">IF(SUM(R14,R16,R18,R20,R22)=0,"IE",SUM(R14,R16,R18,R20,R22))</f>
        <v>-37.424999999999997</v>
      </c>
      <c r="S13" s="3594">
        <f t="shared" ref="S13" si="24">IF(SUM(S14,S16,S18,S20,S22)=0,"IE",SUM(S14,S16,S18,S20,S22))</f>
        <v>5967.3415068083787</v>
      </c>
      <c r="U13" s="503"/>
    </row>
    <row r="14" spans="2:21" ht="18" customHeight="1" x14ac:dyDescent="0.2">
      <c r="B14" s="487" t="s">
        <v>1055</v>
      </c>
      <c r="C14" s="504"/>
      <c r="D14" s="3589">
        <f>D15</f>
        <v>2135.3470000000002</v>
      </c>
      <c r="E14" s="3078">
        <f t="shared" ref="E14" si="25">E15</f>
        <v>2135.3470000000002</v>
      </c>
      <c r="F14" s="3078" t="str">
        <f t="shared" ref="F14" si="26">F15</f>
        <v>IE</v>
      </c>
      <c r="G14" s="3558" t="str">
        <f t="shared" si="5"/>
        <v>NA</v>
      </c>
      <c r="H14" s="3078">
        <f t="shared" si="6"/>
        <v>-0.29782278945763851</v>
      </c>
      <c r="I14" s="3078">
        <f t="shared" si="7"/>
        <v>-0.29782278945763851</v>
      </c>
      <c r="J14" s="3078">
        <f t="shared" si="8"/>
        <v>-0.17848199847612586</v>
      </c>
      <c r="K14" s="3573">
        <f t="shared" si="9"/>
        <v>-0.25510233231413909</v>
      </c>
      <c r="L14" s="3128" t="str">
        <f t="shared" si="10"/>
        <v>NA</v>
      </c>
      <c r="M14" s="3590" t="str">
        <f t="shared" ref="M14" si="27">M15</f>
        <v>IE</v>
      </c>
      <c r="N14" s="3591">
        <f t="shared" ref="N14" si="28">N15</f>
        <v>-635.95500000000004</v>
      </c>
      <c r="O14" s="3592">
        <f t="shared" ref="O14" si="29">O15</f>
        <v>-635.95500000000004</v>
      </c>
      <c r="P14" s="3591">
        <f t="shared" ref="P14" si="30">P15</f>
        <v>-381.12099999999998</v>
      </c>
      <c r="Q14" s="3593">
        <f t="shared" ref="Q14" si="31">Q15</f>
        <v>-544.73199999999997</v>
      </c>
      <c r="R14" s="3593" t="str">
        <f t="shared" ref="R14" si="32">R15</f>
        <v>IE</v>
      </c>
      <c r="S14" s="3594">
        <f t="shared" ref="S14" si="33">S15</f>
        <v>5726.6293333333333</v>
      </c>
      <c r="U14" s="503"/>
    </row>
    <row r="15" spans="2:21" ht="18" customHeight="1" x14ac:dyDescent="0.2">
      <c r="B15" s="501"/>
      <c r="C15" s="508" t="s">
        <v>278</v>
      </c>
      <c r="D15" s="3568">
        <f>IF(SUM(E15:F15)=0,E15,SUM(E15:F15))</f>
        <v>2135.3470000000002</v>
      </c>
      <c r="E15" s="3569">
        <v>2135.3470000000002</v>
      </c>
      <c r="F15" s="3554" t="s">
        <v>2153</v>
      </c>
      <c r="G15" s="3558" t="str">
        <f t="shared" si="5"/>
        <v>NA</v>
      </c>
      <c r="H15" s="3078">
        <f t="shared" si="6"/>
        <v>-0.29782278945763851</v>
      </c>
      <c r="I15" s="3078">
        <f t="shared" si="7"/>
        <v>-0.29782278945763851</v>
      </c>
      <c r="J15" s="3078">
        <f t="shared" si="8"/>
        <v>-0.17848199847612586</v>
      </c>
      <c r="K15" s="3573">
        <f t="shared" si="9"/>
        <v>-0.25510233231413909</v>
      </c>
      <c r="L15" s="3128" t="str">
        <f t="shared" si="10"/>
        <v>NA</v>
      </c>
      <c r="M15" s="2905" t="s">
        <v>2153</v>
      </c>
      <c r="N15" s="2905">
        <v>-635.95500000000004</v>
      </c>
      <c r="O15" s="3109">
        <f>IF(SUM(M15:N15)=0,M15,SUM(M15:N15))</f>
        <v>-635.95500000000004</v>
      </c>
      <c r="P15" s="2905">
        <v>-381.12099999999998</v>
      </c>
      <c r="Q15" s="2906">
        <v>-544.73199999999997</v>
      </c>
      <c r="R15" s="2906" t="s">
        <v>2153</v>
      </c>
      <c r="S15" s="3594">
        <f>IF(SUM(O15:R15)=0,Q15,SUM(O15:R15)*-44/12)</f>
        <v>5726.6293333333333</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520067.23171456036</v>
      </c>
      <c r="E10" s="3583">
        <f t="shared" ref="E10:F10" si="0">IF(SUM(E11,E15)=0,"IE",SUM(E11,E15))</f>
        <v>520066.23171456036</v>
      </c>
      <c r="F10" s="3584">
        <f t="shared" si="0"/>
        <v>1</v>
      </c>
      <c r="G10" s="3558" t="str">
        <f>IFERROR(IF(SUM($D10)=0,"NA",M10/$D10),"NA")</f>
        <v>NA</v>
      </c>
      <c r="H10" s="3583">
        <f t="shared" ref="H10:J10" si="1">IFERROR(IF(SUM($D10)=0,"NA",N10/$D10),"NA")</f>
        <v>-3.0451302979603675E-2</v>
      </c>
      <c r="I10" s="3583">
        <f t="shared" si="1"/>
        <v>-3.0451302979603675E-2</v>
      </c>
      <c r="J10" s="3583">
        <f t="shared" si="1"/>
        <v>-3.2274932843095062E-3</v>
      </c>
      <c r="K10" s="3585">
        <f>IFERROR(IF(SUM(E10)=0,"NA",Q10/E10),"NA")</f>
        <v>5.6782943535329828E-3</v>
      </c>
      <c r="L10" s="3584">
        <f>IFERROR(IF(SUM(F10)=0,"NA",R10/F10),"NA")</f>
        <v>-8.7249999999999996</v>
      </c>
      <c r="M10" s="3586" t="str">
        <f>IF(SUM(M11,M15)=0,"IE",SUM(M11,M15))</f>
        <v>IE</v>
      </c>
      <c r="N10" s="3583">
        <f t="shared" ref="N10:S10" si="2">IF(SUM(N11,N15)=0,"IE",SUM(N11,N15))</f>
        <v>-15836.724842703827</v>
      </c>
      <c r="O10" s="3587">
        <f t="shared" si="2"/>
        <v>-15836.724842703827</v>
      </c>
      <c r="P10" s="3583">
        <f t="shared" si="2"/>
        <v>-1678.5134977481794</v>
      </c>
      <c r="Q10" s="3585">
        <f t="shared" si="2"/>
        <v>2953.0891470079641</v>
      </c>
      <c r="R10" s="3585">
        <f t="shared" si="2"/>
        <v>-8.7249999999999996</v>
      </c>
      <c r="S10" s="3588">
        <f t="shared" si="2"/>
        <v>53426.538709294837</v>
      </c>
      <c r="U10" s="2261"/>
    </row>
    <row r="11" spans="2:21" ht="18" customHeight="1" x14ac:dyDescent="0.2">
      <c r="B11" s="493" t="s">
        <v>988</v>
      </c>
      <c r="C11" s="483"/>
      <c r="D11" s="3599">
        <f>IF(SUM(D12:D14)=0,"IE",SUM(D12:D14))</f>
        <v>510300.05651178397</v>
      </c>
      <c r="E11" s="3564">
        <f t="shared" ref="E11:F11" si="3">IF(SUM(E12:E14)=0,"IE",SUM(E12:E14))</f>
        <v>510300.05651178397</v>
      </c>
      <c r="F11" s="3565" t="str">
        <f t="shared" si="3"/>
        <v>IE</v>
      </c>
      <c r="G11" s="3599" t="str">
        <f t="shared" ref="G11:G26" si="4">IFERROR(IF(SUM($D11)=0,"NA",M11/$D11),"NA")</f>
        <v>NA</v>
      </c>
      <c r="H11" s="3109">
        <f t="shared" ref="H11:H26" si="5">IFERROR(IF(SUM($D11)=0,"NA",N11/$D11),"NA")</f>
        <v>-4.8657045673480637E-3</v>
      </c>
      <c r="I11" s="3109">
        <f t="shared" ref="I11:I26" si="6">IFERROR(IF(SUM($D11)=0,"NA",O11/$D11),"NA")</f>
        <v>-4.8657045673480637E-3</v>
      </c>
      <c r="J11" s="3109">
        <f t="shared" ref="J11:J26" si="7">IFERROR(IF(SUM($D11)=0,"NA",P11/$D11),"NA")</f>
        <v>-1.0285064330052072E-3</v>
      </c>
      <c r="K11" s="3566">
        <f t="shared" ref="K11:K26" si="8">IFERROR(IF(SUM(E11)=0,"NA",Q11/E11),"NA")</f>
        <v>9.4460223980895267E-3</v>
      </c>
      <c r="L11" s="3249" t="str">
        <f t="shared" ref="L11:L26" si="9">IFERROR(IF(SUM(F11)=0,"NA",R11/F11),"NA")</f>
        <v>NA</v>
      </c>
      <c r="M11" s="3109" t="str">
        <f>IF(SUM(M12:M14)=0,"IE",SUM(M12:M14))</f>
        <v>IE</v>
      </c>
      <c r="N11" s="3109">
        <f t="shared" ref="N11:O11" si="10">IF(SUM(N12:N14)=0,"IE",SUM(N12:N14))</f>
        <v>-2482.9693156873623</v>
      </c>
      <c r="O11" s="3109">
        <f t="shared" si="10"/>
        <v>-2482.9693156873623</v>
      </c>
      <c r="P11" s="3109">
        <f t="shared" ref="P11" si="11">IF(SUM(P12:P14)=0,"IE",SUM(P12:P14))</f>
        <v>-524.84689088529058</v>
      </c>
      <c r="Q11" s="3566">
        <f t="shared" ref="Q11" si="12">IF(SUM(Q12:Q14)=0,"IE",SUM(Q12:Q14))</f>
        <v>4820.3057635566629</v>
      </c>
      <c r="R11" s="3566" t="str">
        <f t="shared" ref="R11" si="13">IF(SUM(R12:R14)=0,"IE",SUM(R12:R14))</f>
        <v>IE</v>
      </c>
      <c r="S11" s="3567">
        <f t="shared" ref="S11" si="14">IF(SUM(S12:S14)=0,"IE",SUM(S12:S14))</f>
        <v>-6645.7950422746999</v>
      </c>
      <c r="U11" s="2397"/>
    </row>
    <row r="12" spans="2:21" ht="18" customHeight="1" x14ac:dyDescent="0.2">
      <c r="B12" s="499"/>
      <c r="C12" s="484" t="s">
        <v>2226</v>
      </c>
      <c r="D12" s="3600">
        <f>IF(SUM(E12:F12)=0,E12,SUM(E12:F12))</f>
        <v>70456.100045431158</v>
      </c>
      <c r="E12" s="3569">
        <v>70456.100045431158</v>
      </c>
      <c r="F12" s="3554" t="s">
        <v>2153</v>
      </c>
      <c r="G12" s="3558" t="str">
        <f t="shared" si="4"/>
        <v>NA</v>
      </c>
      <c r="H12" s="3078">
        <f t="shared" si="5"/>
        <v>-2.9435326024859548E-3</v>
      </c>
      <c r="I12" s="3078">
        <f t="shared" si="6"/>
        <v>-2.9435326024859548E-3</v>
      </c>
      <c r="J12" s="3078">
        <f t="shared" si="7"/>
        <v>-5.8870652049719107E-4</v>
      </c>
      <c r="K12" s="3573">
        <f t="shared" si="8"/>
        <v>-2.3548260819887643E-3</v>
      </c>
      <c r="L12" s="3128" t="str">
        <f t="shared" si="9"/>
        <v>NA</v>
      </c>
      <c r="M12" s="2905" t="s">
        <v>2153</v>
      </c>
      <c r="N12" s="2905">
        <v>-207.38982752773876</v>
      </c>
      <c r="O12" s="3109">
        <f>IF(SUM(M12:N12)=0,M12,SUM(M12:N12))</f>
        <v>-207.38982752773876</v>
      </c>
      <c r="P12" s="2905">
        <v>-41.477965505547765</v>
      </c>
      <c r="Q12" s="2906">
        <v>-165.91186202219106</v>
      </c>
      <c r="R12" s="2906" t="s">
        <v>2153</v>
      </c>
      <c r="S12" s="3570">
        <f>IF(SUM(O12:R12)=0,Q12,SUM(O12:R12)*-44/12)</f>
        <v>1520.8587352034176</v>
      </c>
      <c r="U12" s="2398"/>
    </row>
    <row r="13" spans="2:21" ht="18" customHeight="1" x14ac:dyDescent="0.2">
      <c r="B13" s="499"/>
      <c r="C13" s="484" t="s">
        <v>2227</v>
      </c>
      <c r="D13" s="3600">
        <f>IF(SUM(E13:F13)=0,E13,SUM(E13:F13))</f>
        <v>439843.9564663528</v>
      </c>
      <c r="E13" s="3569">
        <v>439843.9564663528</v>
      </c>
      <c r="F13" s="3554" t="s">
        <v>2153</v>
      </c>
      <c r="G13" s="3558" t="str">
        <f t="shared" si="4"/>
        <v>NA</v>
      </c>
      <c r="H13" s="3078" t="str">
        <f t="shared" si="5"/>
        <v>NA</v>
      </c>
      <c r="I13" s="3078" t="str">
        <f t="shared" si="6"/>
        <v>NA</v>
      </c>
      <c r="J13" s="3078" t="str">
        <f t="shared" si="7"/>
        <v>NA</v>
      </c>
      <c r="K13" s="3573">
        <f t="shared" si="8"/>
        <v>1.1336333152414906E-2</v>
      </c>
      <c r="L13" s="3128" t="str">
        <f t="shared" si="9"/>
        <v>NA</v>
      </c>
      <c r="M13" s="2905" t="s">
        <v>2147</v>
      </c>
      <c r="N13" s="2905" t="s">
        <v>2147</v>
      </c>
      <c r="O13" s="3109" t="str">
        <f>IF(SUM(M13:N13)=0,M13,SUM(M13:N13))</f>
        <v>NA</v>
      </c>
      <c r="P13" s="2905" t="s">
        <v>2147</v>
      </c>
      <c r="Q13" s="2906">
        <v>4986.2176255788536</v>
      </c>
      <c r="R13" s="2906" t="s">
        <v>2153</v>
      </c>
      <c r="S13" s="3570">
        <f>IF(SUM(O13:R13)=0,Q13,SUM(O13:R13)*-44/12)</f>
        <v>-18282.797960455795</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-2275.5794881596235</v>
      </c>
      <c r="O14" s="3109">
        <f>IF(SUM(M14:N14)=0,M14,SUM(M14:N14))</f>
        <v>-2275.5794881596235</v>
      </c>
      <c r="P14" s="2905">
        <v>-483.36892537974279</v>
      </c>
      <c r="Q14" s="2906" t="s">
        <v>2147</v>
      </c>
      <c r="R14" s="2906" t="s">
        <v>2147</v>
      </c>
      <c r="S14" s="3570">
        <f>IF(SUM(O14:R14)=0,Q14,SUM(O14:R14)*-44/12)</f>
        <v>10116.144182977676</v>
      </c>
      <c r="U14" s="2398"/>
    </row>
    <row r="15" spans="2:21" ht="18" customHeight="1" x14ac:dyDescent="0.2">
      <c r="B15" s="485" t="s">
        <v>1066</v>
      </c>
      <c r="C15" s="486"/>
      <c r="D15" s="3589">
        <f>IF(SUM(D16,D19,D21,D23,D25)=0,"IE",SUM(D16,D19,D21,D23,D25))</f>
        <v>9767.1752027764087</v>
      </c>
      <c r="E15" s="3591">
        <f t="shared" ref="E15:F15" si="15">IF(SUM(E16,E19,E21,E23,E25)=0,"IE",SUM(E16,E19,E21,E23,E25))</f>
        <v>9766.1752027764087</v>
      </c>
      <c r="F15" s="3595">
        <f t="shared" si="15"/>
        <v>1</v>
      </c>
      <c r="G15" s="3558" t="str">
        <f t="shared" si="4"/>
        <v>NA</v>
      </c>
      <c r="H15" s="3078">
        <f t="shared" si="5"/>
        <v>-1.3672075343975132</v>
      </c>
      <c r="I15" s="3078">
        <f t="shared" si="6"/>
        <v>-1.3672075343975132</v>
      </c>
      <c r="J15" s="3078">
        <f t="shared" si="7"/>
        <v>-0.11811671060584114</v>
      </c>
      <c r="K15" s="3573">
        <f t="shared" si="8"/>
        <v>-0.19119220961936781</v>
      </c>
      <c r="L15" s="3128">
        <f t="shared" si="9"/>
        <v>-8.7249999999999996</v>
      </c>
      <c r="M15" s="3590" t="str">
        <f>IF(SUM(M16,M19,M21,M23,M25)=0,"IE",SUM(M16,M19,M21,M23,M25))</f>
        <v>IE</v>
      </c>
      <c r="N15" s="3591">
        <f t="shared" ref="N15:S15" si="16">IF(SUM(N16,N19,N21,N23,N25)=0,"IE",SUM(N16,N19,N21,N23,N25))</f>
        <v>-13353.755527016465</v>
      </c>
      <c r="O15" s="3592">
        <f t="shared" si="16"/>
        <v>-13353.755527016465</v>
      </c>
      <c r="P15" s="3592">
        <f t="shared" si="16"/>
        <v>-1153.6666068628888</v>
      </c>
      <c r="Q15" s="3592">
        <f t="shared" si="16"/>
        <v>-1867.216616548699</v>
      </c>
      <c r="R15" s="3592">
        <f t="shared" si="16"/>
        <v>-8.7249999999999996</v>
      </c>
      <c r="S15" s="3594">
        <f t="shared" si="16"/>
        <v>60072.333751569538</v>
      </c>
      <c r="U15" s="2019"/>
    </row>
    <row r="16" spans="2:21" ht="18" customHeight="1" x14ac:dyDescent="0.2">
      <c r="B16" s="500" t="s">
        <v>1067</v>
      </c>
      <c r="C16" s="486"/>
      <c r="D16" s="3599">
        <f>IF(SUM(D17:D18)=0,"IE",SUM(D17:D18))</f>
        <v>9718.2977702398621</v>
      </c>
      <c r="E16" s="3564">
        <f t="shared" ref="E16:F16" si="17">IF(SUM(E17:E18)=0,"IE",SUM(E17:E18))</f>
        <v>9718.2977702398621</v>
      </c>
      <c r="F16" s="3565" t="str">
        <f t="shared" si="17"/>
        <v>IE</v>
      </c>
      <c r="G16" s="3558" t="str">
        <f t="shared" si="4"/>
        <v>NA</v>
      </c>
      <c r="H16" s="3078">
        <f t="shared" si="5"/>
        <v>-1.3740837997277042</v>
      </c>
      <c r="I16" s="3078">
        <f t="shared" si="6"/>
        <v>-1.3740837997277042</v>
      </c>
      <c r="J16" s="3078">
        <f t="shared" si="7"/>
        <v>-0.1187107695337076</v>
      </c>
      <c r="K16" s="3573">
        <f t="shared" si="8"/>
        <v>-0.17995155745115046</v>
      </c>
      <c r="L16" s="3128" t="str">
        <f t="shared" si="9"/>
        <v>NA</v>
      </c>
      <c r="M16" s="3506" t="str">
        <f>IF(SUM(M17:M18)=0,"IE",SUM(M17:M18))</f>
        <v>IE</v>
      </c>
      <c r="N16" s="3506">
        <f t="shared" ref="N16:O16" si="18">IF(SUM(N17:N18)=0,"IE",SUM(N17:N18))</f>
        <v>-13353.755527016465</v>
      </c>
      <c r="O16" s="3506">
        <f t="shared" si="18"/>
        <v>-13353.755527016465</v>
      </c>
      <c r="P16" s="3506">
        <f t="shared" ref="P16" si="19">IF(SUM(P17:P18)=0,"IE",SUM(P17:P18))</f>
        <v>-1153.6666068628888</v>
      </c>
      <c r="Q16" s="3601">
        <f t="shared" ref="Q16" si="20">IF(SUM(Q17:Q18)=0,"IE",SUM(Q17:Q18))</f>
        <v>-1748.8228195287058</v>
      </c>
      <c r="R16" s="3601" t="str">
        <f t="shared" ref="R16" si="21">IF(SUM(R17:R18)=0,"IE",SUM(R17:R18))</f>
        <v>IE</v>
      </c>
      <c r="S16" s="3287">
        <f t="shared" ref="S16" si="22">IF(SUM(S17:S18)=0,"IE",SUM(S17:S18))</f>
        <v>59606.231495829561</v>
      </c>
      <c r="U16" s="2400"/>
    </row>
    <row r="17" spans="2:21" ht="18" customHeight="1" x14ac:dyDescent="0.2">
      <c r="B17" s="500"/>
      <c r="C17" s="484" t="s">
        <v>2228</v>
      </c>
      <c r="D17" s="3600">
        <f>IF(SUM(E17:F17)=0,E17,SUM(E17:F17))</f>
        <v>9718.2977702398621</v>
      </c>
      <c r="E17" s="3569">
        <v>9718.2977702398621</v>
      </c>
      <c r="F17" s="3554" t="s">
        <v>2153</v>
      </c>
      <c r="G17" s="3558" t="str">
        <f t="shared" si="4"/>
        <v>NA</v>
      </c>
      <c r="H17" s="3078">
        <f t="shared" si="5"/>
        <v>-1.3736940510124112</v>
      </c>
      <c r="I17" s="3078">
        <f t="shared" si="6"/>
        <v>-1.3736940510124112</v>
      </c>
      <c r="J17" s="3078">
        <f t="shared" si="7"/>
        <v>-0.11833892510699351</v>
      </c>
      <c r="K17" s="3573">
        <f t="shared" si="8"/>
        <v>-0.17995155745115046</v>
      </c>
      <c r="L17" s="3128" t="str">
        <f t="shared" si="9"/>
        <v>NA</v>
      </c>
      <c r="M17" s="2905" t="s">
        <v>2153</v>
      </c>
      <c r="N17" s="2905">
        <v>-13349.967832945678</v>
      </c>
      <c r="O17" s="3109">
        <f>IF(SUM(M17:N17)=0,M17,SUM(M17:N17))</f>
        <v>-13349.967832945678</v>
      </c>
      <c r="P17" s="2905">
        <v>-1150.0529119998771</v>
      </c>
      <c r="Q17" s="2906">
        <v>-1748.8228195287058</v>
      </c>
      <c r="R17" s="2906" t="s">
        <v>2153</v>
      </c>
      <c r="S17" s="3570">
        <f>IF(SUM(O17:R17)=0,Q17,SUM(O17:R17)*-44/12)</f>
        <v>59579.093069738963</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-3.7876940707870439</v>
      </c>
      <c r="O18" s="3109">
        <f>IF(SUM(M18:N18)=0,M18,SUM(M18:N18))</f>
        <v>-3.7876940707870439</v>
      </c>
      <c r="P18" s="2905">
        <v>-3.6136948630117334</v>
      </c>
      <c r="Q18" s="2906" t="s">
        <v>2147</v>
      </c>
      <c r="R18" s="2906" t="s">
        <v>2147</v>
      </c>
      <c r="S18" s="3570">
        <f>IF(SUM(O18:R18)=0,Q18,SUM(O18:R18)*-44/12)</f>
        <v>27.138426090595516</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13333.529700909001</v>
      </c>
      <c r="E10" s="3583">
        <f>IF(SUM(E11,E23)=0,"IE",SUM(E11,E23))</f>
        <v>13248.081601172751</v>
      </c>
      <c r="F10" s="3584">
        <f>IF(SUM(F11,F23)=0,"IE",SUM(F11,F23))</f>
        <v>85.448099736249887</v>
      </c>
      <c r="G10" s="3608" t="str">
        <f>IFERROR(IF(SUM($D10)=0,"NA",M10/$D10),"NA")</f>
        <v>NA</v>
      </c>
      <c r="H10" s="3609">
        <f t="shared" ref="H10:J10" si="0">IFERROR(IF(SUM($D10)=0,"NA",N10/$D10),"NA")</f>
        <v>-1.5242871776467496E-2</v>
      </c>
      <c r="I10" s="3610">
        <f t="shared" si="0"/>
        <v>-1.5242871776467496E-2</v>
      </c>
      <c r="J10" s="3609">
        <f t="shared" si="0"/>
        <v>-5.2505878488136523E-3</v>
      </c>
      <c r="K10" s="3609">
        <f>IFERROR(IF(SUM(E10)=0,"NA",Q10/E10),"NA")</f>
        <v>-2.8143868116861531E-3</v>
      </c>
      <c r="L10" s="3611" t="str">
        <f>IFERROR(IF(SUM(F10)=0,"NA",R10/F10),"NA")</f>
        <v>NA</v>
      </c>
      <c r="M10" s="3610" t="str">
        <f t="shared" ref="M10:S10" si="1">IF(SUM(M11,M23)=0,"IE",SUM(M11,M23))</f>
        <v>IE</v>
      </c>
      <c r="N10" s="3609">
        <f t="shared" si="1"/>
        <v>-203.24128355867691</v>
      </c>
      <c r="O10" s="3610">
        <f t="shared" si="1"/>
        <v>-203.24128355867691</v>
      </c>
      <c r="P10" s="3609">
        <f t="shared" si="1"/>
        <v>-70.008869029388734</v>
      </c>
      <c r="Q10" s="3612">
        <f t="shared" si="1"/>
        <v>-37.285226138482564</v>
      </c>
      <c r="R10" s="3612" t="str">
        <f t="shared" si="1"/>
        <v>IE</v>
      </c>
      <c r="S10" s="3588">
        <f t="shared" si="1"/>
        <v>1138.6297219973433</v>
      </c>
      <c r="U10" s="2401"/>
    </row>
    <row r="11" spans="1:23" ht="18" customHeight="1" x14ac:dyDescent="0.2">
      <c r="B11" s="501" t="s">
        <v>990</v>
      </c>
      <c r="C11" s="483"/>
      <c r="D11" s="3613">
        <f>IF(SUM(D12,D14,D17)=0,"IE",SUM(D12,D14,D17))</f>
        <v>13298.668700909</v>
      </c>
      <c r="E11" s="3614">
        <f t="shared" ref="E11:S11" si="2">IF(SUM(E12,E14,E17)=0,"IE",SUM(E12,E14,E17))</f>
        <v>13213.22060117275</v>
      </c>
      <c r="F11" s="3615">
        <f t="shared" si="2"/>
        <v>85.448099736249887</v>
      </c>
      <c r="G11" s="3616" t="str">
        <f t="shared" ref="G11:G56" si="3">IFERROR(IF(SUM($D11)=0,"NA",M11/$D11),"NA")</f>
        <v>NA</v>
      </c>
      <c r="H11" s="3617">
        <f t="shared" ref="H11:H56" si="4">IFERROR(IF(SUM($D11)=0,"NA",N11/$D11),"NA")</f>
        <v>-1.3632889700176124E-2</v>
      </c>
      <c r="I11" s="3618">
        <f t="shared" ref="I11:I56" si="5">IFERROR(IF(SUM($D11)=0,"NA",O11/$D11),"NA")</f>
        <v>-1.3632889700176124E-2</v>
      </c>
      <c r="J11" s="3617">
        <f t="shared" ref="J11:J56" si="6">IFERROR(IF(SUM($D11)=0,"NA",P11/$D11),"NA")</f>
        <v>-5.2643516884215216E-3</v>
      </c>
      <c r="K11" s="3617">
        <f t="shared" ref="K11:K56" si="7">IFERROR(IF(SUM(E11)=0,"NA",Q11/E11),"NA")</f>
        <v>-2.8218121277089163E-3</v>
      </c>
      <c r="L11" s="3619" t="str">
        <f t="shared" ref="L11:L56" si="8">IFERROR(IF(SUM(F11)=0,"NA",R11/F11),"NA")</f>
        <v>NA</v>
      </c>
      <c r="M11" s="3618" t="str">
        <f t="shared" si="2"/>
        <v>IE</v>
      </c>
      <c r="N11" s="3617">
        <f t="shared" si="2"/>
        <v>-181.2992835586769</v>
      </c>
      <c r="O11" s="3618">
        <f t="shared" si="2"/>
        <v>-181.2992835586769</v>
      </c>
      <c r="P11" s="3617">
        <f t="shared" si="2"/>
        <v>-70.008869029388734</v>
      </c>
      <c r="Q11" s="3620">
        <f t="shared" si="2"/>
        <v>-37.285226138482564</v>
      </c>
      <c r="R11" s="3620" t="str">
        <f t="shared" si="2"/>
        <v>IE</v>
      </c>
      <c r="S11" s="3621">
        <f t="shared" si="2"/>
        <v>1058.1757219973433</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791.99049347714049</v>
      </c>
      <c r="E14" s="3564">
        <f>IF(SUM(E15:E16)=0,"IE",SUM(E15:E16))</f>
        <v>791.99049347714049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459.20040000000006</v>
      </c>
      <c r="E15" s="3569">
        <v>459.20040000000006</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12506.67820743186</v>
      </c>
      <c r="E17" s="3564">
        <f>IF(SUM(E18:E21)=0,"IE",SUM(E18:E21))</f>
        <v>12421.23010769561</v>
      </c>
      <c r="F17" s="3565">
        <f>IF(SUM(F18:F21)=0,"IE",SUM(F18:F21))</f>
        <v>85.448099736249887</v>
      </c>
      <c r="G17" s="3622" t="str">
        <f t="shared" si="3"/>
        <v>NA</v>
      </c>
      <c r="H17" s="3591">
        <f t="shared" si="4"/>
        <v>-1.4496197995319269E-2</v>
      </c>
      <c r="I17" s="3623">
        <f t="shared" si="5"/>
        <v>-1.4496197995319269E-2</v>
      </c>
      <c r="J17" s="3591">
        <f t="shared" si="6"/>
        <v>-5.5977189041121461E-3</v>
      </c>
      <c r="K17" s="3591">
        <f t="shared" si="7"/>
        <v>-3.0017337908732882E-3</v>
      </c>
      <c r="L17" s="3595" t="str">
        <f t="shared" si="8"/>
        <v>NA</v>
      </c>
      <c r="M17" s="3564" t="str">
        <f t="shared" ref="M17:S17" si="16">IF(SUM(M18:M21)=0,"IE",SUM(M18:M21))</f>
        <v>IE</v>
      </c>
      <c r="N17" s="3617">
        <f t="shared" si="16"/>
        <v>-181.2992835586769</v>
      </c>
      <c r="O17" s="3618">
        <f t="shared" si="16"/>
        <v>-181.2992835586769</v>
      </c>
      <c r="P17" s="3617">
        <f t="shared" si="16"/>
        <v>-70.008869029388734</v>
      </c>
      <c r="Q17" s="3620">
        <f t="shared" si="16"/>
        <v>-37.285226138482564</v>
      </c>
      <c r="R17" s="3620" t="str">
        <f t="shared" si="16"/>
        <v>IE</v>
      </c>
      <c r="S17" s="3634">
        <f t="shared" si="16"/>
        <v>1058.1757219973433</v>
      </c>
      <c r="U17" s="2402"/>
    </row>
    <row r="18" spans="1:23" ht="18" customHeight="1" x14ac:dyDescent="0.2">
      <c r="A18" s="2502"/>
      <c r="B18" s="2682"/>
      <c r="C18" s="2503" t="s">
        <v>2231</v>
      </c>
      <c r="D18" s="3600">
        <f>IF(SUM(E18:F18)=0,E18,SUM(E18:F18))</f>
        <v>1716.6986404464242</v>
      </c>
      <c r="E18" s="3569">
        <v>1716.6986404464242</v>
      </c>
      <c r="F18" s="3635" t="s">
        <v>2153</v>
      </c>
      <c r="G18" s="3630" t="str">
        <f t="shared" si="3"/>
        <v>NA</v>
      </c>
      <c r="H18" s="3631">
        <f t="shared" si="4"/>
        <v>-2.7148930846117088E-2</v>
      </c>
      <c r="I18" s="3632">
        <f t="shared" si="5"/>
        <v>-2.7148930846117088E-2</v>
      </c>
      <c r="J18" s="3631">
        <f t="shared" si="6"/>
        <v>-5.4297861692234189E-3</v>
      </c>
      <c r="K18" s="3631">
        <f t="shared" si="7"/>
        <v>-2.1719144676893676E-2</v>
      </c>
      <c r="L18" s="3633" t="str">
        <f t="shared" si="8"/>
        <v>NA</v>
      </c>
      <c r="M18" s="3624" t="s">
        <v>2153</v>
      </c>
      <c r="N18" s="3625">
        <v>-46.606532673103196</v>
      </c>
      <c r="O18" s="3109">
        <f>IF(SUM(M18:N18)=0,M18,SUM(M18:N18))</f>
        <v>-46.606532673103196</v>
      </c>
      <c r="P18" s="3625">
        <v>-9.321306534620641</v>
      </c>
      <c r="Q18" s="3626">
        <v>-37.285226138482564</v>
      </c>
      <c r="R18" s="3636" t="s">
        <v>2153</v>
      </c>
      <c r="S18" s="3570">
        <f>IF(SUM(O18:R18)=0,Q18,SUM(O18:R18)*-44/12)</f>
        <v>341.78123960275684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-134.6927508855737</v>
      </c>
      <c r="O19" s="3109">
        <f t="shared" ref="O19:O22" si="18">IF(SUM(M19:N19)=0,M19,SUM(M19:N19))</f>
        <v>-134.6927508855737</v>
      </c>
      <c r="P19" s="3625">
        <v>-60.687562494768095</v>
      </c>
      <c r="Q19" s="3628" t="s">
        <v>2147</v>
      </c>
      <c r="R19" s="3627" t="s">
        <v>2147</v>
      </c>
      <c r="S19" s="3570">
        <f t="shared" ref="S19:S22" si="19">IF(SUM(O19:R19)=0,Q19,SUM(O19:R19)*-44/12)</f>
        <v>716.39448239458659</v>
      </c>
      <c r="T19" s="2502"/>
      <c r="U19" s="2684"/>
      <c r="V19" s="2502"/>
      <c r="W19" s="2502"/>
    </row>
    <row r="20" spans="1:23" ht="18" customHeight="1" x14ac:dyDescent="0.2">
      <c r="A20" s="2502"/>
      <c r="B20" s="2682"/>
      <c r="C20" s="2683" t="s">
        <v>2234</v>
      </c>
      <c r="D20" s="3600">
        <f t="shared" si="17"/>
        <v>10704.531467249186</v>
      </c>
      <c r="E20" s="3607">
        <v>10704.531467249186</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85.448099736249887</v>
      </c>
      <c r="E21" s="3564" t="str">
        <f t="shared" ref="E21:F21" si="20">E22</f>
        <v>IE</v>
      </c>
      <c r="F21" s="3565">
        <f t="shared" si="20"/>
        <v>85.448099736249887</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85.448099736249887</v>
      </c>
      <c r="E22" s="3569" t="s">
        <v>2153</v>
      </c>
      <c r="F22" s="3554">
        <v>85.448099736249887</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34.860999999999997</v>
      </c>
      <c r="E23" s="3591">
        <f t="shared" ref="E23:F23" si="22">IF(SUM(E24,E35,E46)=0,"IE",SUM(E24,E35,E46))</f>
        <v>34.860999999999997</v>
      </c>
      <c r="F23" s="3595" t="str">
        <f t="shared" si="22"/>
        <v>IE</v>
      </c>
      <c r="G23" s="3622" t="str">
        <f t="shared" si="3"/>
        <v>NA</v>
      </c>
      <c r="H23" s="3591">
        <f t="shared" si="4"/>
        <v>-0.6294139582915006</v>
      </c>
      <c r="I23" s="3623">
        <f t="shared" si="5"/>
        <v>-0.6294139582915006</v>
      </c>
      <c r="J23" s="3591" t="str">
        <f t="shared" si="6"/>
        <v>NA</v>
      </c>
      <c r="K23" s="3591" t="str">
        <f t="shared" si="7"/>
        <v>NA</v>
      </c>
      <c r="L23" s="3595" t="str">
        <f t="shared" si="8"/>
        <v>NA</v>
      </c>
      <c r="M23" s="3591" t="str">
        <f t="shared" ref="M23" si="23">IF(SUM(M24,M35,M46)=0,"IE",SUM(M24,M35,M46))</f>
        <v>IE</v>
      </c>
      <c r="N23" s="3591">
        <f t="shared" ref="N23" si="24">IF(SUM(N24,N35,N46)=0,"IE",SUM(N24,N35,N46))</f>
        <v>-21.942</v>
      </c>
      <c r="O23" s="3623">
        <f t="shared" ref="O23" si="25">IF(SUM(O24,O35,O46)=0,"IE",SUM(O24,O35,O46))</f>
        <v>-21.942</v>
      </c>
      <c r="P23" s="3591" t="str">
        <f>IF(SUM(P24,P35,P46)=0,"NO",SUM(P24,P35,P46))</f>
        <v>NO</v>
      </c>
      <c r="Q23" s="3590" t="str">
        <f>IF(SUM(Q24,Q35,Q46)=0,"NO",SUM(Q24,Q35,Q46))</f>
        <v>NO</v>
      </c>
      <c r="R23" s="3590" t="str">
        <f>IF(SUM(R24,R35,R46)=0,"NO",SUM(R24,R35,R46))</f>
        <v>NO</v>
      </c>
      <c r="S23" s="3594">
        <f t="shared" ref="S23" si="26">IF(SUM(S24,S35,S46)=0,"IE",SUM(S24,S35,S46))</f>
        <v>80.453999999999994</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34.860999999999997</v>
      </c>
      <c r="E35" s="3591">
        <f>IF(SUM(E36,E38,E40,E42,E44)=0,"IE",SUM(E36,E38,E40,E42,E44))</f>
        <v>34.860999999999997</v>
      </c>
      <c r="F35" s="3595" t="str">
        <f>IF(SUM(F36,F38,F40,F42,F44)=0,"IE",SUM(F36,F38,F40,F42,F44))</f>
        <v>IE</v>
      </c>
      <c r="G35" s="3622" t="str">
        <f t="shared" si="3"/>
        <v>NA</v>
      </c>
      <c r="H35" s="3591">
        <f t="shared" si="4"/>
        <v>-0.6294139582915006</v>
      </c>
      <c r="I35" s="3623">
        <f t="shared" si="5"/>
        <v>-0.6294139582915006</v>
      </c>
      <c r="J35" s="3591" t="str">
        <f t="shared" si="6"/>
        <v>NA</v>
      </c>
      <c r="K35" s="3591" t="str">
        <f t="shared" si="7"/>
        <v>NA</v>
      </c>
      <c r="L35" s="3595" t="str">
        <f t="shared" si="8"/>
        <v>NA</v>
      </c>
      <c r="M35" s="3591" t="str">
        <f t="shared" ref="M35:S35" si="48">IF(SUM(M36,M38,M40,M42,M44)=0,"IE",SUM(M36,M38,M40,M42,M44))</f>
        <v>IE</v>
      </c>
      <c r="N35" s="3591">
        <f t="shared" si="48"/>
        <v>-21.942</v>
      </c>
      <c r="O35" s="3623">
        <f t="shared" si="48"/>
        <v>-21.942</v>
      </c>
      <c r="P35" s="3591" t="str">
        <f>IF(SUM(P36,P38,P40,P42,P44)=0,"NO",SUM(P36,P38,P40,P42,P44))</f>
        <v>NO</v>
      </c>
      <c r="Q35" s="3590" t="str">
        <f>IF(SUM(Q36,Q38,Q40,Q42,Q44)=0,"NO",SUM(Q36,Q38,Q40,Q42,Q44))</f>
        <v>NO</v>
      </c>
      <c r="R35" s="3590" t="str">
        <f>IF(SUM(R36,R38,R40,R42,R44)=0,"NO",SUM(R36,R38,R40,R42,R44))</f>
        <v>NO</v>
      </c>
      <c r="S35" s="3594">
        <f t="shared" si="48"/>
        <v>80.453999999999994</v>
      </c>
      <c r="U35" s="503"/>
    </row>
    <row r="36" spans="2:21" ht="18" customHeight="1" x14ac:dyDescent="0.2">
      <c r="B36" s="505" t="s">
        <v>1087</v>
      </c>
      <c r="C36" s="486"/>
      <c r="D36" s="3600">
        <f>D37</f>
        <v>34.860999999999997</v>
      </c>
      <c r="E36" s="3564">
        <f t="shared" ref="E36:F36" si="49">E37</f>
        <v>34.860999999999997</v>
      </c>
      <c r="F36" s="3565" t="str">
        <f t="shared" si="49"/>
        <v>IE</v>
      </c>
      <c r="G36" s="3558" t="str">
        <f t="shared" si="3"/>
        <v>NA</v>
      </c>
      <c r="H36" s="3078">
        <f t="shared" si="4"/>
        <v>-0.6294139582915006</v>
      </c>
      <c r="I36" s="3078">
        <f t="shared" si="5"/>
        <v>-0.6294139582915006</v>
      </c>
      <c r="J36" s="3078" t="str">
        <f t="shared" si="6"/>
        <v>NA</v>
      </c>
      <c r="K36" s="3573" t="str">
        <f t="shared" si="7"/>
        <v>NA</v>
      </c>
      <c r="L36" s="3128" t="str">
        <f t="shared" si="8"/>
        <v>NA</v>
      </c>
      <c r="M36" s="3505" t="str">
        <f t="shared" ref="M36:S36" si="50">M37</f>
        <v>IE</v>
      </c>
      <c r="N36" s="3506">
        <f t="shared" si="50"/>
        <v>-21.942</v>
      </c>
      <c r="O36" s="3506">
        <f t="shared" si="50"/>
        <v>-21.942</v>
      </c>
      <c r="P36" s="3506" t="str">
        <f t="shared" si="50"/>
        <v>NA</v>
      </c>
      <c r="Q36" s="3601" t="str">
        <f t="shared" si="50"/>
        <v>NA</v>
      </c>
      <c r="R36" s="3601" t="str">
        <f t="shared" si="50"/>
        <v>NA</v>
      </c>
      <c r="S36" s="3287">
        <f t="shared" si="50"/>
        <v>80.453999999999994</v>
      </c>
      <c r="U36" s="2402"/>
    </row>
    <row r="37" spans="2:21" ht="18" customHeight="1" x14ac:dyDescent="0.2">
      <c r="B37" s="1479"/>
      <c r="C37" s="885" t="s">
        <v>278</v>
      </c>
      <c r="D37" s="3600">
        <f>IF(SUM(E37:F37)=0,E37,SUM(E37:F37))</f>
        <v>34.860999999999997</v>
      </c>
      <c r="E37" s="3569">
        <v>34.860999999999997</v>
      </c>
      <c r="F37" s="3554" t="s">
        <v>2153</v>
      </c>
      <c r="G37" s="3622" t="str">
        <f t="shared" si="3"/>
        <v>NA</v>
      </c>
      <c r="H37" s="3591">
        <f t="shared" si="4"/>
        <v>-0.6294139582915006</v>
      </c>
      <c r="I37" s="3623">
        <f t="shared" si="5"/>
        <v>-0.6294139582915006</v>
      </c>
      <c r="J37" s="3591" t="str">
        <f t="shared" si="6"/>
        <v>NA</v>
      </c>
      <c r="K37" s="3591" t="str">
        <f t="shared" si="7"/>
        <v>NA</v>
      </c>
      <c r="L37" s="3595" t="str">
        <f t="shared" si="8"/>
        <v>NA</v>
      </c>
      <c r="M37" s="3624" t="s">
        <v>2153</v>
      </c>
      <c r="N37" s="3625">
        <v>-21.942</v>
      </c>
      <c r="O37" s="3109">
        <f t="shared" ref="O37" si="51">IF(SUM(M37:N37)=0,M37,SUM(M37:N37))</f>
        <v>-21.942</v>
      </c>
      <c r="P37" s="3625" t="s">
        <v>2147</v>
      </c>
      <c r="Q37" s="3626" t="s">
        <v>2147</v>
      </c>
      <c r="R37" s="3626" t="s">
        <v>2147</v>
      </c>
      <c r="S37" s="3570">
        <f t="shared" ref="S37" si="52">IF(SUM(O37:R37)=0,Q37,SUM(O37:R37)*-44/12)</f>
        <v>80.453999999999994</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1274.0092152198172</v>
      </c>
      <c r="E10" s="3583">
        <f t="shared" ref="E10:F10" si="0">IF(SUM(E11,E13)=0,"IE",SUM(E11,E13))</f>
        <v>1204.527850059</v>
      </c>
      <c r="F10" s="3584">
        <f t="shared" si="0"/>
        <v>69.48136516081729</v>
      </c>
      <c r="G10" s="3582" t="str">
        <f>IFERROR(IF(SUM($D10)=0,"NA",M10/$D10),"NA")</f>
        <v>NA</v>
      </c>
      <c r="H10" s="3583">
        <f t="shared" ref="H10:J10" si="1">IFERROR(IF(SUM($D10)=0,"NA",N10/$D10),"NA")</f>
        <v>-0.88785854376313522</v>
      </c>
      <c r="I10" s="3583">
        <f t="shared" si="1"/>
        <v>-0.88785854376313522</v>
      </c>
      <c r="J10" s="3583">
        <f t="shared" si="1"/>
        <v>-0.17418483732487208</v>
      </c>
      <c r="K10" s="3585">
        <f>IFERROR(IF(SUM(E10)=0,"NA",Q10/E10),"NA")</f>
        <v>-8.5497590851107655E-2</v>
      </c>
      <c r="L10" s="3584">
        <f>IFERROR(IF(SUM(F10)=0,"NA",R10/F10),"NA")</f>
        <v>0.68776741612253689</v>
      </c>
      <c r="M10" s="3586" t="str">
        <f>IF(SUM(M11,M13)=0,"IE",SUM(M11,M13))</f>
        <v>IE</v>
      </c>
      <c r="N10" s="3583">
        <f t="shared" ref="N10:S10" si="2">IF(SUM(N11,N13)=0,"IE",SUM(N11,N13))</f>
        <v>-1131.1399665658817</v>
      </c>
      <c r="O10" s="3587">
        <f t="shared" si="2"/>
        <v>-1131.1399665658817</v>
      </c>
      <c r="P10" s="3583">
        <f t="shared" si="2"/>
        <v>-221.91308790345181</v>
      </c>
      <c r="Q10" s="3585">
        <f t="shared" si="2"/>
        <v>-102.98422929310874</v>
      </c>
      <c r="R10" s="3585">
        <f t="shared" si="2"/>
        <v>47.787018985321765</v>
      </c>
      <c r="S10" s="3588">
        <f t="shared" si="2"/>
        <v>5163.5843041827757</v>
      </c>
      <c r="U10" s="2261"/>
    </row>
    <row r="11" spans="2:21" ht="18" customHeight="1" x14ac:dyDescent="0.2">
      <c r="B11" s="493" t="s">
        <v>993</v>
      </c>
      <c r="C11" s="2256"/>
      <c r="D11" s="3589">
        <f>D12</f>
        <v>948.98985005899999</v>
      </c>
      <c r="E11" s="3078">
        <f t="shared" ref="E11:F11" si="3">E12</f>
        <v>948.98985005899999</v>
      </c>
      <c r="F11" s="3078" t="str">
        <f t="shared" si="3"/>
        <v>IE</v>
      </c>
      <c r="G11" s="3558" t="str">
        <f t="shared" ref="G11:G24" si="4">IFERROR(IF(SUM($D11)=0,"NA",M11/$D11),"NA")</f>
        <v>NA</v>
      </c>
      <c r="H11" s="3078">
        <f t="shared" ref="H11:H24" si="5">IFERROR(IF(SUM($D11)=0,"NA",N11/$D11),"NA")</f>
        <v>-2.1091233128167717E-3</v>
      </c>
      <c r="I11" s="3078">
        <f t="shared" ref="I11:I24" si="6">IFERROR(IF(SUM($D11)=0,"NA",O11/$D11),"NA")</f>
        <v>-2.1091233128167717E-3</v>
      </c>
      <c r="J11" s="3078">
        <f t="shared" ref="J11:J24" si="7">IFERROR(IF(SUM($D11)=0,"NA",P11/$D11),"NA")</f>
        <v>-4.2182466256335445E-4</v>
      </c>
      <c r="K11" s="3573">
        <f t="shared" ref="K11:K24" si="8">IFERROR(IF(SUM(E11)=0,"NA",Q11/E11),"NA")</f>
        <v>-1.6872986502534178E-3</v>
      </c>
      <c r="L11" s="3128" t="str">
        <f t="shared" ref="L11:L24" si="9">IFERROR(IF(SUM(F11)=0,"NA",R11/F11),"NA")</f>
        <v>NA</v>
      </c>
      <c r="M11" s="3590" t="str">
        <f t="shared" ref="M11:S11" si="10">M12</f>
        <v>IE</v>
      </c>
      <c r="N11" s="3591">
        <f t="shared" si="10"/>
        <v>-2.0015366163859296</v>
      </c>
      <c r="O11" s="3592">
        <f t="shared" si="10"/>
        <v>-2.0015366163859296</v>
      </c>
      <c r="P11" s="3591">
        <f t="shared" si="10"/>
        <v>-0.40030732327718599</v>
      </c>
      <c r="Q11" s="3593">
        <f t="shared" si="10"/>
        <v>-1.601229293108744</v>
      </c>
      <c r="R11" s="3593" t="str">
        <f t="shared" si="10"/>
        <v>IE</v>
      </c>
      <c r="S11" s="3594">
        <f t="shared" si="10"/>
        <v>14.677935186830149</v>
      </c>
      <c r="U11" s="2397"/>
    </row>
    <row r="12" spans="2:21" ht="18" customHeight="1" x14ac:dyDescent="0.2">
      <c r="B12" s="501"/>
      <c r="C12" s="885" t="s">
        <v>278</v>
      </c>
      <c r="D12" s="3600">
        <f>IF(SUM(E12:F12)=0,E12,SUM(E12:F12))</f>
        <v>948.98985005899999</v>
      </c>
      <c r="E12" s="3569">
        <v>948.98985005899999</v>
      </c>
      <c r="F12" s="3554" t="s">
        <v>2153</v>
      </c>
      <c r="G12" s="3558" t="str">
        <f t="shared" si="4"/>
        <v>NA</v>
      </c>
      <c r="H12" s="3078">
        <f t="shared" si="5"/>
        <v>-2.1091233128167717E-3</v>
      </c>
      <c r="I12" s="3078">
        <f t="shared" si="6"/>
        <v>-2.1091233128167717E-3</v>
      </c>
      <c r="J12" s="3078">
        <f t="shared" si="7"/>
        <v>-4.2182466256335445E-4</v>
      </c>
      <c r="K12" s="3573">
        <f t="shared" si="8"/>
        <v>-1.6872986502534178E-3</v>
      </c>
      <c r="L12" s="3128" t="str">
        <f t="shared" si="9"/>
        <v>NA</v>
      </c>
      <c r="M12" s="2905" t="s">
        <v>2153</v>
      </c>
      <c r="N12" s="2905">
        <v>-2.0015366163859296</v>
      </c>
      <c r="O12" s="3109">
        <f>IF(SUM(M12:N12)=0,M12,SUM(M12:N12))</f>
        <v>-2.0015366163859296</v>
      </c>
      <c r="P12" s="2905">
        <v>-0.40030732327718599</v>
      </c>
      <c r="Q12" s="2906">
        <v>-1.601229293108744</v>
      </c>
      <c r="R12" s="2906" t="s">
        <v>2153</v>
      </c>
      <c r="S12" s="3570">
        <f>IF(SUM(O12:R12)=0,Q12,SUM(O12:R12)*-44/12)</f>
        <v>14.677935186830149</v>
      </c>
      <c r="U12" s="2398"/>
    </row>
    <row r="13" spans="2:21" ht="18" customHeight="1" x14ac:dyDescent="0.2">
      <c r="B13" s="493" t="s">
        <v>994</v>
      </c>
      <c r="C13" s="504"/>
      <c r="D13" s="3589">
        <f>IF(SUM(D14,D17,D19,D21,D23)=0,"IE",SUM(D14,D17,D19,D21,D23))</f>
        <v>325.0193651608173</v>
      </c>
      <c r="E13" s="3591">
        <f t="shared" ref="E13:S13" si="11">IF(SUM(E14,E17,E19,E21,E23)=0,"IE",SUM(E14,E17,E19,E21,E23))</f>
        <v>255.53800000000001</v>
      </c>
      <c r="F13" s="3595">
        <f t="shared" si="11"/>
        <v>69.48136516081729</v>
      </c>
      <c r="G13" s="3558" t="str">
        <f t="shared" si="4"/>
        <v>NA</v>
      </c>
      <c r="H13" s="3078">
        <f t="shared" si="5"/>
        <v>-3.4740650896010643</v>
      </c>
      <c r="I13" s="3078">
        <f t="shared" si="6"/>
        <v>-3.4740650896010643</v>
      </c>
      <c r="J13" s="3078">
        <f t="shared" si="7"/>
        <v>-0.68153717693273952</v>
      </c>
      <c r="K13" s="3573">
        <f t="shared" si="8"/>
        <v>-0.39674334149911167</v>
      </c>
      <c r="L13" s="3128">
        <f t="shared" si="9"/>
        <v>0.68776741612253689</v>
      </c>
      <c r="M13" s="3078" t="str">
        <f t="shared" si="11"/>
        <v>IE</v>
      </c>
      <c r="N13" s="3078">
        <f t="shared" si="11"/>
        <v>-1129.1384299494957</v>
      </c>
      <c r="O13" s="3078">
        <f t="shared" si="11"/>
        <v>-1129.1384299494957</v>
      </c>
      <c r="P13" s="3078">
        <f t="shared" si="11"/>
        <v>-221.51278058017462</v>
      </c>
      <c r="Q13" s="3573">
        <f t="shared" si="11"/>
        <v>-101.383</v>
      </c>
      <c r="R13" s="3573">
        <f t="shared" si="11"/>
        <v>47.787018985321765</v>
      </c>
      <c r="S13" s="3570">
        <f t="shared" si="11"/>
        <v>5148.9063689959457</v>
      </c>
      <c r="U13" s="2019"/>
    </row>
    <row r="14" spans="2:21" ht="18" customHeight="1" x14ac:dyDescent="0.2">
      <c r="B14" s="495" t="s">
        <v>1101</v>
      </c>
      <c r="C14" s="504"/>
      <c r="D14" s="3599">
        <f>IF(SUM(D15:D16)=0,"IE",SUM(D15:D16))</f>
        <v>325.0193651608173</v>
      </c>
      <c r="E14" s="3564">
        <f t="shared" ref="E14:F14" si="12">IF(SUM(E15:E16)=0,"IE",SUM(E15:E16))</f>
        <v>255.53800000000001</v>
      </c>
      <c r="F14" s="3565">
        <f t="shared" si="12"/>
        <v>69.48136516081729</v>
      </c>
      <c r="G14" s="3558" t="str">
        <f t="shared" si="4"/>
        <v>NA</v>
      </c>
      <c r="H14" s="3078">
        <f t="shared" si="5"/>
        <v>-3.4740650896010643</v>
      </c>
      <c r="I14" s="3078">
        <f t="shared" si="6"/>
        <v>-3.4740650896010643</v>
      </c>
      <c r="J14" s="3078">
        <f t="shared" si="7"/>
        <v>-0.68153717693273952</v>
      </c>
      <c r="K14" s="3573">
        <f t="shared" si="8"/>
        <v>-0.39674334149911167</v>
      </c>
      <c r="L14" s="3128">
        <f t="shared" si="9"/>
        <v>0.68776741612253689</v>
      </c>
      <c r="M14" s="3506" t="str">
        <f>IF(SUM(M15:M16)=0,"IE",SUM(M15:M16))</f>
        <v>IE</v>
      </c>
      <c r="N14" s="3506">
        <f t="shared" ref="N14:S14" si="13">IF(SUM(N15:N16)=0,"IE",SUM(N15:N16))</f>
        <v>-1129.1384299494957</v>
      </c>
      <c r="O14" s="3506">
        <f t="shared" si="13"/>
        <v>-1129.1384299494957</v>
      </c>
      <c r="P14" s="3506">
        <f t="shared" si="13"/>
        <v>-221.51278058017462</v>
      </c>
      <c r="Q14" s="3601">
        <f t="shared" si="13"/>
        <v>-101.383</v>
      </c>
      <c r="R14" s="3601">
        <f t="shared" si="13"/>
        <v>47.787018985321765</v>
      </c>
      <c r="S14" s="3287">
        <f t="shared" si="13"/>
        <v>5148.9063689959457</v>
      </c>
      <c r="U14" s="2019"/>
    </row>
    <row r="15" spans="2:21" ht="18" customHeight="1" x14ac:dyDescent="0.2">
      <c r="B15" s="496"/>
      <c r="C15" s="508" t="s">
        <v>2235</v>
      </c>
      <c r="D15" s="3600">
        <f>IF(SUM(E15:F15)=0,E15,SUM(E15:F15))</f>
        <v>69.48136516081729</v>
      </c>
      <c r="E15" s="3569" t="s">
        <v>2146</v>
      </c>
      <c r="F15" s="3554">
        <v>69.48136516081729</v>
      </c>
      <c r="G15" s="3558" t="str">
        <f t="shared" si="4"/>
        <v>NA</v>
      </c>
      <c r="H15" s="3078">
        <f t="shared" si="5"/>
        <v>-9.1746676029472169</v>
      </c>
      <c r="I15" s="3078">
        <f t="shared" si="6"/>
        <v>-9.1746676029472169</v>
      </c>
      <c r="J15" s="3078">
        <f t="shared" si="7"/>
        <v>-1.5992601803805369</v>
      </c>
      <c r="K15" s="3573" t="str">
        <f t="shared" si="8"/>
        <v>NA</v>
      </c>
      <c r="L15" s="3128">
        <f t="shared" si="9"/>
        <v>0.68776741612253689</v>
      </c>
      <c r="M15" s="2905" t="s">
        <v>2153</v>
      </c>
      <c r="N15" s="2905">
        <v>-637.46842994949589</v>
      </c>
      <c r="O15" s="3109">
        <f>IF(SUM(M15:N15)=0,M15,SUM(M15:N15))</f>
        <v>-637.46842994949589</v>
      </c>
      <c r="P15" s="2905">
        <v>-111.11878058017462</v>
      </c>
      <c r="Q15" s="2906" t="s">
        <v>2146</v>
      </c>
      <c r="R15" s="2906">
        <v>47.787018985321765</v>
      </c>
      <c r="S15" s="3570">
        <f>IF(SUM(O15:R15)=0,Q15,SUM(O15:R15)*-44/12)</f>
        <v>2569.6007023292786</v>
      </c>
      <c r="U15" s="2019"/>
    </row>
    <row r="16" spans="2:21" ht="18" customHeight="1" x14ac:dyDescent="0.2">
      <c r="B16" s="494"/>
      <c r="C16" s="508" t="s">
        <v>2236</v>
      </c>
      <c r="D16" s="3600">
        <f>IF(SUM(E16:F16)=0,E16,SUM(E16:F16))</f>
        <v>255.53800000000001</v>
      </c>
      <c r="E16" s="3569">
        <v>255.53800000000001</v>
      </c>
      <c r="F16" s="3554" t="s">
        <v>2153</v>
      </c>
      <c r="G16" s="3558" t="str">
        <f t="shared" si="4"/>
        <v>NA</v>
      </c>
      <c r="H16" s="3078">
        <f t="shared" si="5"/>
        <v>-1.9240582613936086</v>
      </c>
      <c r="I16" s="3078">
        <f t="shared" si="6"/>
        <v>-1.9240582613936086</v>
      </c>
      <c r="J16" s="3078">
        <f t="shared" si="7"/>
        <v>-0.43200619868669238</v>
      </c>
      <c r="K16" s="3573">
        <f t="shared" si="8"/>
        <v>-0.39674334149911167</v>
      </c>
      <c r="L16" s="3128" t="str">
        <f t="shared" si="9"/>
        <v>NA</v>
      </c>
      <c r="M16" s="2905" t="s">
        <v>2153</v>
      </c>
      <c r="N16" s="2905">
        <v>-491.66999999999996</v>
      </c>
      <c r="O16" s="3109">
        <f>IF(SUM(M16:N16)=0,M16,SUM(M16:N16))</f>
        <v>-491.66999999999996</v>
      </c>
      <c r="P16" s="2905">
        <v>-110.39400000000001</v>
      </c>
      <c r="Q16" s="2906">
        <v>-101.383</v>
      </c>
      <c r="R16" s="2906" t="s">
        <v>2153</v>
      </c>
      <c r="S16" s="3570">
        <f>IF(SUM(O16:R16)=0,Q16,SUM(O16:R16)*-44/12)</f>
        <v>2579.3056666666666</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73.753813659754186</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73.753813659754186</v>
      </c>
    </row>
    <row r="270" spans="2:10" ht="18" customHeight="1" x14ac:dyDescent="0.2">
      <c r="B270" s="2827" t="s">
        <v>1187</v>
      </c>
      <c r="C270" s="2828"/>
      <c r="D270" s="2808"/>
      <c r="E270" s="2809"/>
      <c r="F270" s="2810"/>
      <c r="G270" s="2811"/>
      <c r="H270" s="2819" t="s">
        <v>2154</v>
      </c>
      <c r="I270" s="2815" t="s">
        <v>2154</v>
      </c>
      <c r="J270" s="3741">
        <f>J277</f>
        <v>60.906051310795853</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585.34366223294364</v>
      </c>
      <c r="E277" s="2755" t="s">
        <v>2147</v>
      </c>
      <c r="F277" s="2753" t="s">
        <v>2147</v>
      </c>
      <c r="G277" s="3735">
        <f>IF(SUM(D277)=0,"NA",J277*1000/D277)</f>
        <v>104.05178229564166</v>
      </c>
      <c r="H277" s="2778" t="str">
        <f t="shared" ref="H277:J277" si="1">H302</f>
        <v>NE</v>
      </c>
      <c r="I277" s="2777" t="str">
        <f t="shared" si="1"/>
        <v>NE</v>
      </c>
      <c r="J277" s="3734">
        <f t="shared" si="1"/>
        <v>60.906051310795853</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327.65333224761861</v>
      </c>
      <c r="E281" s="2755" t="str">
        <f t="shared" si="2"/>
        <v>NA</v>
      </c>
      <c r="F281" s="2753" t="str">
        <f t="shared" si="2"/>
        <v>NA</v>
      </c>
      <c r="G281" s="3735">
        <f t="shared" si="2"/>
        <v>121.45118656660971</v>
      </c>
      <c r="H281" s="2780" t="str">
        <f t="shared" ref="H281" si="3">H306</f>
        <v>NA</v>
      </c>
      <c r="I281" s="2758" t="str">
        <f t="shared" ref="I281:J281" si="4">I306</f>
        <v>NA</v>
      </c>
      <c r="J281" s="3744">
        <f t="shared" si="4"/>
        <v>39.793885983976885</v>
      </c>
    </row>
    <row r="282" spans="2:10" ht="18" customHeight="1" outlineLevel="1" x14ac:dyDescent="0.2">
      <c r="B282" s="2847" t="str">
        <f>B307</f>
        <v>Other Constructed Water Bodies</v>
      </c>
      <c r="C282" s="2835" t="str">
        <f t="shared" si="2"/>
        <v>Other Constructed Water Bodies</v>
      </c>
      <c r="D282" s="3729">
        <f t="shared" si="2"/>
        <v>257.69032998532504</v>
      </c>
      <c r="E282" s="2755" t="str">
        <f t="shared" si="2"/>
        <v>NA</v>
      </c>
      <c r="F282" s="2753" t="str">
        <f t="shared" si="2"/>
        <v>NA</v>
      </c>
      <c r="G282" s="3735">
        <f t="shared" si="2"/>
        <v>81.928434520694921</v>
      </c>
      <c r="H282" s="2845" t="str">
        <f t="shared" ref="H282" si="5">H307</f>
        <v>NA</v>
      </c>
      <c r="I282" s="2846" t="str">
        <f t="shared" ref="I282:J282" si="6">I307</f>
        <v>NA</v>
      </c>
      <c r="J282" s="3744">
        <f t="shared" si="6"/>
        <v>21.112165326818968</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60.906051310795853</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585.34366223294364</v>
      </c>
      <c r="E302" s="2755" t="s">
        <v>2147</v>
      </c>
      <c r="F302" s="2753" t="s">
        <v>2147</v>
      </c>
      <c r="G302" s="3735">
        <f>IF(SUM(D302)=0,"NA",J302*1000/D302)</f>
        <v>104.05178229564166</v>
      </c>
      <c r="H302" s="2778" t="s">
        <v>2154</v>
      </c>
      <c r="I302" s="2777" t="s">
        <v>2154</v>
      </c>
      <c r="J302" s="3734">
        <f t="shared" ref="J302" si="7">IF(SUM(J306:J307)=0,"NO",SUM(J306:J307))</f>
        <v>60.906051310795853</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327.65333224761861</v>
      </c>
      <c r="E306" s="2755" t="s">
        <v>2147</v>
      </c>
      <c r="F306" s="2753" t="s">
        <v>2147</v>
      </c>
      <c r="G306" s="3735">
        <f>IF(SUM(D306)=0,"NA",J306*1000/D306)</f>
        <v>121.45118656660971</v>
      </c>
      <c r="H306" s="2780" t="s">
        <v>2147</v>
      </c>
      <c r="I306" s="2758" t="s">
        <v>2147</v>
      </c>
      <c r="J306" s="3744">
        <v>39.793885983976885</v>
      </c>
    </row>
    <row r="307" spans="2:10" ht="18" customHeight="1" outlineLevel="2" x14ac:dyDescent="0.2">
      <c r="B307" s="2847" t="s">
        <v>2245</v>
      </c>
      <c r="C307" s="2835" t="s">
        <v>2245</v>
      </c>
      <c r="D307" s="3732">
        <v>257.69032998532504</v>
      </c>
      <c r="E307" s="2755" t="s">
        <v>2147</v>
      </c>
      <c r="F307" s="2753" t="s">
        <v>2147</v>
      </c>
      <c r="G307" s="3735">
        <f>IF(SUM(D307)=0,"NA",J307*1000/D307)</f>
        <v>81.928434520694921</v>
      </c>
      <c r="H307" s="2780" t="s">
        <v>2147</v>
      </c>
      <c r="I307" s="2758" t="s">
        <v>2147</v>
      </c>
      <c r="J307" s="3744">
        <v>21.112165326818968</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12.847762348958328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69.805436805555559</v>
      </c>
      <c r="E327" s="2776" t="str">
        <f t="shared" ref="E327:J327" si="8">E331</f>
        <v>NA</v>
      </c>
      <c r="F327" s="2777" t="str">
        <f t="shared" si="8"/>
        <v>NA</v>
      </c>
      <c r="G327" s="3737">
        <f t="shared" si="8"/>
        <v>184.05102721076048</v>
      </c>
      <c r="H327" s="2778" t="str">
        <f t="shared" si="8"/>
        <v>IE</v>
      </c>
      <c r="I327" s="2777" t="str">
        <f t="shared" si="8"/>
        <v>NA</v>
      </c>
      <c r="J327" s="3734">
        <f t="shared" si="8"/>
        <v>12.847762348958328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69.805436805555559</v>
      </c>
      <c r="E331" s="2755" t="str">
        <f t="shared" si="9"/>
        <v>NA</v>
      </c>
      <c r="F331" s="2753" t="str">
        <f t="shared" si="9"/>
        <v>NA</v>
      </c>
      <c r="G331" s="3735">
        <f t="shared" si="9"/>
        <v>184.05102721076048</v>
      </c>
      <c r="H331" s="2765" t="str">
        <f t="shared" si="9"/>
        <v>IE</v>
      </c>
      <c r="I331" s="2758" t="str">
        <f t="shared" si="9"/>
        <v>NA</v>
      </c>
      <c r="J331" s="3744">
        <f t="shared" si="9"/>
        <v>12.847762348958328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12.847762348958328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69.805436805555559</v>
      </c>
      <c r="E411" s="2776" t="str">
        <f t="shared" ref="E411:J411" si="10">E415</f>
        <v>NA</v>
      </c>
      <c r="F411" s="2777" t="str">
        <f t="shared" si="10"/>
        <v>NA</v>
      </c>
      <c r="G411" s="3737">
        <f t="shared" si="10"/>
        <v>184.05102721076048</v>
      </c>
      <c r="H411" s="2778" t="str">
        <f t="shared" si="10"/>
        <v>IE</v>
      </c>
      <c r="I411" s="2777" t="str">
        <f t="shared" si="10"/>
        <v>NA</v>
      </c>
      <c r="J411" s="3734">
        <f t="shared" si="10"/>
        <v>12.847762348958328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69.805436805555559</v>
      </c>
      <c r="E415" s="2755" t="str">
        <f>E427</f>
        <v>NA</v>
      </c>
      <c r="F415" s="2753" t="str">
        <f>F427</f>
        <v>NA</v>
      </c>
      <c r="G415" s="3735">
        <f t="shared" ref="G415:J415" si="11">G427</f>
        <v>184.05102721076048</v>
      </c>
      <c r="H415" s="2780" t="str">
        <f t="shared" si="11"/>
        <v>IE</v>
      </c>
      <c r="I415" s="2758" t="str">
        <f t="shared" si="11"/>
        <v>NA</v>
      </c>
      <c r="J415" s="3744">
        <f t="shared" si="11"/>
        <v>12.847762348958328</v>
      </c>
    </row>
    <row r="416" spans="2:10" ht="18" customHeight="1" outlineLevel="2" x14ac:dyDescent="0.2">
      <c r="B416" s="2842" t="s">
        <v>1199</v>
      </c>
      <c r="C416" s="2828"/>
      <c r="D416" s="3731"/>
      <c r="E416" s="2809"/>
      <c r="F416" s="2810"/>
      <c r="G416" s="3738"/>
      <c r="H416" s="2819" t="s">
        <v>2154</v>
      </c>
      <c r="I416" s="2815" t="s">
        <v>2154</v>
      </c>
      <c r="J416" s="3741">
        <f>J423</f>
        <v>12.847762348958328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69.805436805555559</v>
      </c>
      <c r="E423" s="2776" t="str">
        <f t="shared" ref="E423:J423" si="12">E427</f>
        <v>NA</v>
      </c>
      <c r="F423" s="2777" t="str">
        <f t="shared" si="12"/>
        <v>NA</v>
      </c>
      <c r="G423" s="3737">
        <f t="shared" si="12"/>
        <v>184.05102721076048</v>
      </c>
      <c r="H423" s="2778" t="str">
        <f t="shared" si="12"/>
        <v>IE</v>
      </c>
      <c r="I423" s="2777" t="str">
        <f t="shared" si="12"/>
        <v>NA</v>
      </c>
      <c r="J423" s="3734">
        <f t="shared" si="12"/>
        <v>12.847762348958328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69.805436805555559</v>
      </c>
      <c r="E427" s="2755" t="s">
        <v>2147</v>
      </c>
      <c r="F427" s="2753" t="s">
        <v>2147</v>
      </c>
      <c r="G427" s="3735">
        <f>IF(SUM(D427)=0,"NA",J427*1000/D427)</f>
        <v>184.05102721076048</v>
      </c>
      <c r="H427" s="2780" t="s">
        <v>2153</v>
      </c>
      <c r="I427" s="2758" t="s">
        <v>2147</v>
      </c>
      <c r="J427" s="3744">
        <v>12.847762348958328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657005.90176898031</v>
      </c>
      <c r="D10" s="4332">
        <f>IF(SUM(D11,D20,D28,D37,D46,D55)=0,"NO",SUM(D11,D20,D28,D37,D46,D55))</f>
        <v>46050.699283149217</v>
      </c>
      <c r="E10" s="4333">
        <f t="shared" ref="E10:E12" si="0">IF(SUM(C10)=0,"NA",G10/C10*1000/(44/28))</f>
        <v>1.0553469361240277E-3</v>
      </c>
      <c r="F10" s="4332">
        <f t="shared" ref="F10:F11" si="1">IF(SUM(D10)=0,"NA",H10/D10*1000/(44/28))</f>
        <v>7.4999999999999997E-3</v>
      </c>
      <c r="G10" s="4331">
        <f>IF(SUM(G11,G20,G28,G37,G46,G55)=0,"NO",SUM(G11,G20,G28,G37,G46,G55))</f>
        <v>1.0895801171314672</v>
      </c>
      <c r="H10" s="4334">
        <f>IF(SUM(H11,H20,H28,H37,H46,H55)=0,"NO",SUM(H11,H20,H28,H37,H46,H55))</f>
        <v>0.54274038440854433</v>
      </c>
      <c r="I10" s="4335">
        <f t="shared" ref="I10:I11" si="2">IF(SUM(G10:H10)=0,"NO",SUM(G10:H10))</f>
        <v>1.6323205015400115</v>
      </c>
    </row>
    <row r="11" spans="2:10" ht="18" customHeight="1" x14ac:dyDescent="0.2">
      <c r="B11" s="2848" t="s">
        <v>1901</v>
      </c>
      <c r="C11" s="4336">
        <f>IF(SUM(C12:C13)=0,"NO",SUM(C12:C13))</f>
        <v>133647.67263689745</v>
      </c>
      <c r="D11" s="4337">
        <f>IF(SUM(D12:D13)=0,"NO",SUM(D12:D13))</f>
        <v>17271.614511270942</v>
      </c>
      <c r="E11" s="4336">
        <f t="shared" si="0"/>
        <v>2.0051770108343052E-3</v>
      </c>
      <c r="F11" s="4337">
        <f t="shared" si="1"/>
        <v>7.4999999999999997E-3</v>
      </c>
      <c r="G11" s="4336">
        <f>IF(SUM(G12:G13)=0,"NO",SUM(G12:G13))</f>
        <v>0.42112280685045339</v>
      </c>
      <c r="H11" s="4338">
        <f>IF(SUM(H12:H13)=0,"NO",SUM(H12:H13))</f>
        <v>0.20355831388283607</v>
      </c>
      <c r="I11" s="4337">
        <f t="shared" si="2"/>
        <v>0.62468112073328941</v>
      </c>
    </row>
    <row r="12" spans="2:10" ht="18" customHeight="1" x14ac:dyDescent="0.2">
      <c r="B12" s="914" t="s">
        <v>1228</v>
      </c>
      <c r="C12" s="4339">
        <f>Table4.A!E11</f>
        <v>127223.14541548</v>
      </c>
      <c r="D12" s="4340">
        <f>H12/F12*1000/(44/28)</f>
        <v>6558.3135941030214</v>
      </c>
      <c r="E12" s="4341">
        <f t="shared" si="0"/>
        <v>4.8189188433520524E-4</v>
      </c>
      <c r="F12" s="4342">
        <v>7.4999999999999997E-3</v>
      </c>
      <c r="G12" s="4339">
        <v>9.6340830575498901E-2</v>
      </c>
      <c r="H12" s="4343">
        <v>7.7294410216214179E-2</v>
      </c>
      <c r="I12" s="4344">
        <f>IF(SUM(G12:H12)=0,"NO",SUM(G12:H12))</f>
        <v>0.17363524079171308</v>
      </c>
    </row>
    <row r="13" spans="2:10" ht="18" customHeight="1" x14ac:dyDescent="0.2">
      <c r="B13" s="914" t="s">
        <v>1902</v>
      </c>
      <c r="C13" s="4345">
        <f>IF(SUM(C15:C19)=0,"NO",SUM(C15:C19))</f>
        <v>6424.5272214174593</v>
      </c>
      <c r="D13" s="4344">
        <f>IF(SUM(D15:D19)=0,"NO",SUM(D15:D19))</f>
        <v>10713.300917167919</v>
      </c>
      <c r="E13" s="4345">
        <f>IF(SUM(C13)=0,"NA",G13/C13*1000/(44/28))</f>
        <v>3.2170373371396208E-2</v>
      </c>
      <c r="F13" s="4344">
        <f>IF(SUM(D13)=0,"NA",H13/D13*1000/(44/28))</f>
        <v>7.5000000000000006E-3</v>
      </c>
      <c r="G13" s="4345">
        <f>IF(SUM(G15:G19)=0,"NO",SUM(G15:G19))</f>
        <v>0.32478197627495448</v>
      </c>
      <c r="H13" s="4346">
        <f>IF(SUM(H15:H19)=0,"NO",SUM(H15:H19))</f>
        <v>0.12626390366662191</v>
      </c>
      <c r="I13" s="4344">
        <f>IF(SUM(G13:H13)=0,"NO",SUM(G13:H13))</f>
        <v>0.45104587994157641</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60.856999999999999</v>
      </c>
      <c r="D15" s="4340">
        <f>H15/F15*1000/(44/28)</f>
        <v>115.82938712469723</v>
      </c>
      <c r="E15" s="4345">
        <f>IF(SUM(C15)=0,"NA",G15/C15*1000/(44/28))</f>
        <v>4.6183950353561078E-2</v>
      </c>
      <c r="F15" s="4342">
        <v>7.4999999999999997E-3</v>
      </c>
      <c r="G15" s="4350">
        <v>4.4166833333333325E-3</v>
      </c>
      <c r="H15" s="4351">
        <v>1.3651320625410746E-3</v>
      </c>
      <c r="I15" s="4344">
        <f>IF(SUM(G15:H15)=0,"NO",SUM(G15:H15))</f>
        <v>5.7818153958744071E-3</v>
      </c>
    </row>
    <row r="16" spans="2:10" ht="18" customHeight="1" x14ac:dyDescent="0.2">
      <c r="B16" s="528" t="s">
        <v>1230</v>
      </c>
      <c r="C16" s="4350">
        <f>Table4.A!E19</f>
        <v>6326.2812214174592</v>
      </c>
      <c r="D16" s="4340">
        <f>H16/F16*1000/(44/28)</f>
        <v>10472.055288637617</v>
      </c>
      <c r="E16" s="4345">
        <f t="shared" ref="E16:E21" si="3">IF(SUM(C16)=0,"NA",G16/C16*1000/(44/28))</f>
        <v>3.174343121218956E-2</v>
      </c>
      <c r="F16" s="4342">
        <v>7.4999999999999997E-3</v>
      </c>
      <c r="G16" s="4350">
        <v>0.31557094294162114</v>
      </c>
      <c r="H16" s="4351">
        <v>0.1234206516160862</v>
      </c>
      <c r="I16" s="4344">
        <f t="shared" ref="I16:I21" si="4">IF(SUM(G16:H16)=0,"NO",SUM(G16:H16))</f>
        <v>0.43899159455770731</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37.389000000000003</v>
      </c>
      <c r="D18" s="4340">
        <f>H18/F18*1000/(44/28)</f>
        <v>125.41624140560441</v>
      </c>
      <c r="E18" s="4345">
        <f t="shared" si="3"/>
        <v>8.1600203268340971E-2</v>
      </c>
      <c r="F18" s="4342">
        <v>7.4999999999999997E-3</v>
      </c>
      <c r="G18" s="4350">
        <v>4.794350000000001E-3</v>
      </c>
      <c r="H18" s="4351">
        <v>1.4781199879946234E-3</v>
      </c>
      <c r="I18" s="4344">
        <f t="shared" si="4"/>
        <v>6.2724699879946246E-3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2135.3470000000002</v>
      </c>
      <c r="D20" s="4360">
        <f>D21</f>
        <v>3091.5851061396793</v>
      </c>
      <c r="E20" s="4359">
        <f t="shared" si="3"/>
        <v>2.9761938769982895E-2</v>
      </c>
      <c r="F20" s="4360">
        <f t="shared" si="5"/>
        <v>7.5000000000000006E-3</v>
      </c>
      <c r="G20" s="4359">
        <f>G21</f>
        <v>9.9867533333333341E-2</v>
      </c>
      <c r="H20" s="4361">
        <f>H21</f>
        <v>3.6436538750931939E-2</v>
      </c>
      <c r="I20" s="4360">
        <f t="shared" si="4"/>
        <v>0.13630407208426529</v>
      </c>
    </row>
    <row r="21" spans="2:9" ht="18" customHeight="1" x14ac:dyDescent="0.2">
      <c r="B21" s="914" t="s">
        <v>1904</v>
      </c>
      <c r="C21" s="4345">
        <f>IF(SUM(C23:C27)=0,"NO",SUM(C23:C27))</f>
        <v>2135.3470000000002</v>
      </c>
      <c r="D21" s="4344">
        <f>IF(SUM(D23:D27)=0,"NO",SUM(D23:D27))</f>
        <v>3091.5851061396793</v>
      </c>
      <c r="E21" s="4345">
        <f t="shared" si="3"/>
        <v>2.9761938769982895E-2</v>
      </c>
      <c r="F21" s="4344">
        <f t="shared" si="5"/>
        <v>7.5000000000000006E-3</v>
      </c>
      <c r="G21" s="4345">
        <f>IF(SUM(G23:G27)=0,"NO",SUM(G23:G27))</f>
        <v>9.9867533333333341E-2</v>
      </c>
      <c r="H21" s="4346">
        <f>IF(SUM(H23:H27)=0,"NO",SUM(H23:H27))</f>
        <v>3.6436538750931939E-2</v>
      </c>
      <c r="I21" s="4344">
        <f t="shared" si="4"/>
        <v>0.13630407208426529</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2135.3470000000002</v>
      </c>
      <c r="D23" s="4340">
        <f>H23/F23*1000/(44/28)</f>
        <v>3091.5851061396793</v>
      </c>
      <c r="E23" s="4345">
        <f>IF(SUM(C23)=0,"NA",G23/C23*1000/(44/28))</f>
        <v>2.9761938769982895E-2</v>
      </c>
      <c r="F23" s="4342">
        <v>7.4999999999999997E-3</v>
      </c>
      <c r="G23" s="4350">
        <v>9.9867533333333341E-2</v>
      </c>
      <c r="H23" s="4351">
        <v>3.6436538750931939E-2</v>
      </c>
      <c r="I23" s="4344">
        <f>IF(SUM(G23:H23)=0,"NO",SUM(G23:H23))</f>
        <v>0.13630407208426529</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520018.35428202385</v>
      </c>
      <c r="D28" s="4337">
        <f>IF(SUM(D29:D30)=0,"NO",SUM(D29:D30))</f>
        <v>25169.851885463351</v>
      </c>
      <c r="E28" s="4336">
        <f t="shared" si="6"/>
        <v>6.7231759195392291E-4</v>
      </c>
      <c r="F28" s="4337">
        <f t="shared" si="7"/>
        <v>7.4999999999999997E-3</v>
      </c>
      <c r="G28" s="4336">
        <f>IF(SUM(G29:G30)=0,"NO",SUM(G29:G30))</f>
        <v>0.54939890927857926</v>
      </c>
      <c r="H28" s="4338">
        <f>IF(SUM(H29:H30)=0,"NO",SUM(H29:H30))</f>
        <v>0.29664468293581803</v>
      </c>
      <c r="I28" s="4360">
        <f t="shared" si="8"/>
        <v>0.84604359221439729</v>
      </c>
    </row>
    <row r="29" spans="2:9" ht="18" customHeight="1" x14ac:dyDescent="0.2">
      <c r="B29" s="914" t="s">
        <v>1239</v>
      </c>
      <c r="C29" s="4339">
        <f>Table4.C!E11</f>
        <v>510300.05651178397</v>
      </c>
      <c r="D29" s="4340">
        <f>H29/F29*1000/(44/28)</f>
        <v>18491.420945545415</v>
      </c>
      <c r="E29" s="4341">
        <f t="shared" si="6"/>
        <v>2.8219397244162161E-4</v>
      </c>
      <c r="F29" s="4342">
        <v>7.4999999999999997E-3</v>
      </c>
      <c r="G29" s="4339">
        <v>0.22629137156095536</v>
      </c>
      <c r="H29" s="4343">
        <v>0.21793460400107095</v>
      </c>
      <c r="I29" s="4344">
        <f t="shared" si="8"/>
        <v>0.44422597556202631</v>
      </c>
    </row>
    <row r="30" spans="2:9" ht="18" customHeight="1" x14ac:dyDescent="0.2">
      <c r="B30" s="914" t="s">
        <v>1906</v>
      </c>
      <c r="C30" s="4345">
        <f>IF(SUM(C32:C36)=0,"NO",SUM(C32:C36))</f>
        <v>9718.2977702398621</v>
      </c>
      <c r="D30" s="4344">
        <f>IF(SUM(D32:D36)=0,"NO",SUM(D32:D36))</f>
        <v>6678.4309399179347</v>
      </c>
      <c r="E30" s="4345">
        <f>IF(SUM(C30)=0,"NA",G30/C30*1000/(44/28))</f>
        <v>2.1157397365219145E-2</v>
      </c>
      <c r="F30" s="4344">
        <f>IF(SUM(D30)=0,"NA",H30/D30*1000/(44/28))</f>
        <v>7.4999999999999997E-3</v>
      </c>
      <c r="G30" s="4345">
        <f>IF(SUM(G32:G36)=0,"NO",SUM(G32:G36))</f>
        <v>0.3231075377176239</v>
      </c>
      <c r="H30" s="4346">
        <f>IF(SUM(H32:H36)=0,"NO",SUM(H32:H36))</f>
        <v>7.8710078934747088E-2</v>
      </c>
      <c r="I30" s="4344">
        <f t="shared" si="8"/>
        <v>0.40181761665237098</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9718.2977702398621</v>
      </c>
      <c r="D32" s="4340">
        <f>H32/F32*1000/(44/28)</f>
        <v>6678.4309399179347</v>
      </c>
      <c r="E32" s="4345">
        <f>IF(SUM(C32)=0,"NA",G32/C32*1000/(44/28))</f>
        <v>2.1157397365219145E-2</v>
      </c>
      <c r="F32" s="4342">
        <v>7.4999999999999997E-3</v>
      </c>
      <c r="G32" s="4350">
        <v>0.3231075377176239</v>
      </c>
      <c r="H32" s="4351">
        <v>7.8710078934747088E-2</v>
      </c>
      <c r="I32" s="4344">
        <f t="shared" si="8"/>
        <v>0.40181761665237098</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1204.527850059</v>
      </c>
      <c r="D46" s="4337">
        <f>IF(SUM(D47:D48)=0,"NO",SUM(D47:D48))</f>
        <v>517.64778027524073</v>
      </c>
      <c r="E46" s="4336">
        <f t="shared" si="11"/>
        <v>1.0138719776619853E-2</v>
      </c>
      <c r="F46" s="4337">
        <f t="shared" si="12"/>
        <v>7.4999999999999997E-3</v>
      </c>
      <c r="G46" s="4336">
        <f>IF(SUM(G47:G48)=0,"NO",SUM(G47:G48))</f>
        <v>1.9190867669101191E-2</v>
      </c>
      <c r="H46" s="4338">
        <f>IF(SUM(H47:H48)=0,"NO",SUM(H47:H48))</f>
        <v>6.1008488389581944E-3</v>
      </c>
      <c r="I46" s="4337">
        <f t="shared" si="8"/>
        <v>2.5291716508059385E-2</v>
      </c>
    </row>
    <row r="47" spans="2:9" ht="18" customHeight="1" x14ac:dyDescent="0.2">
      <c r="B47" s="914" t="s">
        <v>1251</v>
      </c>
      <c r="C47" s="4339">
        <f>Table4.E!E11</f>
        <v>948.98985005899999</v>
      </c>
      <c r="D47" s="4340">
        <f>H47/F47*1000/(44/28)</f>
        <v>26.277530758039365</v>
      </c>
      <c r="E47" s="4341">
        <f t="shared" si="11"/>
        <v>4.0501346583634478E-4</v>
      </c>
      <c r="F47" s="4342">
        <v>7.4999999999999997E-3</v>
      </c>
      <c r="G47" s="4339">
        <v>6.0398433576785656E-4</v>
      </c>
      <c r="H47" s="4343">
        <v>3.0969946964832108E-4</v>
      </c>
      <c r="I47" s="4344">
        <f t="shared" si="8"/>
        <v>9.1368380541617764E-4</v>
      </c>
    </row>
    <row r="48" spans="2:9" ht="18" customHeight="1" x14ac:dyDescent="0.2">
      <c r="B48" s="914" t="s">
        <v>1910</v>
      </c>
      <c r="C48" s="4345">
        <f>IF(SUM(C50:C54)=0,"NO",SUM(C50:C54))</f>
        <v>255.53800000000001</v>
      </c>
      <c r="D48" s="4344">
        <f>IF(SUM(D50:D54)=0,"NO",SUM(D50:D54))</f>
        <v>491.37024951720139</v>
      </c>
      <c r="E48" s="4345">
        <f>IF(SUM(C48)=0,"NA",G48/C48*1000/(44/28))</f>
        <v>4.6286723174896363E-2</v>
      </c>
      <c r="F48" s="4344">
        <f>IF(SUM(D48)=0,"NA",H48/D48*1000/(44/28))</f>
        <v>7.4999999999999997E-3</v>
      </c>
      <c r="G48" s="4345">
        <f>IF(SUM(G50:G54)=0,"NO",SUM(G50:G54))</f>
        <v>1.8586883333333335E-2</v>
      </c>
      <c r="H48" s="4346">
        <f>IF(SUM(H50:H54)=0,"NO",SUM(H50:H54))</f>
        <v>5.7911493693098733E-3</v>
      </c>
      <c r="I48" s="4344">
        <f t="shared" si="8"/>
        <v>2.4378032702643208E-2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255.53800000000001</v>
      </c>
      <c r="D50" s="4340">
        <f>H50/F50*1000/(44/28)</f>
        <v>491.37024951720139</v>
      </c>
      <c r="E50" s="4345">
        <f>IF(SUM(C50)=0,"NA",G50/C50*1000/(44/28))</f>
        <v>4.6286723174896363E-2</v>
      </c>
      <c r="F50" s="4342">
        <v>7.4999999999999997E-3</v>
      </c>
      <c r="G50" s="4350">
        <v>1.8586883333333335E-2</v>
      </c>
      <c r="H50" s="4351">
        <v>5.7911493693098733E-3</v>
      </c>
      <c r="I50" s="4344">
        <f t="shared" si="8"/>
        <v>2.4378032702643208E-2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4295862.5884151114</v>
      </c>
      <c r="D10" s="3076" t="s">
        <v>1814</v>
      </c>
      <c r="E10" s="628"/>
      <c r="F10" s="628"/>
      <c r="G10" s="628"/>
      <c r="H10" s="1913">
        <f>IF(SUM(H11:H15)=0,"NO",SUM(H11:H15))</f>
        <v>304384.38556825276</v>
      </c>
      <c r="I10" s="1913">
        <f t="shared" ref="I10:K10" si="0">IF(SUM(I11:I16)=0,"NO",SUM(I11:I16))</f>
        <v>122.71031809767516</v>
      </c>
      <c r="J10" s="1913">
        <f t="shared" si="0"/>
        <v>9.3207345529646588</v>
      </c>
      <c r="K10" s="3085" t="str">
        <f t="shared" si="0"/>
        <v>NO</v>
      </c>
    </row>
    <row r="11" spans="2:11" ht="18" customHeight="1" x14ac:dyDescent="0.2">
      <c r="B11" s="282" t="s">
        <v>132</v>
      </c>
      <c r="C11" s="3086">
        <f>IF(SUM(C18,'Table1.A(a)s2'!C11,'Table1.A(a)s3'!C11,'Table1.A(a)s4'!C11,'Table1.A(a)s4'!C94)=0,"NO",SUM(C18,'Table1.A(a)s2'!C11,'Table1.A(a)s3'!C11,'Table1.A(a)s4'!C11,'Table1.A(a)s4'!C94))</f>
        <v>1412498.2424874513</v>
      </c>
      <c r="D11" s="3077" t="s">
        <v>2145</v>
      </c>
      <c r="E11" s="1913">
        <f>IFERROR(H11*1000/$C11,"NA")</f>
        <v>67.947653364131469</v>
      </c>
      <c r="F11" s="1913">
        <f t="shared" ref="F11:G16" si="1">IFERROR(I11*1000000/$C11,"NA")</f>
        <v>21.897324351161206</v>
      </c>
      <c r="G11" s="1913">
        <f t="shared" si="1"/>
        <v>4.1632228785590391</v>
      </c>
      <c r="H11" s="1913">
        <f>IF(SUM(H18,'Table1.A(a)s2'!H11,'Table1.A(a)s3'!H11,'Table1.A(a)s4'!H11,'Table1.A(a)s4'!H94)=0,"NO",SUM(H18,'Table1.A(a)s2'!H11,'Table1.A(a)s3'!H11,'Table1.A(a)s4'!H11,'Table1.A(a)s4'!H94))</f>
        <v>95975.940957982253</v>
      </c>
      <c r="I11" s="1913">
        <f>IF(SUM(I18,'Table1.A(a)s2'!I11,'Table1.A(a)s3'!I11,'Table1.A(a)s4'!I11,'Table1.A(a)s4'!I94)=0,"NO",SUM(I18,'Table1.A(a)s2'!I11,'Table1.A(a)s3'!I11,'Table1.A(a)s4'!I11,'Table1.A(a)s4'!I94))</f>
        <v>30.929932161192877</v>
      </c>
      <c r="J11" s="1913">
        <f>IF(SUM(J18,'Table1.A(a)s2'!J11,'Table1.A(a)s3'!J11,'Table1.A(a)s4'!J11,'Table1.A(a)s4'!J94)=0,"NO",SUM(J18,'Table1.A(a)s2'!J11,'Table1.A(a)s3'!J11,'Table1.A(a)s4'!J11,'Table1.A(a)s4'!J94))</f>
        <v>5.8805449990481904</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1847102.0817120837</v>
      </c>
      <c r="D12" s="3077" t="s">
        <v>1814</v>
      </c>
      <c r="E12" s="1913">
        <f t="shared" ref="E12:E16" si="2">IFERROR(H12*1000/$C12,"NA")</f>
        <v>90.018446988787218</v>
      </c>
      <c r="F12" s="1913">
        <f t="shared" si="1"/>
        <v>0.69100938959917313</v>
      </c>
      <c r="G12" s="1913">
        <f t="shared" si="1"/>
        <v>0.97836762921295517</v>
      </c>
      <c r="H12" s="1913">
        <f>IF(SUM(H19,'Table1.A(a)s2'!H12,'Table1.A(a)s3'!H12,'Table1.A(a)s4'!H12,'Table1.A(a)s4'!H95)=0,"NO",SUM(H19,'Table1.A(a)s2'!H12,'Table1.A(a)s3'!H12,'Table1.A(a)s4'!H12,'Table1.A(a)s4'!H95))</f>
        <v>166273.26082547772</v>
      </c>
      <c r="I12" s="1913">
        <f>IF(SUM(I19,'Table1.A(a)s2'!I12,'Table1.A(a)s3'!I12,'Table1.A(a)s4'!I12,'Table1.A(a)s4'!I95)=0,"NO",SUM(I19,'Table1.A(a)s2'!I12,'Table1.A(a)s3'!I12,'Table1.A(a)s4'!I12,'Table1.A(a)s4'!I95))</f>
        <v>1.276364882011229</v>
      </c>
      <c r="J12" s="1913">
        <f>IF(SUM(J19,'Table1.A(a)s2'!J12,'Table1.A(a)s3'!J12,'Table1.A(a)s4'!J12,'Table1.A(a)s4'!J95)=0,"NO",SUM(J19,'Table1.A(a)s2'!J12,'Table1.A(a)s3'!J12,'Table1.A(a)s4'!J12,'Table1.A(a)s4'!J95))</f>
        <v>1.8071448845989655</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810513.35265985481</v>
      </c>
      <c r="D13" s="3077" t="s">
        <v>2145</v>
      </c>
      <c r="E13" s="1913">
        <f t="shared" si="2"/>
        <v>51.514152501915284</v>
      </c>
      <c r="F13" s="1913">
        <f t="shared" si="1"/>
        <v>10.097082828897749</v>
      </c>
      <c r="G13" s="1913">
        <f t="shared" si="1"/>
        <v>0.77050271746494814</v>
      </c>
      <c r="H13" s="1913">
        <f>IF(SUM(H20,'Table1.A(a)s2'!H13,'Table1.A(a)s3'!H13,'Table1.A(a)s4'!H13,'Table1.A(a)s4'!H96)=0,"NO",SUM(H20,'Table1.A(a)s2'!H13,'Table1.A(a)s3'!H13,'Table1.A(a)s4'!H13,'Table1.A(a)s4'!H96))</f>
        <v>41752.908453758406</v>
      </c>
      <c r="I13" s="1913">
        <f>IF(SUM(I20,'Table1.A(a)s2'!I13,'Table1.A(a)s3'!I13,'Table1.A(a)s4'!I13,'Table1.A(a)s4'!I96)=0,"NO",SUM(I20,'Table1.A(a)s2'!I13,'Table1.A(a)s3'!I13,'Table1.A(a)s4'!I13,'Table1.A(a)s4'!I96))</f>
        <v>8.1838204557341658</v>
      </c>
      <c r="J13" s="1913">
        <f>IF(SUM(J20,'Table1.A(a)s2'!J13,'Table1.A(a)s3'!J13,'Table1.A(a)s4'!J13,'Table1.A(a)s4'!J96)=0,"NO",SUM(J20,'Table1.A(a)s2'!J13,'Table1.A(a)s3'!J13,'Table1.A(a)s4'!J13,'Table1.A(a)s4'!J96))</f>
        <v>0.62450274076604395</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4251.4915557215618</v>
      </c>
      <c r="D14" s="3077" t="s">
        <v>2145</v>
      </c>
      <c r="E14" s="1913">
        <f t="shared" si="2"/>
        <v>89.915580455506955</v>
      </c>
      <c r="F14" s="1913">
        <f t="shared" si="1"/>
        <v>31.83823799857619</v>
      </c>
      <c r="G14" s="1913">
        <f t="shared" si="1"/>
        <v>0.99494493745550594</v>
      </c>
      <c r="H14" s="1913">
        <f>IF(SUM(H21,'Table1.A(a)s2'!H14,'Table1.A(a)s3'!H14,'Table1.A(a)s4'!H14,'Table1.A(a)s4'!H97)=0,"NO",SUM(H21,'Table1.A(a)s2'!H14,'Table1.A(a)s3'!H14,'Table1.A(a)s4'!H14,'Table1.A(a)s4'!H97))</f>
        <v>382.27533103439055</v>
      </c>
      <c r="I14" s="1913">
        <f>IF(SUM(I21,'Table1.A(a)s2'!I14,'Table1.A(a)s3'!I14,'Table1.A(a)s4'!I14,'Table1.A(a)s4'!I97)=0,"NO",SUM(I21,'Table1.A(a)s2'!I14,'Table1.A(a)s3'!I14,'Table1.A(a)s4'!I14,'Table1.A(a)s4'!I97))</f>
        <v>0.13536000000000004</v>
      </c>
      <c r="J14" s="1913">
        <f>IF(SUM(J21,'Table1.A(a)s2'!J14,'Table1.A(a)s3'!J14,'Table1.A(a)s4'!J14,'Table1.A(a)s4'!J97)=0,"NO",SUM(J21,'Table1.A(a)s2'!J14,'Table1.A(a)s3'!J14,'Table1.A(a)s4'!J14,'Table1.A(a)s4'!J97))</f>
        <v>4.2300000000000011E-3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221497.41999999998</v>
      </c>
      <c r="D16" s="3079" t="s">
        <v>2145</v>
      </c>
      <c r="E16" s="2880">
        <f t="shared" si="2"/>
        <v>87.263717789579687</v>
      </c>
      <c r="F16" s="1913">
        <f t="shared" si="1"/>
        <v>371.04197691664717</v>
      </c>
      <c r="G16" s="1913">
        <f t="shared" si="1"/>
        <v>4.5341924459050507</v>
      </c>
      <c r="H16" s="2880">
        <f>IF(SUM(H23,'Table1.A(a)s2'!H16,'Table1.A(a)s3'!H15,'Table1.A(a)s4'!H16,'Table1.A(a)s4'!H99)=0,"NO",SUM(H23,'Table1.A(a)s2'!H16,'Table1.A(a)s3'!H15,'Table1.A(a)s4'!H16,'Table1.A(a)s4'!H99))</f>
        <v>19328.68835</v>
      </c>
      <c r="I16" s="2880">
        <f>IF(SUM(I23,'Table1.A(a)s2'!I16,'Table1.A(a)s3'!I15,'Table1.A(a)s4'!I16,'Table1.A(a)s4'!I99)=0,"NO",SUM(I23,'Table1.A(a)s2'!I16,'Table1.A(a)s3'!I15,'Table1.A(a)s4'!I16,'Table1.A(a)s4'!I99))</f>
        <v>82.184840598736898</v>
      </c>
      <c r="J16" s="2880">
        <f>IF(SUM(J23,'Table1.A(a)s2'!J16,'Table1.A(a)s3'!J15,'Table1.A(a)s4'!J16,'Table1.A(a)s4'!J99)=0,"NO",SUM(J23,'Table1.A(a)s2'!J16,'Table1.A(a)s3'!J15,'Table1.A(a)s4'!J16,'Table1.A(a)s4'!J99))</f>
        <v>1.0043119285514583</v>
      </c>
      <c r="K16" s="3066" t="str">
        <f>IF(SUM(K23,'Table1.A(a)s2'!K16,'Table1.A(a)s3'!K15,'Table1.A(a)s4'!K16,'Table1.A(a)s4'!K99)=0,"NO",SUM(K23,'Table1.A(a)s2'!K16,'Table1.A(a)s3'!K15,'Table1.A(a)s4'!K16,'Table1.A(a)s4'!K99))</f>
        <v>NO</v>
      </c>
    </row>
    <row r="17" spans="2:12" ht="18" customHeight="1" x14ac:dyDescent="0.2">
      <c r="B17" s="2184" t="s">
        <v>76</v>
      </c>
      <c r="C17" s="3067">
        <f>IF(SUM(C18:C23)=0,"NO",SUM(C18:C23))</f>
        <v>2186969.1827610321</v>
      </c>
      <c r="D17" s="3080" t="s">
        <v>1814</v>
      </c>
      <c r="E17" s="3081"/>
      <c r="F17" s="3081"/>
      <c r="G17" s="3081"/>
      <c r="H17" s="3067">
        <f>IF(SUM(H18:H22)=0,"NO",SUM(H18:H22))</f>
        <v>181214.84033435362</v>
      </c>
      <c r="I17" s="3067">
        <f t="shared" ref="I17" si="3">IF(SUM(I18:I23)=0,"NO",SUM(I18:I23))</f>
        <v>9.0829981985042814</v>
      </c>
      <c r="J17" s="3067">
        <f t="shared" ref="J17" si="4">IF(SUM(J18:J23)=0,"NO",SUM(J18:J23))</f>
        <v>2.251524080243712</v>
      </c>
      <c r="K17" s="3068" t="str">
        <f t="shared" ref="K17" si="5">IF(SUM(K18:K23)=0,"NO",SUM(K18:K23))</f>
        <v>NO</v>
      </c>
    </row>
    <row r="18" spans="2:12" ht="18" customHeight="1" x14ac:dyDescent="0.2">
      <c r="B18" s="282" t="s">
        <v>132</v>
      </c>
      <c r="C18" s="3086">
        <f>IF(SUM(C25,C54,C61)=0,"NO",SUM(C25,C54,C61))</f>
        <v>131227.9390001999</v>
      </c>
      <c r="D18" s="3077" t="s">
        <v>1814</v>
      </c>
      <c r="E18" s="1913">
        <f>IFERROR(H18*1000/$C18,"NA")</f>
        <v>66.741964934936448</v>
      </c>
      <c r="F18" s="1913">
        <f t="shared" ref="F18:G23" si="6">IFERROR(I18*1000000/$C18,"NA")</f>
        <v>1.6886047793898702</v>
      </c>
      <c r="G18" s="1913">
        <f t="shared" si="6"/>
        <v>0.98348783742593249</v>
      </c>
      <c r="H18" s="3086">
        <f>IF(SUM(H25,H54,H61)=0,"NO",SUM(H25,H54,H61))</f>
        <v>8758.4105032353218</v>
      </c>
      <c r="I18" s="3086">
        <f>IF(SUM(I25,I54,I61)=0,"NO",SUM(I25,I54,I61))</f>
        <v>0.22159212498521988</v>
      </c>
      <c r="J18" s="3086">
        <f>IF(SUM(J25,J54,J61)=0,"NO",SUM(J25,J54,J61))</f>
        <v>0.12906108193716878</v>
      </c>
      <c r="K18" s="3069" t="str">
        <f>IF(SUM(K25,K54,K61)=0,"NO",SUM(K25,K54,K61))</f>
        <v>NO</v>
      </c>
      <c r="L18" s="19"/>
    </row>
    <row r="19" spans="2:12" ht="18" customHeight="1" x14ac:dyDescent="0.2">
      <c r="B19" s="282" t="s">
        <v>133</v>
      </c>
      <c r="C19" s="3086">
        <f t="shared" ref="C19:C23" si="7">IF(SUM(C26,C55,C62)=0,"NO",SUM(C26,C55,C62))</f>
        <v>1715933.3903167348</v>
      </c>
      <c r="D19" s="3077" t="s">
        <v>1814</v>
      </c>
      <c r="E19" s="1913">
        <f t="shared" ref="E19:E23" si="8">IFERROR(H19*1000/$C19,"NA")</f>
        <v>90.748509144596483</v>
      </c>
      <c r="F19" s="1913">
        <f t="shared" si="6"/>
        <v>0.67038694240132513</v>
      </c>
      <c r="G19" s="1913">
        <f t="shared" si="6"/>
        <v>0.99986599278085819</v>
      </c>
      <c r="H19" s="3086">
        <f t="shared" ref="H19:K23" si="9">IF(SUM(H26,H55,H62)=0,"NO",SUM(H26,H55,H62))</f>
        <v>155718.39696267663</v>
      </c>
      <c r="I19" s="3086">
        <f t="shared" si="9"/>
        <v>1.1503393388987755</v>
      </c>
      <c r="J19" s="3086">
        <f t="shared" si="9"/>
        <v>1.7157034428548659</v>
      </c>
      <c r="K19" s="3069" t="str">
        <f t="shared" si="9"/>
        <v>NO</v>
      </c>
      <c r="L19" s="19"/>
    </row>
    <row r="20" spans="2:12" ht="18" customHeight="1" x14ac:dyDescent="0.2">
      <c r="B20" s="282" t="s">
        <v>134</v>
      </c>
      <c r="C20" s="3086">
        <f t="shared" si="7"/>
        <v>324126.3764213504</v>
      </c>
      <c r="D20" s="3077" t="s">
        <v>1814</v>
      </c>
      <c r="E20" s="1913">
        <f t="shared" si="8"/>
        <v>51.640452879042869</v>
      </c>
      <c r="F20" s="1913">
        <f t="shared" si="6"/>
        <v>23.283463313616565</v>
      </c>
      <c r="G20" s="1913">
        <f t="shared" si="6"/>
        <v>0.9324029060416954</v>
      </c>
      <c r="H20" s="3086">
        <f t="shared" si="9"/>
        <v>16738.032868441656</v>
      </c>
      <c r="I20" s="3086">
        <f t="shared" si="9"/>
        <v>7.5467845943819851</v>
      </c>
      <c r="J20" s="3086">
        <f t="shared" si="9"/>
        <v>0.30221637530003154</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15681.47702274694</v>
      </c>
      <c r="D23" s="3077" t="s">
        <v>1814</v>
      </c>
      <c r="E23" s="1913">
        <f t="shared" si="8"/>
        <v>95</v>
      </c>
      <c r="F23" s="1913">
        <f t="shared" si="6"/>
        <v>10.476190476190476</v>
      </c>
      <c r="G23" s="1913">
        <f t="shared" si="6"/>
        <v>6.6666666666666652</v>
      </c>
      <c r="H23" s="3086">
        <f t="shared" si="9"/>
        <v>1489.7403171609594</v>
      </c>
      <c r="I23" s="3086">
        <f t="shared" si="9"/>
        <v>0.16428214023830129</v>
      </c>
      <c r="J23" s="3086">
        <f t="shared" si="9"/>
        <v>0.10454318015164625</v>
      </c>
      <c r="K23" s="3069" t="str">
        <f t="shared" si="9"/>
        <v>NO</v>
      </c>
      <c r="L23" s="19"/>
    </row>
    <row r="24" spans="2:12" ht="18" customHeight="1" x14ac:dyDescent="0.2">
      <c r="B24" s="1237" t="s">
        <v>138</v>
      </c>
      <c r="C24" s="3086">
        <f>IF(SUM(C25:C30)=0,"NO",SUM(C25:C30))</f>
        <v>1905745.0551669556</v>
      </c>
      <c r="D24" s="3077" t="s">
        <v>1814</v>
      </c>
      <c r="E24" s="628"/>
      <c r="F24" s="628"/>
      <c r="G24" s="628"/>
      <c r="H24" s="3086">
        <f>IF(SUM(H25:H29)=0,"NO",SUM(H25:H29))</f>
        <v>164724.45122576004</v>
      </c>
      <c r="I24" s="3086">
        <f t="shared" ref="I24" si="10">IF(SUM(I25:I30)=0,"NO",SUM(I25:I30))</f>
        <v>3.3116834127063997</v>
      </c>
      <c r="J24" s="3086">
        <f t="shared" ref="J24" si="11">IF(SUM(J25:J30)=0,"NO",SUM(J25:J30))</f>
        <v>1.9834727040076758</v>
      </c>
      <c r="K24" s="3069" t="str">
        <f t="shared" ref="K24" si="12">IF(SUM(K25:K30)=0,"NO",SUM(K25:K30))</f>
        <v>NO</v>
      </c>
      <c r="L24" s="19"/>
    </row>
    <row r="25" spans="2:12" ht="18" customHeight="1" x14ac:dyDescent="0.2">
      <c r="B25" s="160" t="s">
        <v>132</v>
      </c>
      <c r="C25" s="3074">
        <f>IF(SUM(C33,C40,C47)=0,"NO",SUM(C33,C40,C47))</f>
        <v>25181.9390002</v>
      </c>
      <c r="D25" s="3082" t="s">
        <v>1814</v>
      </c>
      <c r="E25" s="3086">
        <f>IFERROR(H25*1000/$C25,"NA")</f>
        <v>69.927919923931981</v>
      </c>
      <c r="F25" s="1913">
        <f t="shared" ref="F25:G30" si="13">IFERROR(I25*1000000/$C25,"NA")</f>
        <v>3.5252240700450419</v>
      </c>
      <c r="G25" s="1913">
        <f t="shared" si="13"/>
        <v>0.37206801409366952</v>
      </c>
      <c r="H25" s="3086">
        <f>IF(SUM(H33,H40,H47)=0,"NO",SUM(H33,H40,H47))</f>
        <v>1760.9206139353255</v>
      </c>
      <c r="I25" s="3086">
        <f>IF(SUM(I33,I40,I47)=0,"NO",SUM(I33,I40,I47))</f>
        <v>8.8771977493911025E-2</v>
      </c>
      <c r="J25" s="3086">
        <f>IF(SUM(J33,J40,J47)=0,"NO",SUM(J33,J40,J47))</f>
        <v>9.3693940348323398E-3</v>
      </c>
      <c r="K25" s="3069" t="str">
        <f>IF(SUM(K33,K40,K47)=0,"NO",SUM(K33,K40,K47))</f>
        <v>NO</v>
      </c>
      <c r="L25" s="19"/>
    </row>
    <row r="26" spans="2:12" ht="18" customHeight="1" x14ac:dyDescent="0.2">
      <c r="B26" s="160" t="s">
        <v>133</v>
      </c>
      <c r="C26" s="3086">
        <f t="shared" ref="C26:C30" si="14">IF(SUM(C34,C41,C48)=0,"NO",SUM(C34,C41,C48))</f>
        <v>1697959.5791440085</v>
      </c>
      <c r="D26" s="3082" t="s">
        <v>1814</v>
      </c>
      <c r="E26" s="3086">
        <f t="shared" ref="E26:E30" si="15">IFERROR(H26*1000/$C26,"NA")</f>
        <v>90.878295995484507</v>
      </c>
      <c r="F26" s="1913">
        <f t="shared" si="13"/>
        <v>0.66732372612028201</v>
      </c>
      <c r="G26" s="1913">
        <f t="shared" si="13"/>
        <v>1.0024663536814689</v>
      </c>
      <c r="H26" s="3086">
        <f t="shared" ref="H26:K30" si="16">IF(SUM(H34,H41,H48)=0,"NO",SUM(H34,H41,H48))</f>
        <v>154307.6732218175</v>
      </c>
      <c r="I26" s="3086">
        <f t="shared" si="16"/>
        <v>1.1330887131560057</v>
      </c>
      <c r="J26" s="3086">
        <f t="shared" si="16"/>
        <v>1.7021473480030156</v>
      </c>
      <c r="K26" s="3069" t="str">
        <f t="shared" si="16"/>
        <v>NO</v>
      </c>
      <c r="L26" s="19"/>
    </row>
    <row r="27" spans="2:12" ht="18" customHeight="1" x14ac:dyDescent="0.2">
      <c r="B27" s="160" t="s">
        <v>134</v>
      </c>
      <c r="C27" s="3086">
        <f t="shared" si="14"/>
        <v>166922.05999999997</v>
      </c>
      <c r="D27" s="3082" t="s">
        <v>1814</v>
      </c>
      <c r="E27" s="3086">
        <f t="shared" si="15"/>
        <v>51.85568276599998</v>
      </c>
      <c r="F27" s="1913">
        <f t="shared" si="13"/>
        <v>11.535566849691298</v>
      </c>
      <c r="G27" s="1913">
        <f t="shared" si="13"/>
        <v>1.0029398260372642</v>
      </c>
      <c r="H27" s="3086">
        <f t="shared" si="16"/>
        <v>8655.8573900072133</v>
      </c>
      <c r="I27" s="3086">
        <f t="shared" si="16"/>
        <v>1.9255405818181814</v>
      </c>
      <c r="J27" s="3086">
        <f t="shared" si="16"/>
        <v>0.16741278181818176</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15681.47702274694</v>
      </c>
      <c r="D30" s="3082" t="s">
        <v>1814</v>
      </c>
      <c r="E30" s="3086">
        <f t="shared" si="15"/>
        <v>95</v>
      </c>
      <c r="F30" s="1913">
        <f t="shared" si="13"/>
        <v>10.476190476190476</v>
      </c>
      <c r="G30" s="1913">
        <f t="shared" si="13"/>
        <v>6.6666666666666652</v>
      </c>
      <c r="H30" s="3086">
        <f t="shared" si="16"/>
        <v>1489.7403171609594</v>
      </c>
      <c r="I30" s="3086">
        <f t="shared" si="16"/>
        <v>0.16428214023830129</v>
      </c>
      <c r="J30" s="3086">
        <f t="shared" si="16"/>
        <v>0.10454318015164625</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1905745.0551669556</v>
      </c>
      <c r="D32" s="3077" t="s">
        <v>1814</v>
      </c>
      <c r="E32" s="1914"/>
      <c r="F32" s="1914"/>
      <c r="G32" s="1914"/>
      <c r="H32" s="3086">
        <f>IF(SUM(H33:H37)=0,"NO",SUM(H33:H37))</f>
        <v>164724.45122576004</v>
      </c>
      <c r="I32" s="3086">
        <f t="shared" ref="I32" si="17">IF(SUM(I33:I38)=0,"NO",SUM(I33:I38))</f>
        <v>3.3116834127063997</v>
      </c>
      <c r="J32" s="3086">
        <f t="shared" ref="J32" si="18">IF(SUM(J33:J38)=0,"NO",SUM(J33:J38))</f>
        <v>1.9834727040076758</v>
      </c>
      <c r="K32" s="3069" t="str">
        <f t="shared" ref="K32" si="19">IF(SUM(K33:K38)=0,"NO",SUM(K33:K38))</f>
        <v>NO</v>
      </c>
      <c r="L32" s="19"/>
    </row>
    <row r="33" spans="2:12" ht="18" customHeight="1" x14ac:dyDescent="0.2">
      <c r="B33" s="160" t="s">
        <v>132</v>
      </c>
      <c r="C33" s="3033">
        <v>25181.9390002</v>
      </c>
      <c r="D33" s="3077" t="s">
        <v>1814</v>
      </c>
      <c r="E33" s="1913">
        <f>IFERROR(H33*1000/$C33,"NA")</f>
        <v>69.927919923931981</v>
      </c>
      <c r="F33" s="1913">
        <f t="shared" ref="F33:G38" si="20">IFERROR(I33*1000000/$C33,"NA")</f>
        <v>3.5252240700450419</v>
      </c>
      <c r="G33" s="1913">
        <f t="shared" si="20"/>
        <v>0.37206801409366952</v>
      </c>
      <c r="H33" s="3033">
        <v>1760.9206139353255</v>
      </c>
      <c r="I33" s="3033">
        <v>8.8771977493911025E-2</v>
      </c>
      <c r="J33" s="3033">
        <v>9.3693940348323398E-3</v>
      </c>
      <c r="K33" s="3072" t="s">
        <v>2146</v>
      </c>
      <c r="L33" s="19"/>
    </row>
    <row r="34" spans="2:12" ht="18" customHeight="1" x14ac:dyDescent="0.2">
      <c r="B34" s="160" t="s">
        <v>133</v>
      </c>
      <c r="C34" s="3033">
        <v>1697959.5791440085</v>
      </c>
      <c r="D34" s="3077" t="s">
        <v>1814</v>
      </c>
      <c r="E34" s="1913">
        <f t="shared" ref="E34:E38" si="21">IFERROR(H34*1000/$C34,"NA")</f>
        <v>90.878295995484507</v>
      </c>
      <c r="F34" s="1913">
        <f t="shared" si="20"/>
        <v>0.66732372612028201</v>
      </c>
      <c r="G34" s="1913">
        <f t="shared" si="20"/>
        <v>1.0024663536814689</v>
      </c>
      <c r="H34" s="3033">
        <v>154307.6732218175</v>
      </c>
      <c r="I34" s="3033">
        <v>1.1330887131560057</v>
      </c>
      <c r="J34" s="3033">
        <v>1.7021473480030156</v>
      </c>
      <c r="K34" s="3072" t="s">
        <v>2146</v>
      </c>
      <c r="L34" s="19"/>
    </row>
    <row r="35" spans="2:12" ht="18" customHeight="1" x14ac:dyDescent="0.2">
      <c r="B35" s="160" t="s">
        <v>134</v>
      </c>
      <c r="C35" s="3033">
        <v>166922.05999999997</v>
      </c>
      <c r="D35" s="3077" t="s">
        <v>1814</v>
      </c>
      <c r="E35" s="1913">
        <f t="shared" si="21"/>
        <v>51.85568276599998</v>
      </c>
      <c r="F35" s="1913">
        <f t="shared" si="20"/>
        <v>11.535566849691298</v>
      </c>
      <c r="G35" s="1913">
        <f t="shared" si="20"/>
        <v>1.0029398260372642</v>
      </c>
      <c r="H35" s="3033">
        <v>8655.8573900072133</v>
      </c>
      <c r="I35" s="3033">
        <v>1.9255405818181814</v>
      </c>
      <c r="J35" s="3033">
        <v>0.16741278181818176</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15681.47702274694</v>
      </c>
      <c r="D38" s="3077" t="s">
        <v>1814</v>
      </c>
      <c r="E38" s="1913">
        <f t="shared" si="21"/>
        <v>95</v>
      </c>
      <c r="F38" s="1913">
        <f t="shared" si="20"/>
        <v>10.476190476190476</v>
      </c>
      <c r="G38" s="1913">
        <f t="shared" si="20"/>
        <v>6.6666666666666652</v>
      </c>
      <c r="H38" s="3033">
        <v>1489.7403171609594</v>
      </c>
      <c r="I38" s="3033">
        <v>0.16428214023830129</v>
      </c>
      <c r="J38" s="3033">
        <v>0.10454318015164625</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93470.999999999898</v>
      </c>
      <c r="D53" s="3077" t="s">
        <v>1814</v>
      </c>
      <c r="E53" s="628"/>
      <c r="F53" s="628"/>
      <c r="G53" s="628"/>
      <c r="H53" s="3086">
        <f>IF(SUM(H54:H58)=0,"NO",SUM(H54:H58))</f>
        <v>5935.2910971908659</v>
      </c>
      <c r="I53" s="3086">
        <f t="shared" ref="I53:K53" si="28">IF(SUM(I54:I59)=0,"NO",SUM(I54:I59))</f>
        <v>6.5501569350649283E-2</v>
      </c>
      <c r="J53" s="3086">
        <f t="shared" si="28"/>
        <v>4.8892577679653645E-2</v>
      </c>
      <c r="K53" s="3069" t="str">
        <f t="shared" si="28"/>
        <v>NO</v>
      </c>
      <c r="L53" s="19"/>
    </row>
    <row r="54" spans="2:12" ht="18" customHeight="1" x14ac:dyDescent="0.2">
      <c r="B54" s="160" t="s">
        <v>132</v>
      </c>
      <c r="C54" s="3033">
        <v>83770.999999999913</v>
      </c>
      <c r="D54" s="3077" t="s">
        <v>1814</v>
      </c>
      <c r="E54" s="1913">
        <f>IFERROR(H54*1000/$C54,"NA")</f>
        <v>64.89830000000002</v>
      </c>
      <c r="F54" s="1913">
        <f t="shared" ref="F54:G59" si="29">IFERROR(I54*1000000/$C54,"NA")</f>
        <v>0.66285714285714292</v>
      </c>
      <c r="G54" s="1913">
        <f t="shared" si="29"/>
        <v>0.53447619047619066</v>
      </c>
      <c r="H54" s="3033">
        <v>5436.5954892999962</v>
      </c>
      <c r="I54" s="3033">
        <v>5.5528205714285656E-2</v>
      </c>
      <c r="J54" s="3033">
        <v>4.4773604952380919E-2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9699.9999999999891</v>
      </c>
      <c r="D56" s="3077" t="s">
        <v>1814</v>
      </c>
      <c r="E56" s="1913">
        <f t="shared" si="30"/>
        <v>51.411918339265007</v>
      </c>
      <c r="F56" s="1913">
        <f t="shared" si="29"/>
        <v>1.0281818181818181</v>
      </c>
      <c r="G56" s="1913">
        <f t="shared" si="29"/>
        <v>0.4246363636363637</v>
      </c>
      <c r="H56" s="3033">
        <v>498.69560789087001</v>
      </c>
      <c r="I56" s="3033">
        <v>9.973363636363624E-3</v>
      </c>
      <c r="J56" s="3033">
        <v>4.1189727272727232E-3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187753.12759407685</v>
      </c>
      <c r="D60" s="3077" t="s">
        <v>1814</v>
      </c>
      <c r="E60" s="628"/>
      <c r="F60" s="628"/>
      <c r="G60" s="628"/>
      <c r="H60" s="3086">
        <f>IF(SUM(H61:H65)=0,"NO",SUM(H61:H65))</f>
        <v>10555.098011402717</v>
      </c>
      <c r="I60" s="3086">
        <f t="shared" ref="I60:K60" si="31">IF(SUM(I61:I66)=0,"NO",SUM(I61:I66))</f>
        <v>5.7058132164472326</v>
      </c>
      <c r="J60" s="3086">
        <f t="shared" si="31"/>
        <v>0.21915879855638298</v>
      </c>
      <c r="K60" s="3069" t="str">
        <f t="shared" si="31"/>
        <v>NO</v>
      </c>
      <c r="L60" s="19"/>
    </row>
    <row r="61" spans="2:12" ht="18" customHeight="1" x14ac:dyDescent="0.2">
      <c r="B61" s="160" t="s">
        <v>132</v>
      </c>
      <c r="C61" s="3074">
        <f>IF(SUM(C69,C76,C83)=0,"NO",SUM(C69,C76,C83))</f>
        <v>22275</v>
      </c>
      <c r="D61" s="3077" t="s">
        <v>1814</v>
      </c>
      <c r="E61" s="1913">
        <f>IFERROR(H61*1000/$C61,"NA")</f>
        <v>70.073822671156009</v>
      </c>
      <c r="F61" s="1913">
        <f t="shared" ref="F61:G66" si="32">IFERROR(I61*1000000/$C61,"NA")</f>
        <v>3.4698963760728709</v>
      </c>
      <c r="G61" s="1913">
        <f t="shared" si="32"/>
        <v>3.3633258338925032</v>
      </c>
      <c r="H61" s="3074">
        <f>IF(SUM(H69,H76,H83)=0,"NO",SUM(H69,H76,H83))</f>
        <v>1560.8944000000001</v>
      </c>
      <c r="I61" s="3074">
        <f>IF(SUM(I69,I76,I83)=0,"NO",SUM(I69,I76,I83))</f>
        <v>7.7291941777023199E-2</v>
      </c>
      <c r="J61" s="3074">
        <f>IF(SUM(J69,J76,J83)=0,"NO",SUM(J69,J76,J83))</f>
        <v>7.4918082949955514E-2</v>
      </c>
      <c r="K61" s="3088" t="str">
        <f>IF(SUM(K69,K76,K83)=0,"NO",SUM(K69,K76,K83))</f>
        <v>NO</v>
      </c>
    </row>
    <row r="62" spans="2:12" ht="18" customHeight="1" x14ac:dyDescent="0.2">
      <c r="B62" s="160" t="s">
        <v>133</v>
      </c>
      <c r="C62" s="3074">
        <f t="shared" ref="C62:C66" si="33">IF(SUM(C70,C77,C84)=0,"NO",SUM(C70,C77,C84))</f>
        <v>17973.811172726408</v>
      </c>
      <c r="D62" s="3077" t="s">
        <v>1814</v>
      </c>
      <c r="E62" s="1913">
        <f t="shared" ref="E62:E66" si="34">IFERROR(H62*1000/$C62,"NA")</f>
        <v>78.487735700694614</v>
      </c>
      <c r="F62" s="1913">
        <f t="shared" si="32"/>
        <v>0.95976449162579147</v>
      </c>
      <c r="G62" s="1913">
        <f t="shared" si="32"/>
        <v>0.75421371247187041</v>
      </c>
      <c r="H62" s="3074">
        <f t="shared" ref="H62:K66" si="35">IF(SUM(H70,H77,H84)=0,"NO",SUM(H70,H77,H84))</f>
        <v>1410.7237408591423</v>
      </c>
      <c r="I62" s="3074">
        <f t="shared" si="35"/>
        <v>1.725062574276973E-2</v>
      </c>
      <c r="J62" s="3074">
        <f t="shared" si="35"/>
        <v>1.3556094851850366E-2</v>
      </c>
      <c r="K62" s="3088" t="str">
        <f t="shared" si="35"/>
        <v>NO</v>
      </c>
    </row>
    <row r="63" spans="2:12" ht="18" customHeight="1" x14ac:dyDescent="0.2">
      <c r="B63" s="160" t="s">
        <v>134</v>
      </c>
      <c r="C63" s="3074">
        <f t="shared" si="33"/>
        <v>147504.31642135044</v>
      </c>
      <c r="D63" s="3077" t="s">
        <v>1814</v>
      </c>
      <c r="E63" s="1913">
        <f t="shared" si="34"/>
        <v>51.411918339265</v>
      </c>
      <c r="F63" s="1913">
        <f t="shared" si="32"/>
        <v>38.041399635375278</v>
      </c>
      <c r="G63" s="1913">
        <f t="shared" si="32"/>
        <v>0.88597150188657958</v>
      </c>
      <c r="H63" s="3074">
        <f t="shared" si="35"/>
        <v>7583.4798705435742</v>
      </c>
      <c r="I63" s="3074">
        <f t="shared" si="35"/>
        <v>5.61127064892744</v>
      </c>
      <c r="J63" s="3074">
        <f t="shared" si="35"/>
        <v>0.1306846207545771</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19026.811172726408</v>
      </c>
      <c r="D68" s="3077" t="s">
        <v>1814</v>
      </c>
      <c r="E68" s="628"/>
      <c r="F68" s="628"/>
      <c r="G68" s="628"/>
      <c r="H68" s="3086">
        <f>IF(SUM(H69:H73)=0,"NO",SUM(H69:H73))</f>
        <v>1488.2245408591423</v>
      </c>
      <c r="I68" s="3086">
        <f t="shared" ref="I68:K68" si="36">IF(SUM(I69:I74)=0,"NO",SUM(I69:I74))</f>
        <v>1.9376682885626873E-2</v>
      </c>
      <c r="J68" s="3086">
        <f t="shared" si="36"/>
        <v>1.4099643423278936E-2</v>
      </c>
      <c r="K68" s="3069" t="str">
        <f t="shared" si="36"/>
        <v>NO</v>
      </c>
    </row>
    <row r="69" spans="2:11" ht="18" customHeight="1" x14ac:dyDescent="0.2">
      <c r="B69" s="282" t="s">
        <v>132</v>
      </c>
      <c r="C69" s="3033">
        <v>1053.0000000000002</v>
      </c>
      <c r="D69" s="3076" t="s">
        <v>1814</v>
      </c>
      <c r="E69" s="1913">
        <f>IFERROR(H69*1000/$C69,"NA")</f>
        <v>73.59999999999998</v>
      </c>
      <c r="F69" s="1913">
        <f t="shared" ref="F69:G74" si="37">IFERROR(I69*1000000/$C69,"NA")</f>
        <v>2.0190476190476185</v>
      </c>
      <c r="G69" s="1913">
        <f t="shared" si="37"/>
        <v>0.51619047619047609</v>
      </c>
      <c r="H69" s="3033">
        <v>77.500799999999998</v>
      </c>
      <c r="I69" s="3033">
        <v>2.126057142857143E-3</v>
      </c>
      <c r="J69" s="3033">
        <v>5.4354857142857149E-4</v>
      </c>
      <c r="K69" s="3072" t="s">
        <v>2146</v>
      </c>
    </row>
    <row r="70" spans="2:11" ht="18" customHeight="1" x14ac:dyDescent="0.2">
      <c r="B70" s="282" t="s">
        <v>133</v>
      </c>
      <c r="C70" s="3033">
        <v>17973.811172726408</v>
      </c>
      <c r="D70" s="3076" t="s">
        <v>1814</v>
      </c>
      <c r="E70" s="1913">
        <f t="shared" ref="E70:E74" si="38">IFERROR(H70*1000/$C70,"NA")</f>
        <v>78.487735700694614</v>
      </c>
      <c r="F70" s="1913">
        <f t="shared" si="37"/>
        <v>0.95976449162579147</v>
      </c>
      <c r="G70" s="1913">
        <f t="shared" si="37"/>
        <v>0.75421371247187041</v>
      </c>
      <c r="H70" s="3033">
        <v>1410.7237408591423</v>
      </c>
      <c r="I70" s="3033">
        <v>1.725062574276973E-2</v>
      </c>
      <c r="J70" s="3033">
        <v>1.3556094851850366E-2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141357.64012418062</v>
      </c>
      <c r="D75" s="3077" t="s">
        <v>1814</v>
      </c>
      <c r="E75" s="628"/>
      <c r="F75" s="628"/>
      <c r="G75" s="628"/>
      <c r="H75" s="3086">
        <f>IF(SUM(H76:H80)=0,"NO",SUM(H76:H80))</f>
        <v>7283.351977087138</v>
      </c>
      <c r="I75" s="3086">
        <f t="shared" ref="I75:K75" si="39">IF(SUM(I76:I81)=0,"NO",SUM(I76:I81))</f>
        <v>5.5894055552294084</v>
      </c>
      <c r="J75" s="3086">
        <f t="shared" si="39"/>
        <v>0.12583966599091623</v>
      </c>
      <c r="K75" s="3069" t="str">
        <f t="shared" si="39"/>
        <v>NO</v>
      </c>
    </row>
    <row r="76" spans="2:11" ht="18" customHeight="1" x14ac:dyDescent="0.2">
      <c r="B76" s="282" t="s">
        <v>132</v>
      </c>
      <c r="C76" s="3033">
        <v>862</v>
      </c>
      <c r="D76" s="3076" t="s">
        <v>1814</v>
      </c>
      <c r="E76" s="1913">
        <f>IFERROR(H76*1000/$C76,"NA")</f>
        <v>69.839443155452429</v>
      </c>
      <c r="F76" s="1913">
        <f t="shared" ref="F76:G81" si="40">IFERROR(I76*1000000/$C76,"NA")</f>
        <v>2.4267241188818911</v>
      </c>
      <c r="G76" s="1913">
        <f t="shared" si="40"/>
        <v>1.7709618826648987</v>
      </c>
      <c r="H76" s="3033">
        <v>60.201599999999999</v>
      </c>
      <c r="I76" s="3033">
        <v>2.0918361904761901E-3</v>
      </c>
      <c r="J76" s="3033">
        <v>1.5265691428571428E-3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140495.64012418062</v>
      </c>
      <c r="D78" s="3076" t="s">
        <v>1814</v>
      </c>
      <c r="E78" s="1913">
        <f t="shared" si="41"/>
        <v>51.411918339265007</v>
      </c>
      <c r="F78" s="1913">
        <f t="shared" si="40"/>
        <v>39.768591495796201</v>
      </c>
      <c r="G78" s="1913">
        <f t="shared" si="40"/>
        <v>0.88481818181818184</v>
      </c>
      <c r="H78" s="3033">
        <v>7223.1503770871377</v>
      </c>
      <c r="I78" s="3033">
        <v>5.5873137190389324</v>
      </c>
      <c r="J78" s="3033">
        <v>0.12431309684805908</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27368.676297169812</v>
      </c>
      <c r="D82" s="3077" t="s">
        <v>1814</v>
      </c>
      <c r="E82" s="628"/>
      <c r="F82" s="628"/>
      <c r="G82" s="628"/>
      <c r="H82" s="3086">
        <f>IF(SUM(H83:H87)=0,"NO",SUM(H83:H87))</f>
        <v>1783.5214934564365</v>
      </c>
      <c r="I82" s="3086">
        <f t="shared" ref="I82:K82" si="42">IF(SUM(I83:I88)=0,"NO",SUM(I83:I88))</f>
        <v>9.7030978332197593E-2</v>
      </c>
      <c r="J82" s="3086">
        <f t="shared" si="42"/>
        <v>7.9219489142187821E-2</v>
      </c>
      <c r="K82" s="3069" t="str">
        <f t="shared" si="42"/>
        <v>NO</v>
      </c>
    </row>
    <row r="83" spans="2:11" ht="18" customHeight="1" x14ac:dyDescent="0.2">
      <c r="B83" s="282" t="s">
        <v>132</v>
      </c>
      <c r="C83" s="3033">
        <v>20360</v>
      </c>
      <c r="D83" s="3076" t="s">
        <v>1814</v>
      </c>
      <c r="E83" s="1913">
        <f>IFERROR(H83*1000/$C83,"NA")</f>
        <v>69.901375245579572</v>
      </c>
      <c r="F83" s="1913">
        <f t="shared" ref="F83:G88" si="43">IFERROR(I83*1000000/$C83,"NA")</f>
        <v>3.5890986465466539</v>
      </c>
      <c r="G83" s="1913">
        <f t="shared" si="43"/>
        <v>3.5779943632450788</v>
      </c>
      <c r="H83" s="3033">
        <v>1423.192</v>
      </c>
      <c r="I83" s="3033">
        <v>7.3074048443689865E-2</v>
      </c>
      <c r="J83" s="3033">
        <v>7.2847965235669804E-2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7008.6762971698117</v>
      </c>
      <c r="D85" s="3076" t="s">
        <v>1814</v>
      </c>
      <c r="E85" s="1913">
        <f t="shared" si="44"/>
        <v>51.411918339265</v>
      </c>
      <c r="F85" s="1913">
        <f t="shared" si="43"/>
        <v>3.4181818181818184</v>
      </c>
      <c r="G85" s="1913">
        <f t="shared" si="43"/>
        <v>0.90909090909090917</v>
      </c>
      <c r="H85" s="3033">
        <v>360.32949345643658</v>
      </c>
      <c r="I85" s="3033">
        <v>2.3956929888507724E-2</v>
      </c>
      <c r="J85" s="3033">
        <v>6.3715239065180113E-3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49868519.624731652</v>
      </c>
      <c r="G10" s="3657" t="s">
        <v>2147</v>
      </c>
      <c r="H10" s="3658">
        <f t="shared" ref="H10:H13" si="0">IF(SUM($F10)=0,"NA",K10*1000/$F10)</f>
        <v>1.0883172695635483E-2</v>
      </c>
      <c r="I10" s="3659">
        <f t="shared" ref="I10:I13" si="1">IF(SUM($F10)=0,"NA",L10*1000/$F10)</f>
        <v>2.5573731259676344E-4</v>
      </c>
      <c r="J10" s="3499" t="str">
        <f>IF(SUM(J11,J25,J36,J48,J59,J70,J76)=0,"IE",SUM(J11,J25,J36,J48,J59,J70,J76))</f>
        <v>IE</v>
      </c>
      <c r="K10" s="3500">
        <f>IF(SUM(K11,K25,K36,K48,K59,K70,K76)=0,"NO",SUM(K11,K25,K36,K48,K59,K70,K76))</f>
        <v>542.72771115164176</v>
      </c>
      <c r="L10" s="3501">
        <f>IF(SUM(L11,L25,L36,L48,L59,L70,L76)=0,"NO",SUM(L11,L25,L36,L48,L59,L70,L76))</f>
        <v>12.753241192007831</v>
      </c>
    </row>
    <row r="11" spans="2:13" ht="18" customHeight="1" x14ac:dyDescent="0.2">
      <c r="B11" s="933" t="s">
        <v>1985</v>
      </c>
      <c r="C11" s="934"/>
      <c r="D11" s="2850"/>
      <c r="E11" s="2854" t="s">
        <v>2250</v>
      </c>
      <c r="F11" s="3679">
        <f>IF(SUM(F12,F19)=0,"NO",SUM(F12,F19))</f>
        <v>8281435.4002772141</v>
      </c>
      <c r="G11" s="3660" t="s">
        <v>2147</v>
      </c>
      <c r="H11" s="3661">
        <f t="shared" si="0"/>
        <v>2.4192938779295903E-2</v>
      </c>
      <c r="I11" s="3662">
        <f t="shared" si="1"/>
        <v>4.2313653833217805E-4</v>
      </c>
      <c r="J11" s="3502" t="str">
        <f>IF(SUM(J12,J19)=0,"IE",SUM(J12,J19))</f>
        <v>IE</v>
      </c>
      <c r="K11" s="3503">
        <f>IF(SUM(K12,K19)=0,"NO",SUM(K12,K19))</f>
        <v>200.35225964360049</v>
      </c>
      <c r="L11" s="3504">
        <f>IF(SUM(L12,L19)=0,"NO",SUM(L12,L19))</f>
        <v>3.5041779076948556</v>
      </c>
      <c r="M11" s="482"/>
    </row>
    <row r="12" spans="2:13" ht="18" customHeight="1" x14ac:dyDescent="0.2">
      <c r="B12" s="903" t="s">
        <v>1912</v>
      </c>
      <c r="C12" s="476"/>
      <c r="D12" s="298"/>
      <c r="E12" s="2852" t="s">
        <v>2250</v>
      </c>
      <c r="F12" s="3680">
        <f>IF(SUM(F13,F17)=0,"NO",SUM(F13,F17))</f>
        <v>8268811.1946013151</v>
      </c>
      <c r="G12" s="3663" t="str">
        <f>IFERROR(IF(SUM($F12)=0,"NA",J12*1000/$F12),"NA")</f>
        <v>NA</v>
      </c>
      <c r="H12" s="3664">
        <f t="shared" si="0"/>
        <v>2.4017856163391915E-2</v>
      </c>
      <c r="I12" s="3665">
        <f t="shared" si="1"/>
        <v>4.2044680503099677E-4</v>
      </c>
      <c r="J12" s="3505" t="str">
        <f>IF(SUM(J13,J17)=0,"IE",SUM(J13,J17))</f>
        <v>IE</v>
      </c>
      <c r="K12" s="3506">
        <f>IF(SUM(K13,K17)=0,"NO",SUM(K13,K17))</f>
        <v>198.59911791417926</v>
      </c>
      <c r="L12" s="3507">
        <f>IF(SUM(L13,L17)=0,"NO",SUM(L13,L17))</f>
        <v>3.4765952481746627</v>
      </c>
    </row>
    <row r="13" spans="2:13" ht="18" customHeight="1" x14ac:dyDescent="0.2">
      <c r="B13" s="923" t="s">
        <v>1270</v>
      </c>
      <c r="C13" s="476"/>
      <c r="D13" s="298"/>
      <c r="E13" s="2852" t="s">
        <v>2250</v>
      </c>
      <c r="F13" s="3681">
        <f>IF(SUM(F14:F16)=0,"NO",SUM(F14:F16))</f>
        <v>7999939.7908637868</v>
      </c>
      <c r="G13" s="3666" t="str">
        <f t="shared" ref="G13:G76" si="2">IFERROR(IF(SUM($F13)=0,"NA",J13*1000/$F13),"NA")</f>
        <v>NA</v>
      </c>
      <c r="H13" s="3667">
        <f t="shared" si="0"/>
        <v>2.113810621602763E-2</v>
      </c>
      <c r="I13" s="3668">
        <f t="shared" si="1"/>
        <v>3.9985640502854567E-4</v>
      </c>
      <c r="J13" s="3505" t="str">
        <f>IF(SUM(J14:J16)=0,"IE",SUM(J14:J16))</f>
        <v>IE</v>
      </c>
      <c r="K13" s="3505">
        <f>IF(SUM(K14:K16)=0,"NO",SUM(K14:K16))</f>
        <v>169.1035770211046</v>
      </c>
      <c r="L13" s="3508">
        <f>IF(SUM(L14:L16)=0,"NO",SUM(L14:L16))</f>
        <v>3.1988271652196096</v>
      </c>
      <c r="M13" s="482"/>
    </row>
    <row r="14" spans="2:13" ht="24" x14ac:dyDescent="0.2">
      <c r="B14" s="923"/>
      <c r="C14" s="4367" t="s">
        <v>2247</v>
      </c>
      <c r="D14" s="542" t="s">
        <v>940</v>
      </c>
      <c r="E14" s="2851" t="s">
        <v>2250</v>
      </c>
      <c r="F14" s="3654">
        <v>199990.86764786957</v>
      </c>
      <c r="G14" s="3666" t="str">
        <f t="shared" si="2"/>
        <v>NA</v>
      </c>
      <c r="H14" s="3667">
        <f>IF(SUM($F14)=0,"NA",K14*1000/$F14)</f>
        <v>0.15150605355601271</v>
      </c>
      <c r="I14" s="3668">
        <f>IF(SUM($F14)=0,"NA",L14*1000/$F14)</f>
        <v>1.671800281711927E-3</v>
      </c>
      <c r="J14" s="3509" t="s">
        <v>2153</v>
      </c>
      <c r="K14" s="3510">
        <v>30.299827104571577</v>
      </c>
      <c r="L14" s="3511">
        <v>0.33434478887352104</v>
      </c>
      <c r="M14" s="482"/>
    </row>
    <row r="15" spans="2:13" ht="18" customHeight="1" x14ac:dyDescent="0.2">
      <c r="B15" s="923"/>
      <c r="C15" s="4367" t="s">
        <v>2248</v>
      </c>
      <c r="D15" s="542" t="s">
        <v>940</v>
      </c>
      <c r="E15" s="543" t="s">
        <v>2250</v>
      </c>
      <c r="F15" s="3655">
        <v>61432.310204745903</v>
      </c>
      <c r="G15" s="3666" t="str">
        <f t="shared" si="2"/>
        <v>NA</v>
      </c>
      <c r="H15" s="3667">
        <f t="shared" ref="H15:H77" si="3">IF(SUM($F15)=0,"NA",K15*1000/$F15)</f>
        <v>0.27405631503526501</v>
      </c>
      <c r="I15" s="3668">
        <f t="shared" ref="I15:I77" si="4">IF(SUM($F15)=0,"NA",L15*1000/$F15)</f>
        <v>5.0662354904435804E-3</v>
      </c>
      <c r="J15" s="3509" t="s">
        <v>2153</v>
      </c>
      <c r="K15" s="3510">
        <v>16.83591255881597</v>
      </c>
      <c r="L15" s="3512">
        <v>0.31123055021922302</v>
      </c>
      <c r="M15" s="482"/>
    </row>
    <row r="16" spans="2:13" ht="18" customHeight="1" x14ac:dyDescent="0.2">
      <c r="B16" s="923"/>
      <c r="C16" s="4367" t="s">
        <v>2263</v>
      </c>
      <c r="D16" s="542" t="s">
        <v>940</v>
      </c>
      <c r="E16" s="543" t="s">
        <v>2250</v>
      </c>
      <c r="F16" s="3655">
        <v>7738516.6130111711</v>
      </c>
      <c r="G16" s="3666" t="str">
        <f t="shared" si="2"/>
        <v>NA</v>
      </c>
      <c r="H16" s="3667">
        <f t="shared" si="3"/>
        <v>1.5761139176550473E-2</v>
      </c>
      <c r="I16" s="3668">
        <f t="shared" si="4"/>
        <v>3.2994073073823352E-4</v>
      </c>
      <c r="J16" s="3509" t="s">
        <v>2153</v>
      </c>
      <c r="K16" s="3510">
        <v>121.96783735771704</v>
      </c>
      <c r="L16" s="3512">
        <v>2.5532518261268655</v>
      </c>
      <c r="M16" s="482"/>
    </row>
    <row r="17" spans="2:13" ht="18" customHeight="1" x14ac:dyDescent="0.2">
      <c r="B17" s="923" t="s">
        <v>1271</v>
      </c>
      <c r="C17" s="4368"/>
      <c r="D17" s="298"/>
      <c r="E17" s="5" t="s">
        <v>2250</v>
      </c>
      <c r="F17" s="3681">
        <f>F18</f>
        <v>268871.40373752807</v>
      </c>
      <c r="G17" s="3666" t="str">
        <f t="shared" si="2"/>
        <v>NA</v>
      </c>
      <c r="H17" s="3667">
        <f t="shared" si="3"/>
        <v>0.10970129393852596</v>
      </c>
      <c r="I17" s="3668">
        <f t="shared" si="4"/>
        <v>1.0330889752270199E-3</v>
      </c>
      <c r="J17" s="3505" t="str">
        <f>J18</f>
        <v>IE</v>
      </c>
      <c r="K17" s="3505">
        <f>K18</f>
        <v>29.495540893074654</v>
      </c>
      <c r="L17" s="3508">
        <f>L18</f>
        <v>0.27776808295505323</v>
      </c>
      <c r="M17" s="482"/>
    </row>
    <row r="18" spans="2:13" ht="18" customHeight="1" x14ac:dyDescent="0.2">
      <c r="B18" s="923"/>
      <c r="C18" s="4367" t="s">
        <v>2249</v>
      </c>
      <c r="D18" s="542" t="s">
        <v>940</v>
      </c>
      <c r="E18" s="543" t="s">
        <v>2250</v>
      </c>
      <c r="F18" s="3654">
        <v>268871.40373752807</v>
      </c>
      <c r="G18" s="3666" t="str">
        <f t="shared" si="2"/>
        <v>NA</v>
      </c>
      <c r="H18" s="3667">
        <f t="shared" si="3"/>
        <v>0.10970129393852596</v>
      </c>
      <c r="I18" s="3668">
        <f t="shared" si="4"/>
        <v>1.0330889752270199E-3</v>
      </c>
      <c r="J18" s="3509" t="s">
        <v>2153</v>
      </c>
      <c r="K18" s="3510">
        <v>29.495540893074654</v>
      </c>
      <c r="L18" s="3511">
        <v>0.27776808295505323</v>
      </c>
      <c r="M18" s="482"/>
    </row>
    <row r="19" spans="2:13" ht="18" customHeight="1" x14ac:dyDescent="0.2">
      <c r="B19" s="903" t="s">
        <v>1272</v>
      </c>
      <c r="C19" s="4368"/>
      <c r="D19" s="298"/>
      <c r="E19" s="5" t="s">
        <v>2250</v>
      </c>
      <c r="F19" s="3682">
        <f>IF(SUM(F20,F23)=0,"NO",SUM(F20,F23))</f>
        <v>12624.205675899384</v>
      </c>
      <c r="G19" s="3663" t="s">
        <v>2147</v>
      </c>
      <c r="H19" s="3664">
        <f t="shared" si="3"/>
        <v>0.13887144858294903</v>
      </c>
      <c r="I19" s="3665">
        <f t="shared" si="4"/>
        <v>2.1849025775023956E-3</v>
      </c>
      <c r="J19" s="3505" t="str">
        <f>IF(SUM(J20,J23)=0,"IE",SUM(J20,J23))</f>
        <v>IE</v>
      </c>
      <c r="K19" s="3506">
        <f>IF(SUM(K20,K23)=0,"NO",SUM(K20,K23))</f>
        <v>1.7531417294212344</v>
      </c>
      <c r="L19" s="3507">
        <f>IF(SUM(L20,L23)=0,"NO",SUM(L20,L23))</f>
        <v>2.7582659520192933E-2</v>
      </c>
    </row>
    <row r="20" spans="2:13" ht="18" customHeight="1" x14ac:dyDescent="0.2">
      <c r="B20" s="923" t="s">
        <v>1273</v>
      </c>
      <c r="C20" s="4368"/>
      <c r="D20" s="298"/>
      <c r="E20" s="5" t="s">
        <v>2250</v>
      </c>
      <c r="F20" s="3681">
        <f>IF(SUM(F21:F22)=0,"NO",SUM(F21:F22))</f>
        <v>12136.341742848694</v>
      </c>
      <c r="G20" s="3666" t="str">
        <f t="shared" si="2"/>
        <v>NA</v>
      </c>
      <c r="H20" s="3667">
        <f t="shared" si="3"/>
        <v>9.7728861407990239E-2</v>
      </c>
      <c r="I20" s="3668">
        <f t="shared" si="4"/>
        <v>1.8285411253088941E-3</v>
      </c>
      <c r="J20" s="3505" t="str">
        <f>IF(SUM(J21:J22)=0,"IE",SUM(J21:J22))</f>
        <v>IE</v>
      </c>
      <c r="K20" s="3505">
        <f>IF(SUM(K21:K22)=0,"NO",SUM(K21:K22))</f>
        <v>1.1860708601868666</v>
      </c>
      <c r="L20" s="3508">
        <f>IF(SUM(L21:L22)=0,"NO",SUM(L21:L22))</f>
        <v>2.2191799987601853E-2</v>
      </c>
      <c r="M20" s="482"/>
    </row>
    <row r="21" spans="2:13" ht="18" customHeight="1" x14ac:dyDescent="0.2">
      <c r="B21" s="923"/>
      <c r="C21" s="4367" t="s">
        <v>2248</v>
      </c>
      <c r="D21" s="542" t="s">
        <v>940</v>
      </c>
      <c r="E21" s="543" t="s">
        <v>2250</v>
      </c>
      <c r="F21" s="3654">
        <v>2718.9461173726713</v>
      </c>
      <c r="G21" s="3666" t="str">
        <f t="shared" si="2"/>
        <v>NA</v>
      </c>
      <c r="H21" s="3667">
        <f t="shared" si="3"/>
        <v>0.37969845146584214</v>
      </c>
      <c r="I21" s="3668">
        <f t="shared" si="4"/>
        <v>7.0191477625143883E-3</v>
      </c>
      <c r="J21" s="3509" t="s">
        <v>2153</v>
      </c>
      <c r="K21" s="3510">
        <v>1.0323796303854671</v>
      </c>
      <c r="L21" s="3511">
        <v>1.9084684556153569E-2</v>
      </c>
      <c r="M21" s="482"/>
    </row>
    <row r="22" spans="2:13" ht="18" customHeight="1" x14ac:dyDescent="0.2">
      <c r="B22" s="923"/>
      <c r="C22" s="4367" t="s">
        <v>2263</v>
      </c>
      <c r="D22" s="542" t="s">
        <v>940</v>
      </c>
      <c r="E22" s="543" t="s">
        <v>2250</v>
      </c>
      <c r="F22" s="3655">
        <v>9417.3956254760215</v>
      </c>
      <c r="G22" s="3666" t="str">
        <f t="shared" si="2"/>
        <v>NA</v>
      </c>
      <c r="H22" s="3667">
        <f t="shared" si="3"/>
        <v>1.6319929194185335E-2</v>
      </c>
      <c r="I22" s="3668">
        <f t="shared" si="4"/>
        <v>3.2993362018718733E-4</v>
      </c>
      <c r="J22" s="3509" t="s">
        <v>2153</v>
      </c>
      <c r="K22" s="3510">
        <v>0.15369122980139938</v>
      </c>
      <c r="L22" s="3512">
        <v>3.1071154314482848E-3</v>
      </c>
      <c r="M22" s="482"/>
    </row>
    <row r="23" spans="2:13" ht="18" customHeight="1" x14ac:dyDescent="0.2">
      <c r="B23" s="923" t="s">
        <v>1274</v>
      </c>
      <c r="C23" s="4368"/>
      <c r="D23" s="298"/>
      <c r="E23" s="5" t="s">
        <v>2250</v>
      </c>
      <c r="F23" s="3681">
        <f>F24</f>
        <v>487.86393305069083</v>
      </c>
      <c r="G23" s="3666" t="str">
        <f t="shared" si="2"/>
        <v>NA</v>
      </c>
      <c r="H23" s="3667">
        <f t="shared" si="3"/>
        <v>1.1623545640858988</v>
      </c>
      <c r="I23" s="3668">
        <f t="shared" si="4"/>
        <v>1.104992430754448E-2</v>
      </c>
      <c r="J23" s="3505" t="str">
        <f>J24</f>
        <v>IE</v>
      </c>
      <c r="K23" s="3505">
        <f>K24</f>
        <v>0.56707086923436778</v>
      </c>
      <c r="L23" s="3508">
        <f>L24</f>
        <v>5.3908595325910811E-3</v>
      </c>
      <c r="M23" s="482"/>
    </row>
    <row r="24" spans="2:13" ht="18" customHeight="1" thickBot="1" x14ac:dyDescent="0.25">
      <c r="B24" s="938"/>
      <c r="C24" s="4369" t="s">
        <v>2251</v>
      </c>
      <c r="D24" s="939" t="s">
        <v>940</v>
      </c>
      <c r="E24" s="940" t="s">
        <v>2250</v>
      </c>
      <c r="F24" s="3656">
        <v>487.86393305069083</v>
      </c>
      <c r="G24" s="3669" t="str">
        <f t="shared" si="2"/>
        <v>NA</v>
      </c>
      <c r="H24" s="3670">
        <f t="shared" si="3"/>
        <v>1.1623545640858988</v>
      </c>
      <c r="I24" s="3671">
        <f t="shared" si="4"/>
        <v>1.104992430754448E-2</v>
      </c>
      <c r="J24" s="3513" t="s">
        <v>2153</v>
      </c>
      <c r="K24" s="3514">
        <v>0.56707086923436778</v>
      </c>
      <c r="L24" s="3515">
        <v>5.3908595325910811E-3</v>
      </c>
      <c r="M24" s="482"/>
    </row>
    <row r="25" spans="2:13" ht="18" customHeight="1" x14ac:dyDescent="0.2">
      <c r="B25" s="933" t="s">
        <v>1986</v>
      </c>
      <c r="C25" s="4370"/>
      <c r="D25" s="2850"/>
      <c r="E25" s="935" t="s">
        <v>2250</v>
      </c>
      <c r="F25" s="3683">
        <f>IF(SUM(F26,F31)=0,"IE",SUM(F26,F31))</f>
        <v>29062</v>
      </c>
      <c r="G25" s="3660" t="str">
        <f t="shared" si="2"/>
        <v>NA</v>
      </c>
      <c r="H25" s="3661">
        <f t="shared" si="3"/>
        <v>0.18198543802904138</v>
      </c>
      <c r="I25" s="3662">
        <f t="shared" si="4"/>
        <v>3.3642030280090834E-3</v>
      </c>
      <c r="J25" s="3502" t="str">
        <f>IF(SUM(J26,J31)=0,"IE",SUM(J26,J31))</f>
        <v>IE</v>
      </c>
      <c r="K25" s="3503">
        <f>IF(SUM(K26,K31)=0,"IE",SUM(K26,K31))</f>
        <v>5.2888608000000001</v>
      </c>
      <c r="L25" s="3504">
        <f>IF(SUM(L26,L31)=0,"IE",SUM(L26,L31))</f>
        <v>9.7770468399999991E-2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29062</v>
      </c>
      <c r="G31" s="3663" t="str">
        <f t="shared" si="2"/>
        <v>NA</v>
      </c>
      <c r="H31" s="3664">
        <f t="shared" si="3"/>
        <v>0.18198543802904138</v>
      </c>
      <c r="I31" s="3665">
        <f t="shared" si="4"/>
        <v>3.3642030280090834E-3</v>
      </c>
      <c r="J31" s="3505" t="str">
        <f>IF(SUM(J32,J34)=0,"IE",SUM(J32,J34))</f>
        <v>IE</v>
      </c>
      <c r="K31" s="3505">
        <f t="shared" ref="K31:L31" si="6">IF(SUM(K32,K34)=0,"IE",SUM(K32,K34))</f>
        <v>5.2888608000000001</v>
      </c>
      <c r="L31" s="3508">
        <f t="shared" si="6"/>
        <v>9.7770468399999991E-2</v>
      </c>
    </row>
    <row r="32" spans="2:13" ht="18" customHeight="1" x14ac:dyDescent="0.2">
      <c r="B32" s="923" t="s">
        <v>1278</v>
      </c>
      <c r="C32" s="4368"/>
      <c r="D32" s="298"/>
      <c r="E32" s="5" t="s">
        <v>2250</v>
      </c>
      <c r="F32" s="3681">
        <f>F33</f>
        <v>29062</v>
      </c>
      <c r="G32" s="3663" t="str">
        <f t="shared" si="2"/>
        <v>NA</v>
      </c>
      <c r="H32" s="3664">
        <f t="shared" si="3"/>
        <v>0.18198543802904138</v>
      </c>
      <c r="I32" s="3665">
        <f t="shared" si="4"/>
        <v>3.3642030280090834E-3</v>
      </c>
      <c r="J32" s="3505" t="str">
        <f>J33</f>
        <v>IE</v>
      </c>
      <c r="K32" s="3505">
        <f>K33</f>
        <v>5.2888608000000001</v>
      </c>
      <c r="L32" s="3508">
        <f>L33</f>
        <v>9.7770468399999991E-2</v>
      </c>
      <c r="M32" s="482"/>
    </row>
    <row r="33" spans="2:13" ht="18" customHeight="1" x14ac:dyDescent="0.2">
      <c r="B33" s="923"/>
      <c r="C33" s="4367" t="s">
        <v>2252</v>
      </c>
      <c r="D33" s="542" t="s">
        <v>940</v>
      </c>
      <c r="E33" s="543" t="s">
        <v>2250</v>
      </c>
      <c r="F33" s="3654">
        <v>29062</v>
      </c>
      <c r="G33" s="3666" t="str">
        <f t="shared" si="2"/>
        <v>NA</v>
      </c>
      <c r="H33" s="3667">
        <f t="shared" si="3"/>
        <v>0.18198543802904138</v>
      </c>
      <c r="I33" s="3668">
        <f t="shared" si="4"/>
        <v>3.3642030280090834E-3</v>
      </c>
      <c r="J33" s="3509" t="s">
        <v>2153</v>
      </c>
      <c r="K33" s="3510">
        <v>5.2888608000000001</v>
      </c>
      <c r="L33" s="3511">
        <v>9.7770468399999991E-2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40558547.59725111</v>
      </c>
      <c r="G36" s="3660" t="str">
        <f t="shared" si="2"/>
        <v>NA</v>
      </c>
      <c r="H36" s="3661">
        <f t="shared" ref="H36" si="7">IF(SUM($F36)=0,"NA",K36*1000/$F36)</f>
        <v>7.8931332608448007E-3</v>
      </c>
      <c r="I36" s="3662">
        <f t="shared" ref="I36" si="8">IF(SUM($F36)=0,"NA",L36*1000/$F36)</f>
        <v>2.1645601682037446E-4</v>
      </c>
      <c r="J36" s="3502" t="str">
        <f>IF(SUM(J37,J42)=0,"IE",SUM(J37,J42))</f>
        <v>IE</v>
      </c>
      <c r="K36" s="3503">
        <f>IF(SUM(K37,K42)=0,"NO",SUM(K37,K42))</f>
        <v>320.13402105141972</v>
      </c>
      <c r="L36" s="3504">
        <f>IF(SUM(L37,L42)=0,"NO",SUM(L37,L42))</f>
        <v>8.7791416609205442</v>
      </c>
      <c r="M36" s="482"/>
    </row>
    <row r="37" spans="2:13" ht="18" customHeight="1" x14ac:dyDescent="0.2">
      <c r="B37" s="903" t="s">
        <v>1876</v>
      </c>
      <c r="C37" s="4368"/>
      <c r="D37" s="298"/>
      <c r="E37" s="5" t="s">
        <v>2250</v>
      </c>
      <c r="F37" s="3680">
        <f>IF(SUM(F38,F40)=0,"NO",SUM(F38,F40))</f>
        <v>40006466.894921184</v>
      </c>
      <c r="G37" s="3666" t="str">
        <f t="shared" si="2"/>
        <v>NA</v>
      </c>
      <c r="H37" s="3664">
        <f t="shared" si="3"/>
        <v>6.0508946882095E-3</v>
      </c>
      <c r="I37" s="3665">
        <f t="shared" si="4"/>
        <v>1.8328070332163928E-4</v>
      </c>
      <c r="J37" s="3505" t="str">
        <f>IF(SUM(J38,J40)=0,"IE",SUM(J38,J40))</f>
        <v>IE</v>
      </c>
      <c r="K37" s="3506">
        <f>IF(SUM(K38,K40)=0,"NO",SUM(K38,K40))</f>
        <v>242.0749180285078</v>
      </c>
      <c r="L37" s="3507">
        <f>IF(SUM(L38,L40)=0,"NO",SUM(L38,L40))</f>
        <v>7.3324133899150326</v>
      </c>
    </row>
    <row r="38" spans="2:13" ht="18" customHeight="1" x14ac:dyDescent="0.2">
      <c r="B38" s="923" t="s">
        <v>1280</v>
      </c>
      <c r="C38" s="4368"/>
      <c r="D38" s="298"/>
      <c r="E38" s="5" t="s">
        <v>2250</v>
      </c>
      <c r="F38" s="3681">
        <f>F39</f>
        <v>40006466.894921184</v>
      </c>
      <c r="G38" s="3666" t="str">
        <f t="shared" si="2"/>
        <v>NA</v>
      </c>
      <c r="H38" s="3667">
        <f t="shared" si="3"/>
        <v>6.0508946882095E-3</v>
      </c>
      <c r="I38" s="3668">
        <f t="shared" si="4"/>
        <v>1.8328070332163928E-4</v>
      </c>
      <c r="J38" s="3505" t="str">
        <f>J39</f>
        <v>IE</v>
      </c>
      <c r="K38" s="3505">
        <f>K39</f>
        <v>242.0749180285078</v>
      </c>
      <c r="L38" s="3508">
        <f>L39</f>
        <v>7.3324133899150326</v>
      </c>
      <c r="M38" s="482"/>
    </row>
    <row r="39" spans="2:13" ht="18" customHeight="1" x14ac:dyDescent="0.2">
      <c r="B39" s="923"/>
      <c r="C39" s="4367" t="s">
        <v>2263</v>
      </c>
      <c r="D39" s="542" t="s">
        <v>940</v>
      </c>
      <c r="E39" s="543" t="s">
        <v>2250</v>
      </c>
      <c r="F39" s="3655">
        <v>40006466.894921184</v>
      </c>
      <c r="G39" s="3666" t="str">
        <f t="shared" si="2"/>
        <v>NA</v>
      </c>
      <c r="H39" s="3667">
        <f t="shared" ref="H39:H40" si="9">IF(SUM($F39)=0,"NA",K39*1000/$F39)</f>
        <v>6.0508946882095E-3</v>
      </c>
      <c r="I39" s="3668">
        <f t="shared" ref="I39:I40" si="10">IF(SUM($F39)=0,"NA",L39*1000/$F39)</f>
        <v>1.8328070332163928E-4</v>
      </c>
      <c r="J39" s="3509" t="s">
        <v>2153</v>
      </c>
      <c r="K39" s="3510">
        <v>242.0749180285078</v>
      </c>
      <c r="L39" s="3512">
        <v>7.3324133899150326</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552080.70232992596</v>
      </c>
      <c r="G42" s="3663" t="str">
        <f t="shared" si="2"/>
        <v>NA</v>
      </c>
      <c r="H42" s="3664">
        <f t="shared" si="11"/>
        <v>0.14139074721047476</v>
      </c>
      <c r="I42" s="3665">
        <f t="shared" si="12"/>
        <v>2.620501431946338E-3</v>
      </c>
      <c r="J42" s="3505" t="str">
        <f>IF(SUM(J43,J46)=0,"IE",SUM(J43,J46))</f>
        <v>IE</v>
      </c>
      <c r="K42" s="3506">
        <f>IF(SUM(K43,K46)=0,"NO",SUM(K43,K46))</f>
        <v>78.059103022911927</v>
      </c>
      <c r="L42" s="3507">
        <f>IF(SUM(L43,L46)=0,"NO",SUM(L43,L46))</f>
        <v>1.4467282710055109</v>
      </c>
    </row>
    <row r="43" spans="2:13" ht="18" customHeight="1" x14ac:dyDescent="0.2">
      <c r="B43" s="923" t="s">
        <v>1283</v>
      </c>
      <c r="C43" s="4368"/>
      <c r="D43" s="298"/>
      <c r="E43" s="5" t="s">
        <v>2250</v>
      </c>
      <c r="F43" s="3681">
        <f>IF(SUM(F44:F45)=0,"NO",SUM(F44:F45))</f>
        <v>552080.70232992596</v>
      </c>
      <c r="G43" s="3666" t="str">
        <f t="shared" si="2"/>
        <v>NA</v>
      </c>
      <c r="H43" s="3667">
        <f t="shared" ref="H43" si="13">IF(SUM($F43)=0,"NA",K43*1000/$F43)</f>
        <v>0.14139074721047476</v>
      </c>
      <c r="I43" s="3668">
        <f t="shared" ref="I43" si="14">IF(SUM($F43)=0,"NA",L43*1000/$F43)</f>
        <v>2.620501431946338E-3</v>
      </c>
      <c r="J43" s="3505" t="str">
        <f>IF(SUM(J44:J45)=0,"IE",SUM(J44:J45))</f>
        <v>IE</v>
      </c>
      <c r="K43" s="3505">
        <f>IF(SUM(K44:K45)=0,"NO",SUM(K44:K45))</f>
        <v>78.059103022911927</v>
      </c>
      <c r="L43" s="3508">
        <f>IF(SUM(L44:L45)=0,"NO",SUM(L44:L45))</f>
        <v>1.4467282710055109</v>
      </c>
      <c r="M43" s="482"/>
    </row>
    <row r="44" spans="2:13" ht="18" customHeight="1" x14ac:dyDescent="0.2">
      <c r="B44" s="923"/>
      <c r="C44" s="4367" t="s">
        <v>2252</v>
      </c>
      <c r="D44" s="542" t="s">
        <v>940</v>
      </c>
      <c r="E44" s="543" t="s">
        <v>2250</v>
      </c>
      <c r="F44" s="3655">
        <v>484645.48321149236</v>
      </c>
      <c r="G44" s="3666" t="str">
        <f t="shared" si="2"/>
        <v>NA</v>
      </c>
      <c r="H44" s="3667">
        <f t="shared" ref="H44:H46" si="15">IF(SUM($F44)=0,"NA",K44*1000/$F44)</f>
        <v>0.15925235918042474</v>
      </c>
      <c r="I44" s="3668">
        <f t="shared" ref="I44:I46" si="16">IF(SUM($F44)=0,"NA",L44*1000/$F44)</f>
        <v>2.9439568065159076E-3</v>
      </c>
      <c r="J44" s="3509" t="s">
        <v>2153</v>
      </c>
      <c r="K44" s="3510">
        <v>77.180936567567088</v>
      </c>
      <c r="L44" s="3512">
        <v>1.4267753690476641</v>
      </c>
      <c r="M44" s="482"/>
    </row>
    <row r="45" spans="2:13" ht="18" customHeight="1" x14ac:dyDescent="0.2">
      <c r="B45" s="923"/>
      <c r="C45" s="4367" t="s">
        <v>2263</v>
      </c>
      <c r="D45" s="542" t="s">
        <v>940</v>
      </c>
      <c r="E45" s="543" t="s">
        <v>2250</v>
      </c>
      <c r="F45" s="3655">
        <v>67435.219118433655</v>
      </c>
      <c r="G45" s="3666" t="str">
        <f t="shared" si="2"/>
        <v>NA</v>
      </c>
      <c r="H45" s="3667">
        <f t="shared" si="15"/>
        <v>1.302237120046356E-2</v>
      </c>
      <c r="I45" s="3668">
        <f t="shared" si="16"/>
        <v>2.9588251092955346E-4</v>
      </c>
      <c r="J45" s="3509" t="s">
        <v>2153</v>
      </c>
      <c r="K45" s="3510">
        <v>0.87816645534484006</v>
      </c>
      <c r="L45" s="3512">
        <v>1.995290195784678E-2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982930.62720333401</v>
      </c>
      <c r="G48" s="3660" t="str">
        <f t="shared" si="2"/>
        <v>NA</v>
      </c>
      <c r="H48" s="3661">
        <f t="shared" si="17"/>
        <v>1.3741393830662984E-2</v>
      </c>
      <c r="I48" s="3662">
        <f t="shared" si="18"/>
        <v>3.1380948670818484E-4</v>
      </c>
      <c r="J48" s="3502" t="str">
        <f>IF(SUM(J49,J54)=0,"IE",SUM(J49,J54))</f>
        <v>IE</v>
      </c>
      <c r="K48" s="3503">
        <f>IF(SUM(K49,K54)=0,"NO",SUM(K49,K54))</f>
        <v>13.506836856621591</v>
      </c>
      <c r="L48" s="3504">
        <f>IF(SUM(L49,L54)=0,"NO",SUM(L49,L54))</f>
        <v>0.30845295559243241</v>
      </c>
      <c r="M48" s="482"/>
    </row>
    <row r="49" spans="2:13" ht="18" customHeight="1" x14ac:dyDescent="0.2">
      <c r="B49" s="903" t="s">
        <v>1285</v>
      </c>
      <c r="C49" s="4368"/>
      <c r="D49" s="298"/>
      <c r="E49" s="5" t="s">
        <v>2250</v>
      </c>
      <c r="F49" s="3680">
        <f>IF(SUM(F50,F52)=0,"NO",SUM(F50,F52))</f>
        <v>982930.62720333401</v>
      </c>
      <c r="G49" s="3663" t="str">
        <f t="shared" si="2"/>
        <v>NA</v>
      </c>
      <c r="H49" s="3664">
        <f t="shared" si="17"/>
        <v>1.3741393830662984E-2</v>
      </c>
      <c r="I49" s="3665">
        <f t="shared" si="18"/>
        <v>3.1380948670818484E-4</v>
      </c>
      <c r="J49" s="3505" t="str">
        <f>IF(SUM(J50,J52)=0,"IE",SUM(J50,J52))</f>
        <v>IE</v>
      </c>
      <c r="K49" s="3506">
        <f>IF(SUM(K50,K52)=0,"NO",SUM(K50,K52))</f>
        <v>13.506836856621591</v>
      </c>
      <c r="L49" s="3507">
        <f>IF(SUM(L50,L52)=0,"NO",SUM(L50,L52))</f>
        <v>0.30845295559243241</v>
      </c>
    </row>
    <row r="50" spans="2:13" ht="18" customHeight="1" x14ac:dyDescent="0.2">
      <c r="B50" s="923" t="s">
        <v>1286</v>
      </c>
      <c r="C50" s="4368"/>
      <c r="D50" s="298"/>
      <c r="E50" s="5" t="s">
        <v>2250</v>
      </c>
      <c r="F50" s="3681">
        <f>F51</f>
        <v>982930.62720333401</v>
      </c>
      <c r="G50" s="3666" t="str">
        <f t="shared" si="2"/>
        <v>NA</v>
      </c>
      <c r="H50" s="3667">
        <f t="shared" si="17"/>
        <v>1.3741393830662984E-2</v>
      </c>
      <c r="I50" s="3668">
        <f t="shared" si="18"/>
        <v>3.1380948670818484E-4</v>
      </c>
      <c r="J50" s="3505" t="str">
        <f>J51</f>
        <v>IE</v>
      </c>
      <c r="K50" s="3505">
        <f>K51</f>
        <v>13.506836856621591</v>
      </c>
      <c r="L50" s="3508">
        <f>L51</f>
        <v>0.30845295559243241</v>
      </c>
      <c r="M50" s="482"/>
    </row>
    <row r="51" spans="2:13" ht="18" customHeight="1" x14ac:dyDescent="0.2">
      <c r="B51" s="923"/>
      <c r="C51" s="4367" t="s">
        <v>2263</v>
      </c>
      <c r="D51" s="542" t="s">
        <v>940</v>
      </c>
      <c r="E51" s="543" t="s">
        <v>2250</v>
      </c>
      <c r="F51" s="3655">
        <v>982930.62720333401</v>
      </c>
      <c r="G51" s="3666" t="str">
        <f t="shared" si="2"/>
        <v>NA</v>
      </c>
      <c r="H51" s="3667">
        <f t="shared" si="17"/>
        <v>1.3741393830662984E-2</v>
      </c>
      <c r="I51" s="3668">
        <f t="shared" si="18"/>
        <v>3.1380948670818484E-4</v>
      </c>
      <c r="J51" s="3509" t="s">
        <v>2153</v>
      </c>
      <c r="K51" s="3510">
        <v>13.506836856621591</v>
      </c>
      <c r="L51" s="3512">
        <v>0.30845295559243241</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16544</v>
      </c>
      <c r="G59" s="3660" t="str">
        <f t="shared" si="2"/>
        <v>NA</v>
      </c>
      <c r="H59" s="3661">
        <f t="shared" si="3"/>
        <v>0.20827688588007739</v>
      </c>
      <c r="I59" s="3662">
        <f t="shared" si="4"/>
        <v>3.8502296542553202E-3</v>
      </c>
      <c r="J59" s="3502" t="str">
        <f>IF(SUM(J60,J65)=0,"IE",SUM(J60,J65))</f>
        <v>IE</v>
      </c>
      <c r="K59" s="3503">
        <f>IF(SUM(K60,K65)=0,"NO",SUM(K60,K65))</f>
        <v>3.4457328</v>
      </c>
      <c r="L59" s="3504">
        <f>IF(SUM(L60,L65)=0,"NO",SUM(L60,L65))</f>
        <v>6.3698199400000016E-2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16544</v>
      </c>
      <c r="G65" s="3663" t="str">
        <f t="shared" si="2"/>
        <v>NA</v>
      </c>
      <c r="H65" s="3664">
        <f t="shared" si="3"/>
        <v>0.20827688588007739</v>
      </c>
      <c r="I65" s="3665">
        <f t="shared" si="4"/>
        <v>3.8502296542553202E-3</v>
      </c>
      <c r="J65" s="3505" t="str">
        <f>IF(SUM(J66,J68)=0,"IE",SUM(J66,J68))</f>
        <v>IE</v>
      </c>
      <c r="K65" s="3506">
        <f>IF(SUM(K66,K68)=0,"NO",SUM(K66,K68))</f>
        <v>3.4457328</v>
      </c>
      <c r="L65" s="3507">
        <f>IF(SUM(L66,L68)=0,"NO",SUM(L66,L68))</f>
        <v>6.3698199400000016E-2</v>
      </c>
    </row>
    <row r="66" spans="2:13" ht="18" customHeight="1" x14ac:dyDescent="0.2">
      <c r="B66" s="923" t="s">
        <v>1294</v>
      </c>
      <c r="C66" s="4368"/>
      <c r="D66" s="298"/>
      <c r="E66" s="5" t="s">
        <v>2250</v>
      </c>
      <c r="F66" s="3681">
        <f>F67</f>
        <v>16544</v>
      </c>
      <c r="G66" s="3666" t="str">
        <f t="shared" si="2"/>
        <v>NA</v>
      </c>
      <c r="H66" s="3667">
        <f t="shared" si="3"/>
        <v>0.20827688588007739</v>
      </c>
      <c r="I66" s="3668">
        <f t="shared" si="4"/>
        <v>3.8502296542553202E-3</v>
      </c>
      <c r="J66" s="3505" t="str">
        <f>J67</f>
        <v>IE</v>
      </c>
      <c r="K66" s="3505">
        <f>K67</f>
        <v>3.4457328</v>
      </c>
      <c r="L66" s="3508">
        <f>L67</f>
        <v>6.3698199400000016E-2</v>
      </c>
      <c r="M66" s="482"/>
    </row>
    <row r="67" spans="2:13" ht="18" customHeight="1" x14ac:dyDescent="0.2">
      <c r="B67" s="923"/>
      <c r="C67" s="4367" t="s">
        <v>2252</v>
      </c>
      <c r="D67" s="542" t="s">
        <v>940</v>
      </c>
      <c r="E67" s="543" t="s">
        <v>2250</v>
      </c>
      <c r="F67" s="3655">
        <v>16544</v>
      </c>
      <c r="G67" s="3666" t="str">
        <f t="shared" si="2"/>
        <v>NA</v>
      </c>
      <c r="H67" s="3667">
        <f t="shared" ref="H67:H68" si="23">IF(SUM($F67)=0,"NA",K67*1000/$F67)</f>
        <v>0.20827688588007739</v>
      </c>
      <c r="I67" s="3668">
        <f t="shared" ref="I67:I68" si="24">IF(SUM($F67)=0,"NA",L67*1000/$F67)</f>
        <v>3.8502296542553202E-3</v>
      </c>
      <c r="J67" s="3509" t="s">
        <v>2153</v>
      </c>
      <c r="K67" s="3510">
        <v>3.4457328</v>
      </c>
      <c r="L67" s="3512">
        <v>6.3698199400000016E-2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4728.4031396392511</v>
      </c>
      <c r="D10" s="3521">
        <f>IF(SUM(D11,D16:D17)=0,"NO",SUM(D11,D16:D17))</f>
        <v>-2781.0828851756742</v>
      </c>
      <c r="E10" s="3522"/>
      <c r="F10" s="3523">
        <f>IF(SUM(F11,F16:F17)=0,"NO",SUM(F11,F16:F17))</f>
        <v>1947.3202544635769</v>
      </c>
      <c r="G10" s="3524">
        <f>IF(SUM(G11,G16:G17)=0,"NO",SUM(G11,G16:G17))</f>
        <v>-7140.1742663664481</v>
      </c>
      <c r="H10" s="226"/>
      <c r="I10" s="2"/>
      <c r="J10" s="2"/>
    </row>
    <row r="11" spans="1:10" ht="18" customHeight="1" x14ac:dyDescent="0.2">
      <c r="B11" s="606" t="s">
        <v>1314</v>
      </c>
      <c r="C11" s="3525">
        <f>IF(SUM(C13:C15)=0,"NO",SUM(C13:C15))</f>
        <v>1629.7777588455349</v>
      </c>
      <c r="D11" s="3526">
        <f>IF(SUM(D13:D15)=0,"NO",SUM(D13:D15))</f>
        <v>-586.5052541875159</v>
      </c>
      <c r="E11" s="3527"/>
      <c r="F11" s="3528">
        <f>IF(SUM(F13:F15)=0,"NO",SUM(F13:F15))</f>
        <v>1043.272504658019</v>
      </c>
      <c r="G11" s="3529">
        <f>IF(SUM(G13:G15)=0,"NO",SUM(G13:G15))</f>
        <v>-3825.3325170794024</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1176.9478388687917</v>
      </c>
      <c r="D13" s="3534">
        <f>F13-C13</f>
        <v>-367.11880807967691</v>
      </c>
      <c r="E13" s="3535" t="s">
        <v>2147</v>
      </c>
      <c r="F13" s="3536">
        <f>G13/(-44/12)</f>
        <v>809.82903078911477</v>
      </c>
      <c r="G13" s="3537">
        <v>-2969.3731128934205</v>
      </c>
      <c r="H13" s="226"/>
      <c r="I13" s="2"/>
      <c r="J13" s="2"/>
    </row>
    <row r="14" spans="1:10" ht="18" customHeight="1" x14ac:dyDescent="0.2">
      <c r="B14" s="1193" t="s">
        <v>1316</v>
      </c>
      <c r="C14" s="3538">
        <v>452.82991997674321</v>
      </c>
      <c r="D14" s="3539">
        <f>F14-C14</f>
        <v>-219.38644610783899</v>
      </c>
      <c r="E14" s="3235" t="s">
        <v>2147</v>
      </c>
      <c r="F14" s="3540">
        <f>G14/(-44/12)</f>
        <v>233.44347386890422</v>
      </c>
      <c r="G14" s="3537">
        <v>-855.95940418598207</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1737.9412745</v>
      </c>
      <c r="D16" s="3539">
        <f>F16-C16</f>
        <v>-1689.6768430915395</v>
      </c>
      <c r="E16" s="3235" t="s">
        <v>2147</v>
      </c>
      <c r="F16" s="3540">
        <f>G16/(-44/12)</f>
        <v>48.264431408460382</v>
      </c>
      <c r="G16" s="3537">
        <v>-176.9695818310214</v>
      </c>
      <c r="H16" s="226"/>
      <c r="I16" s="2"/>
      <c r="J16" s="2"/>
    </row>
    <row r="17" spans="2:10" ht="18" customHeight="1" x14ac:dyDescent="0.2">
      <c r="B17" s="1197" t="s">
        <v>1320</v>
      </c>
      <c r="C17" s="3542">
        <f>C18</f>
        <v>1360.684106293716</v>
      </c>
      <c r="D17" s="3543">
        <f t="shared" ref="D17:F17" si="0">D18</f>
        <v>-504.90078789661868</v>
      </c>
      <c r="E17" s="3544"/>
      <c r="F17" s="3226">
        <f t="shared" si="0"/>
        <v>855.78331839709733</v>
      </c>
      <c r="G17" s="3537">
        <f>-F17*44/12</f>
        <v>-3137.8721674560238</v>
      </c>
      <c r="H17" s="226"/>
      <c r="I17" s="2"/>
      <c r="J17" s="2"/>
    </row>
    <row r="18" spans="2:10" ht="18" customHeight="1" thickBot="1" x14ac:dyDescent="0.25">
      <c r="B18" s="561" t="s">
        <v>2254</v>
      </c>
      <c r="C18" s="3545">
        <v>1360.684106293716</v>
      </c>
      <c r="D18" s="3546">
        <f>F18-C18</f>
        <v>-504.90078789661868</v>
      </c>
      <c r="E18" s="3238" t="s">
        <v>2147</v>
      </c>
      <c r="F18" s="3547">
        <f>G18/(-44/12)</f>
        <v>855.78331839709733</v>
      </c>
      <c r="G18" s="3548">
        <v>-3137.8721674560234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28.621172748861426</v>
      </c>
      <c r="D10" s="4371">
        <f t="shared" ref="D10:I10" si="0">IF(SUM(D11,D15,D18,D21)=0,"NO",SUM(D11,D15,D18,D21))</f>
        <v>674.05288791766293</v>
      </c>
      <c r="E10" s="4371">
        <f t="shared" si="0"/>
        <v>0.75565066334282749</v>
      </c>
      <c r="F10" s="4371" t="str">
        <f t="shared" si="0"/>
        <v>NO</v>
      </c>
      <c r="G10" s="4371" t="str">
        <f t="shared" si="0"/>
        <v>NO</v>
      </c>
      <c r="H10" s="4371">
        <f t="shared" si="0"/>
        <v>420.57069136337736</v>
      </c>
      <c r="I10" s="4372" t="str">
        <f t="shared" si="0"/>
        <v>NO</v>
      </c>
      <c r="J10" s="4373">
        <f>IF(SUM(C10:E10)=0,"NO",SUM(C10,IFERROR(28*D10,0),IFERROR(265*E10,0)))</f>
        <v>19102.349460229274</v>
      </c>
    </row>
    <row r="11" spans="1:10" ht="18" customHeight="1" x14ac:dyDescent="0.2">
      <c r="B11" s="1504" t="s">
        <v>1371</v>
      </c>
      <c r="C11" s="4374"/>
      <c r="D11" s="2883">
        <f>IF(SUM(D12:D14)=0,"NO",SUM(D12:D14))</f>
        <v>493.89166109000001</v>
      </c>
      <c r="E11" s="4374"/>
      <c r="F11" s="2883" t="str">
        <f>IF(SUM(F12:F14)=0,"NO",SUM(F12:F14))</f>
        <v>NO</v>
      </c>
      <c r="G11" s="2883" t="str">
        <f t="shared" ref="G11:H11" si="1">IF(SUM(G12:G14)=0,"NO",SUM(G12:G14))</f>
        <v>NO</v>
      </c>
      <c r="H11" s="2883">
        <f t="shared" si="1"/>
        <v>2.7735177565300306</v>
      </c>
      <c r="I11" s="2153"/>
      <c r="J11" s="2872">
        <f t="shared" ref="J11:J18" si="2">IF(SUM(C11:E11)=0,"NO",SUM(C11,IFERROR(28*D11,0),IFERROR(265*E11,0)))</f>
        <v>13828.96651052</v>
      </c>
    </row>
    <row r="12" spans="1:10" ht="18" customHeight="1" x14ac:dyDescent="0.2">
      <c r="B12" s="1270" t="s">
        <v>1372</v>
      </c>
      <c r="C12" s="4375"/>
      <c r="D12" s="4376">
        <f>IF(SUM(Table5.A!F10:H10)=0,"NO",SUM(Table5.A!F10))</f>
        <v>493.89166109000001</v>
      </c>
      <c r="E12" s="4375"/>
      <c r="F12" s="4377" t="s">
        <v>2147</v>
      </c>
      <c r="G12" s="4377" t="s">
        <v>2147</v>
      </c>
      <c r="H12" s="4377">
        <v>2.7735177565300306</v>
      </c>
      <c r="I12" s="4378"/>
      <c r="J12" s="4379">
        <f t="shared" si="2"/>
        <v>13828.96651052</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1.4129424560619974</v>
      </c>
      <c r="E15" s="2881">
        <f t="shared" ref="E15" si="3">IF(SUM(E16:E17)=0,"NO",SUM(E16:E17))</f>
        <v>0.18085663437593569</v>
      </c>
      <c r="F15" s="2881" t="s">
        <v>2256</v>
      </c>
      <c r="G15" s="2881" t="s">
        <v>2256</v>
      </c>
      <c r="H15" s="2881" t="s">
        <v>2256</v>
      </c>
      <c r="I15" s="4386"/>
      <c r="J15" s="2873">
        <f t="shared" si="2"/>
        <v>87.489396879358878</v>
      </c>
    </row>
    <row r="16" spans="1:10" ht="18" customHeight="1" x14ac:dyDescent="0.2">
      <c r="B16" s="1883" t="s">
        <v>1376</v>
      </c>
      <c r="C16" s="4387"/>
      <c r="D16" s="4376">
        <f>Table5.B!F10</f>
        <v>1.4129424560619974</v>
      </c>
      <c r="E16" s="4376">
        <f>Table5.B!G10</f>
        <v>0.18085663437593569</v>
      </c>
      <c r="F16" s="4388" t="s">
        <v>2147</v>
      </c>
      <c r="G16" s="4388" t="s">
        <v>2147</v>
      </c>
      <c r="H16" s="4388" t="s">
        <v>2147</v>
      </c>
      <c r="I16" s="4378"/>
      <c r="J16" s="4379">
        <f t="shared" si="2"/>
        <v>87.489396879358878</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28.621172748861426</v>
      </c>
      <c r="D18" s="2871" t="str">
        <f>IF(SUM(D19:D20)=0,"NO,NE",SUM(D19:D20))</f>
        <v>NO,NE</v>
      </c>
      <c r="E18" s="2871" t="str">
        <f>IF(SUM(E19:E20)=0,"NO,NE",SUM(E19:E20))</f>
        <v>NO,NE</v>
      </c>
      <c r="F18" s="2871" t="s">
        <v>2147</v>
      </c>
      <c r="G18" s="2871" t="s">
        <v>2147</v>
      </c>
      <c r="H18" s="2871" t="s">
        <v>2147</v>
      </c>
      <c r="I18" s="2871" t="s">
        <v>2147</v>
      </c>
      <c r="J18" s="2874">
        <f t="shared" si="2"/>
        <v>28.621172748861426</v>
      </c>
    </row>
    <row r="19" spans="2:12" ht="18" customHeight="1" x14ac:dyDescent="0.2">
      <c r="B19" s="1270" t="s">
        <v>1379</v>
      </c>
      <c r="C19" s="4376">
        <f>Table5.C!G10</f>
        <v>28.621172748861426</v>
      </c>
      <c r="D19" s="4376" t="str">
        <f>Table5.C!H10</f>
        <v>NO,NE</v>
      </c>
      <c r="E19" s="4376" t="str">
        <f>Table5.C!I10</f>
        <v>NO,NE</v>
      </c>
      <c r="F19" s="4391" t="s">
        <v>2147</v>
      </c>
      <c r="G19" s="4391" t="s">
        <v>2147</v>
      </c>
      <c r="H19" s="4391" t="s">
        <v>2147</v>
      </c>
      <c r="I19" s="4391" t="s">
        <v>2147</v>
      </c>
      <c r="J19" s="4379">
        <f>IF(SUM(C19:E19)=0,"NO",SUM(C19,IFERROR(28*D19,0),IFERROR(265*E19,0)))</f>
        <v>28.621172748861426</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178.7482843716009</v>
      </c>
      <c r="E21" s="2871">
        <f t="shared" ref="E21:H21" si="5">IF(SUM(E22:E24)=0,"NO",SUM(E22:E24))</f>
        <v>0.5747940289668918</v>
      </c>
      <c r="F21" s="2871" t="str">
        <f t="shared" si="5"/>
        <v>NO</v>
      </c>
      <c r="G21" s="2871" t="str">
        <f t="shared" si="5"/>
        <v>NO</v>
      </c>
      <c r="H21" s="2871">
        <f t="shared" si="5"/>
        <v>417.79717360684731</v>
      </c>
      <c r="I21" s="4393"/>
      <c r="J21" s="2874">
        <f t="shared" si="4"/>
        <v>5157.2723800810518</v>
      </c>
    </row>
    <row r="22" spans="2:12" ht="18" customHeight="1" x14ac:dyDescent="0.2">
      <c r="B22" s="1270" t="s">
        <v>1382</v>
      </c>
      <c r="C22" s="4394"/>
      <c r="D22" s="4376">
        <f>IF(SUM(Table5.D!H10)=0,"NO",SUM(Table5.D!H10))</f>
        <v>67.816752112923311</v>
      </c>
      <c r="E22" s="4376">
        <f>IF(SUM(Table5.D!I10:J10)=0,"NO",SUM(Table5.D!I10:J10))</f>
        <v>0.5747940289668918</v>
      </c>
      <c r="F22" s="4377" t="s">
        <v>2147</v>
      </c>
      <c r="G22" s="4377" t="s">
        <v>2147</v>
      </c>
      <c r="H22" s="4377">
        <v>5.5267072490126834</v>
      </c>
      <c r="I22" s="4378"/>
      <c r="J22" s="4379">
        <f t="shared" si="4"/>
        <v>2051.1894768380789</v>
      </c>
    </row>
    <row r="23" spans="2:12" ht="18" customHeight="1" x14ac:dyDescent="0.2">
      <c r="B23" s="1270" t="s">
        <v>1383</v>
      </c>
      <c r="C23" s="4394"/>
      <c r="D23" s="4376">
        <f>IF(SUM(Table5.D!H11)=0,"NO",SUM(Table5.D!H11))</f>
        <v>110.93153225867759</v>
      </c>
      <c r="E23" s="4376" t="str">
        <f>IF(SUM(Table5.D!I11:J11)=0,"IE",SUM(Table5.D!I11:J11))</f>
        <v>IE</v>
      </c>
      <c r="F23" s="4377" t="s">
        <v>2147</v>
      </c>
      <c r="G23" s="4377" t="s">
        <v>2147</v>
      </c>
      <c r="H23" s="4377">
        <v>412.27046635783461</v>
      </c>
      <c r="I23" s="4378"/>
      <c r="J23" s="4379">
        <f t="shared" si="4"/>
        <v>3106.0829032429724</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-221048.20759042792</v>
      </c>
      <c r="D28" s="4404"/>
      <c r="E28" s="4404"/>
      <c r="F28" s="4404"/>
      <c r="G28" s="4404"/>
      <c r="H28" s="4404"/>
      <c r="I28" s="4405"/>
      <c r="J28" s="4406"/>
      <c r="K28"/>
      <c r="L28"/>
    </row>
    <row r="29" spans="2:12" ht="18" customHeight="1" x14ac:dyDescent="0.2">
      <c r="B29" s="2487" t="s">
        <v>2081</v>
      </c>
      <c r="C29" s="4407">
        <v>-5092.9464312022865</v>
      </c>
      <c r="D29" s="4408"/>
      <c r="E29" s="4408"/>
      <c r="F29" s="4408"/>
      <c r="G29" s="4408"/>
      <c r="H29" s="4408"/>
      <c r="I29" s="4406"/>
      <c r="J29" s="4406"/>
      <c r="K29"/>
      <c r="L29"/>
    </row>
    <row r="30" spans="2:12" ht="29.25" customHeight="1" thickBot="1" x14ac:dyDescent="0.25">
      <c r="B30" s="2488" t="s">
        <v>2082</v>
      </c>
      <c r="C30" s="4409">
        <v>-3137.8721674560234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19474.034284292895</v>
      </c>
      <c r="D10" s="3752"/>
      <c r="E10" s="3751">
        <f>IF(SUM(C10)=0,"NA",(F10-SUM(G10:H10))/C10)</f>
        <v>3.2044806534685583E-2</v>
      </c>
      <c r="F10" s="3753">
        <f>F11</f>
        <v>493.89166109000001</v>
      </c>
      <c r="G10" s="3753" t="str">
        <f>G11</f>
        <v>IE</v>
      </c>
      <c r="H10" s="3754">
        <f>H11</f>
        <v>-130.15</v>
      </c>
      <c r="I10" s="44"/>
    </row>
    <row r="11" spans="1:13" ht="18" customHeight="1" x14ac:dyDescent="0.2">
      <c r="B11" s="1750" t="s">
        <v>1395</v>
      </c>
      <c r="C11" s="3755">
        <f>IF(SUM(C13:C16)=0,"NO",SUM(C13:C16))</f>
        <v>19474.034284292895</v>
      </c>
      <c r="D11" s="3755">
        <v>1</v>
      </c>
      <c r="E11" s="3755">
        <f>IF(SUM(C11)=0,"NA",(F11-SUM(G11:H11))/C11)</f>
        <v>3.2044806534685583E-2</v>
      </c>
      <c r="F11" s="3755">
        <f>IF(SUM(F13:F16)=0,"NO",SUM(F13:F16))</f>
        <v>493.89166109000001</v>
      </c>
      <c r="G11" s="3756" t="s">
        <v>2153</v>
      </c>
      <c r="H11" s="3757">
        <v>-130.15</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11624.7450150732</v>
      </c>
      <c r="D13" s="3762">
        <v>1</v>
      </c>
      <c r="E13" s="3755" t="s">
        <v>2153</v>
      </c>
      <c r="F13" s="3762">
        <v>17.462812790000001</v>
      </c>
      <c r="G13" s="3763"/>
      <c r="H13" s="3764"/>
      <c r="I13" s="44"/>
    </row>
    <row r="14" spans="1:13" ht="18" customHeight="1" x14ac:dyDescent="0.2">
      <c r="B14" s="1751" t="s">
        <v>1398</v>
      </c>
      <c r="C14" s="3762">
        <v>3029.5255381273364</v>
      </c>
      <c r="D14" s="3762">
        <v>1</v>
      </c>
      <c r="E14" s="3755" t="s">
        <v>2153</v>
      </c>
      <c r="F14" s="3762">
        <v>204.67837610000001</v>
      </c>
      <c r="G14" s="3763"/>
      <c r="H14" s="3764"/>
      <c r="I14" s="44"/>
    </row>
    <row r="15" spans="1:13" ht="18" customHeight="1" x14ac:dyDescent="0.2">
      <c r="B15" s="1751" t="s">
        <v>1399</v>
      </c>
      <c r="C15" s="3762">
        <v>4819.7637310923601</v>
      </c>
      <c r="D15" s="3762">
        <v>1</v>
      </c>
      <c r="E15" s="3755" t="s">
        <v>2153</v>
      </c>
      <c r="F15" s="3762">
        <v>271.75047219999999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1883.9232747493299</v>
      </c>
      <c r="D10" s="1913">
        <f>IF(SUM($C10)=0,"NA",F10*1000/$C10)</f>
        <v>0.75</v>
      </c>
      <c r="E10" s="1913">
        <f>IF(SUM($C10)=0,"NA",G10*1000/$C10)</f>
        <v>9.6000000000000016E-2</v>
      </c>
      <c r="F10" s="1909">
        <f>IF(SUM(F11:F12)=0,"NO",SUM(F11:F12))</f>
        <v>1.4129424560619974</v>
      </c>
      <c r="G10" s="1909">
        <f>IF(SUM(G11:G12)=0,"NO",SUM(G11:G12))</f>
        <v>0.18085663437593569</v>
      </c>
      <c r="H10" s="1910"/>
      <c r="I10" s="1911"/>
    </row>
    <row r="11" spans="1:9" ht="18" customHeight="1" x14ac:dyDescent="0.2">
      <c r="B11" s="1526" t="s">
        <v>1411</v>
      </c>
      <c r="C11" s="1912">
        <v>1883.9232747493299</v>
      </c>
      <c r="D11" s="1913">
        <f>IF(SUM($C11)=0,"NA",F11*1000/$C11)</f>
        <v>0.75</v>
      </c>
      <c r="E11" s="1913">
        <f>IF(SUM($C11)=0,"NA",G11*1000/$C11)</f>
        <v>9.6000000000000016E-2</v>
      </c>
      <c r="F11" s="1912">
        <v>1.4129424560619974</v>
      </c>
      <c r="G11" s="1912">
        <v>0.18085663437593569</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12.195365881676429</v>
      </c>
      <c r="D10" s="2887">
        <f>IF(SUM(G10)=0,"NA",G10*1000/$C10)</f>
        <v>2346.8892222302916</v>
      </c>
      <c r="E10" s="2887" t="str">
        <f t="shared" ref="E10:E20" si="0">IF(SUM(H10)=0,"NA",H10*1000/$C10)</f>
        <v>NA</v>
      </c>
      <c r="F10" s="2887" t="str">
        <f t="shared" ref="F10:F20" si="1">IF(SUM(I10)=0,"NA",I10*1000/$C10)</f>
        <v>NA</v>
      </c>
      <c r="G10" s="2887">
        <f>IF(SUM(G11,G21)=0,"NO",SUM(G11,G21))</f>
        <v>28.621172748861426</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12.195365881676429</v>
      </c>
      <c r="D21" s="116">
        <f>IF(SUM(G21)=0,"NA",G21*1000/$C21)</f>
        <v>2346.8892222302916</v>
      </c>
      <c r="E21" s="116" t="str">
        <f t="shared" ref="E21:F21" si="3">IF(SUM(H21)=0,"NA",H21*1000/$C21)</f>
        <v>NA</v>
      </c>
      <c r="F21" s="116" t="str">
        <f t="shared" si="3"/>
        <v>NA</v>
      </c>
      <c r="G21" s="2889">
        <f>IF(SUM(G22:G23)=0,"NO",SUM(G22:G23))</f>
        <v>28.621172748861426</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12.195365881676429</v>
      </c>
      <c r="D23" s="116">
        <f t="shared" si="4"/>
        <v>2346.8892222302916</v>
      </c>
      <c r="E23" s="151" t="str">
        <f t="shared" si="5"/>
        <v>NA</v>
      </c>
      <c r="F23" s="151" t="str">
        <f t="shared" si="6"/>
        <v>NA</v>
      </c>
      <c r="G23" s="151">
        <f>IF(SUM(G25:G30)=0,"NO",SUM(G25:G30))</f>
        <v>28.621172748861426</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12.195365881676429</v>
      </c>
      <c r="D27" s="116">
        <f t="shared" si="4"/>
        <v>879.99999999999966</v>
      </c>
      <c r="E27" s="116" t="str">
        <f t="shared" si="5"/>
        <v>NA</v>
      </c>
      <c r="F27" s="116" t="str">
        <f t="shared" si="6"/>
        <v>NA</v>
      </c>
      <c r="G27" s="2897">
        <v>10.731921975875254</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5.8331977217249804</v>
      </c>
      <c r="D30" s="116">
        <f t="shared" si="4"/>
        <v>3066.7999999999997</v>
      </c>
      <c r="E30" s="153" t="str">
        <f t="shared" si="5"/>
        <v>NA</v>
      </c>
      <c r="F30" s="153" t="str">
        <f t="shared" si="6"/>
        <v>NA</v>
      </c>
      <c r="G30" s="1541">
        <f>G31</f>
        <v>17.88925077298617</v>
      </c>
      <c r="H30" s="1541" t="str">
        <f>H31</f>
        <v>NE</v>
      </c>
      <c r="I30" s="2894" t="str">
        <f>I31</f>
        <v>NE</v>
      </c>
    </row>
    <row r="31" spans="2:9" ht="18" customHeight="1" x14ac:dyDescent="0.2">
      <c r="B31" s="2891" t="s">
        <v>2257</v>
      </c>
      <c r="C31" s="162">
        <v>5.8331977217249804</v>
      </c>
      <c r="D31" s="116">
        <f t="shared" si="4"/>
        <v>3066.7999999999997</v>
      </c>
      <c r="E31" s="153" t="str">
        <f t="shared" si="5"/>
        <v>NA</v>
      </c>
      <c r="F31" s="153" t="str">
        <f t="shared" si="6"/>
        <v>NA</v>
      </c>
      <c r="G31" s="161">
        <v>17.88925077298617</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18615.97</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36.865000000000002</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2123.5685163796202</v>
      </c>
      <c r="D10" s="3435">
        <v>1623.2482064861499</v>
      </c>
      <c r="E10" s="3435">
        <v>109.804437448</v>
      </c>
      <c r="F10" s="3436">
        <f>(SUM(H10)-SUM(K10:L10))/C10</f>
        <v>4.6250670473677986E-2</v>
      </c>
      <c r="G10" s="3437">
        <f>SUM(I10:J10)/E10/(44/28)</f>
        <v>3.3311770173832713E-3</v>
      </c>
      <c r="H10" s="3434">
        <v>67.816752112923311</v>
      </c>
      <c r="I10" s="3223">
        <v>0.5747940289668918</v>
      </c>
      <c r="J10" s="3223" t="s">
        <v>2153</v>
      </c>
      <c r="K10" s="3438">
        <v>-30.399715566427762</v>
      </c>
      <c r="L10" s="2911" t="s">
        <v>2153</v>
      </c>
      <c r="M10"/>
      <c r="N10" s="1770" t="s">
        <v>1468</v>
      </c>
      <c r="O10" s="3440">
        <v>1</v>
      </c>
    </row>
    <row r="11" spans="1:15" ht="18" customHeight="1" x14ac:dyDescent="0.2">
      <c r="A11"/>
      <c r="B11" s="1749" t="s">
        <v>1383</v>
      </c>
      <c r="C11" s="3435">
        <v>1374.2348878594501</v>
      </c>
      <c r="D11" s="3435">
        <v>204.351211137832</v>
      </c>
      <c r="E11" s="691" t="s">
        <v>2153</v>
      </c>
      <c r="F11" s="3162">
        <f>(SUM(H11)-SUM(K11:L11))/C11</f>
        <v>8.2338536329509548E-2</v>
      </c>
      <c r="G11" s="3162" t="s">
        <v>2147</v>
      </c>
      <c r="H11" s="691">
        <v>110.93153225867759</v>
      </c>
      <c r="I11" s="691" t="s">
        <v>2153</v>
      </c>
      <c r="J11" s="691" t="s">
        <v>2153</v>
      </c>
      <c r="K11" s="3147" t="s">
        <v>2153</v>
      </c>
      <c r="L11" s="2911">
        <v>-2.2209569806172134</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353346.18960000842</v>
      </c>
      <c r="D10" s="4213">
        <f t="shared" si="0"/>
        <v>5329.802598613066</v>
      </c>
      <c r="E10" s="4213">
        <f t="shared" si="0"/>
        <v>73.223451729963315</v>
      </c>
      <c r="F10" s="4213">
        <f t="shared" si="0"/>
        <v>607.0172347661329</v>
      </c>
      <c r="G10" s="4213">
        <f t="shared" si="0"/>
        <v>1493.4649028585516</v>
      </c>
      <c r="H10" s="4213" t="str">
        <f>IF(SUM(H11,H22,H31,H42,H51)=0,"NO",SUM(H11,H22,H31,H42,H51))</f>
        <v>NO</v>
      </c>
      <c r="I10" s="4213">
        <f t="shared" ref="I10:N10" si="1">IF(SUM(I11,I22,I31,I42,I51)=0,"NO",SUM(I11,I22,I31,I42,I51))</f>
        <v>1.0535412065542095E-2</v>
      </c>
      <c r="J10" s="3834" t="str">
        <f t="shared" si="1"/>
        <v>NO</v>
      </c>
      <c r="K10" s="4213">
        <f t="shared" si="1"/>
        <v>2688.3449687183584</v>
      </c>
      <c r="L10" s="4213">
        <f t="shared" si="1"/>
        <v>28282.699730371347</v>
      </c>
      <c r="M10" s="4213">
        <f t="shared" si="1"/>
        <v>2066.3825595208632</v>
      </c>
      <c r="N10" s="4214">
        <f t="shared" si="1"/>
        <v>1742.8270977755437</v>
      </c>
      <c r="O10" s="3818">
        <f>IF(SUM(C10:J10)=0,"NO",SUM(C10,F10:H10)+28*SUM(D10)+265*SUM(E10)+23500*SUM(I10)+16100*SUM(J10))</f>
        <v>524332.94139077957</v>
      </c>
    </row>
    <row r="11" spans="1:15" ht="18" customHeight="1" x14ac:dyDescent="0.25">
      <c r="B11" s="1120" t="s">
        <v>1476</v>
      </c>
      <c r="C11" s="2552">
        <f>Table1!C10</f>
        <v>311286.34421070101</v>
      </c>
      <c r="D11" s="3810">
        <f>Table1!D10</f>
        <v>1437.3141428118861</v>
      </c>
      <c r="E11" s="3810">
        <f>Table1!E10</f>
        <v>9.4065583030332025</v>
      </c>
      <c r="F11" s="4215"/>
      <c r="G11" s="4215"/>
      <c r="H11" s="4216"/>
      <c r="I11" s="4215"/>
      <c r="J11" s="98"/>
      <c r="K11" s="3810">
        <f>Table1!F10</f>
        <v>1759.2899128733818</v>
      </c>
      <c r="L11" s="3810">
        <f>Table1!G10</f>
        <v>5373.7651745530002</v>
      </c>
      <c r="M11" s="3810">
        <f>Table1!H10</f>
        <v>803.01343513019606</v>
      </c>
      <c r="N11" s="4217">
        <f>Table1!I10</f>
        <v>625.54763301560604</v>
      </c>
      <c r="O11" s="3781">
        <f t="shared" ref="O11:O58" si="2">IF(SUM(C11:J11)=0,"NO",SUM(C11,F11:H11)+28*SUM(D11)+265*SUM(E11)+23500*SUM(I11)+16100*SUM(J11))</f>
        <v>354023.87815973762</v>
      </c>
    </row>
    <row r="12" spans="1:15" ht="18" customHeight="1" x14ac:dyDescent="0.25">
      <c r="B12" s="1370" t="s">
        <v>1477</v>
      </c>
      <c r="C12" s="4218">
        <f>Table1!C11</f>
        <v>304384.38556825282</v>
      </c>
      <c r="D12" s="4219">
        <f>Table1!D11</f>
        <v>122.71031809767517</v>
      </c>
      <c r="E12" s="4219">
        <f>Table1!E11</f>
        <v>9.320734552964657</v>
      </c>
      <c r="F12" s="69"/>
      <c r="G12" s="69"/>
      <c r="H12" s="69"/>
      <c r="I12" s="69"/>
      <c r="J12" s="69"/>
      <c r="K12" s="4219">
        <f>Table1!F11</f>
        <v>1755.5978014057484</v>
      </c>
      <c r="L12" s="4219">
        <f>Table1!G11</f>
        <v>5364.6057072407275</v>
      </c>
      <c r="M12" s="4219">
        <f>Table1!H11</f>
        <v>605.93782279252616</v>
      </c>
      <c r="N12" s="4220">
        <f>Table1!I11</f>
        <v>625.54763301560604</v>
      </c>
      <c r="O12" s="3782">
        <f t="shared" si="2"/>
        <v>310290.26913152332</v>
      </c>
    </row>
    <row r="13" spans="1:15" ht="18" customHeight="1" x14ac:dyDescent="0.25">
      <c r="B13" s="1371" t="s">
        <v>1478</v>
      </c>
      <c r="C13" s="4218">
        <f>Table1!C12</f>
        <v>181214.84033435362</v>
      </c>
      <c r="D13" s="4219">
        <f>Table1!D12</f>
        <v>9.0829981985042814</v>
      </c>
      <c r="E13" s="4219">
        <f>Table1!E12</f>
        <v>2.2515240802437124</v>
      </c>
      <c r="F13" s="69"/>
      <c r="G13" s="69"/>
      <c r="H13" s="69"/>
      <c r="I13" s="69"/>
      <c r="J13" s="69"/>
      <c r="K13" s="4219">
        <f>Table1!F12</f>
        <v>587.25965763284307</v>
      </c>
      <c r="L13" s="4219">
        <f>Table1!G12</f>
        <v>93.796317575314617</v>
      </c>
      <c r="M13" s="4219">
        <f>Table1!H12</f>
        <v>15.415112441261144</v>
      </c>
      <c r="N13" s="4220">
        <f>Table1!I12</f>
        <v>496.99348791900229</v>
      </c>
      <c r="O13" s="3783">
        <f t="shared" si="2"/>
        <v>182065.81816517632</v>
      </c>
    </row>
    <row r="14" spans="1:15" ht="18" customHeight="1" x14ac:dyDescent="0.25">
      <c r="B14" s="1371" t="s">
        <v>1479</v>
      </c>
      <c r="C14" s="4218">
        <f>Table1!C16</f>
        <v>37440.664739964937</v>
      </c>
      <c r="D14" s="4221">
        <f>Table1!D16</f>
        <v>2.2801350775648839</v>
      </c>
      <c r="E14" s="4221">
        <f>Table1!E16</f>
        <v>1.3289940991559226</v>
      </c>
      <c r="F14" s="3784"/>
      <c r="G14" s="3784"/>
      <c r="H14" s="3784"/>
      <c r="I14" s="3784"/>
      <c r="J14" s="69"/>
      <c r="K14" s="4221">
        <f>Table1!F16</f>
        <v>515.60515412496738</v>
      </c>
      <c r="L14" s="4221">
        <f>Table1!G16</f>
        <v>166.92474688139711</v>
      </c>
      <c r="M14" s="4221">
        <f>Table1!H16</f>
        <v>65.913437372959663</v>
      </c>
      <c r="N14" s="4222">
        <f>Table1!I16</f>
        <v>93.388307647064494</v>
      </c>
      <c r="O14" s="3785">
        <f t="shared" si="2"/>
        <v>37856.691958413074</v>
      </c>
    </row>
    <row r="15" spans="1:15" ht="18" customHeight="1" x14ac:dyDescent="0.25">
      <c r="B15" s="1371" t="s">
        <v>1480</v>
      </c>
      <c r="C15" s="4218">
        <f>Table1!C24</f>
        <v>69419.203221923817</v>
      </c>
      <c r="D15" s="4219">
        <f>Table1!D24</f>
        <v>29.313779273523515</v>
      </c>
      <c r="E15" s="4219">
        <f>Table1!E24</f>
        <v>5.1228691269862372</v>
      </c>
      <c r="F15" s="69"/>
      <c r="G15" s="69"/>
      <c r="H15" s="69"/>
      <c r="I15" s="69"/>
      <c r="J15" s="69"/>
      <c r="K15" s="4219">
        <f>Table1!F24</f>
        <v>401.14854008044694</v>
      </c>
      <c r="L15" s="4219">
        <f>Table1!G24</f>
        <v>4076.8528355673934</v>
      </c>
      <c r="M15" s="4219">
        <f>Table1!H24</f>
        <v>375.9841621919868</v>
      </c>
      <c r="N15" s="4220">
        <f>Table1!I24</f>
        <v>28.723241470674566</v>
      </c>
      <c r="O15" s="3783">
        <f t="shared" si="2"/>
        <v>71597.549360233825</v>
      </c>
    </row>
    <row r="16" spans="1:15" ht="18" customHeight="1" x14ac:dyDescent="0.25">
      <c r="B16" s="1371" t="s">
        <v>1481</v>
      </c>
      <c r="C16" s="4218">
        <f>Table1!C30</f>
        <v>15631.368149487873</v>
      </c>
      <c r="D16" s="4219">
        <f>Table1!D30</f>
        <v>82.000511244687715</v>
      </c>
      <c r="E16" s="4219">
        <f>Table1!E30</f>
        <v>0.59864468082477562</v>
      </c>
      <c r="F16" s="69"/>
      <c r="G16" s="69"/>
      <c r="H16" s="69"/>
      <c r="I16" s="69"/>
      <c r="J16" s="69"/>
      <c r="K16" s="4219">
        <f>Table1!F30</f>
        <v>245.11428160188265</v>
      </c>
      <c r="L16" s="4219">
        <f>Table1!G30</f>
        <v>1021.6867890329954</v>
      </c>
      <c r="M16" s="4219">
        <f>Table1!H30</f>
        <v>148.06915078774838</v>
      </c>
      <c r="N16" s="4220">
        <f>Table1!I30</f>
        <v>6.1888347468102438</v>
      </c>
      <c r="O16" s="3783">
        <f t="shared" si="2"/>
        <v>18086.023304757691</v>
      </c>
    </row>
    <row r="17" spans="2:15" ht="18" customHeight="1" x14ac:dyDescent="0.25">
      <c r="B17" s="1371" t="s">
        <v>1482</v>
      </c>
      <c r="C17" s="4218">
        <f>Table1!C34</f>
        <v>678.30912252252608</v>
      </c>
      <c r="D17" s="4219">
        <f>Table1!D34</f>
        <v>3.2894303394768613E-2</v>
      </c>
      <c r="E17" s="4219">
        <f>Table1!E34</f>
        <v>1.8702565754007937E-2</v>
      </c>
      <c r="F17" s="69"/>
      <c r="G17" s="69"/>
      <c r="H17" s="69"/>
      <c r="I17" s="69"/>
      <c r="J17" s="69"/>
      <c r="K17" s="4219">
        <f>Table1!F34</f>
        <v>6.4701679656083675</v>
      </c>
      <c r="L17" s="4219">
        <f>Table1!G34</f>
        <v>5.3450181836267294</v>
      </c>
      <c r="M17" s="4219">
        <f>Table1!H34</f>
        <v>0.55595999857013734</v>
      </c>
      <c r="N17" s="4220">
        <f>Table1!I34</f>
        <v>0.25376123205443712</v>
      </c>
      <c r="O17" s="3783">
        <f t="shared" si="2"/>
        <v>684.18634294239166</v>
      </c>
    </row>
    <row r="18" spans="2:15" ht="18" customHeight="1" x14ac:dyDescent="0.25">
      <c r="B18" s="1370" t="s">
        <v>99</v>
      </c>
      <c r="C18" s="4223">
        <f>Table1!C37</f>
        <v>6901.9586424481731</v>
      </c>
      <c r="D18" s="4224">
        <f>Table1!D37</f>
        <v>1314.603824714211</v>
      </c>
      <c r="E18" s="4224">
        <f>Table1!E37</f>
        <v>8.5823750068545937E-2</v>
      </c>
      <c r="F18" s="69"/>
      <c r="G18" s="69"/>
      <c r="H18" s="69"/>
      <c r="I18" s="69"/>
      <c r="J18" s="69"/>
      <c r="K18" s="4224">
        <f>Table1!F37</f>
        <v>3.6921114676332749</v>
      </c>
      <c r="L18" s="4219">
        <f>Table1!G37</f>
        <v>9.1594673122729926</v>
      </c>
      <c r="M18" s="4219">
        <f>Table1!H37</f>
        <v>197.0756123376699</v>
      </c>
      <c r="N18" s="4220" t="str">
        <f>Table1!I37</f>
        <v>NO</v>
      </c>
      <c r="O18" s="3783">
        <f t="shared" si="2"/>
        <v>43733.609028214247</v>
      </c>
    </row>
    <row r="19" spans="2:15" ht="18" customHeight="1" x14ac:dyDescent="0.25">
      <c r="B19" s="1371" t="s">
        <v>1483</v>
      </c>
      <c r="C19" s="4225">
        <f>Table1!C38</f>
        <v>1320.7717624290267</v>
      </c>
      <c r="D19" s="4226">
        <f>Table1!D38</f>
        <v>1013.9194201286596</v>
      </c>
      <c r="E19" s="4224">
        <f>Table1!E38</f>
        <v>1.8881593331029871E-5</v>
      </c>
      <c r="F19" s="69"/>
      <c r="G19" s="69"/>
      <c r="H19" s="69"/>
      <c r="I19" s="69"/>
      <c r="J19" s="69"/>
      <c r="K19" s="4224" t="str">
        <f>Table1!F38</f>
        <v>NO</v>
      </c>
      <c r="L19" s="4219" t="str">
        <f>Table1!G38</f>
        <v>NO</v>
      </c>
      <c r="M19" s="4219" t="str">
        <f>Table1!H38</f>
        <v>NO</v>
      </c>
      <c r="N19" s="4220" t="str">
        <f>Table1!I38</f>
        <v>NO</v>
      </c>
      <c r="O19" s="3783">
        <f t="shared" si="2"/>
        <v>29710.520529653728</v>
      </c>
    </row>
    <row r="20" spans="2:15" ht="18" customHeight="1" x14ac:dyDescent="0.25">
      <c r="B20" s="1372" t="s">
        <v>1484</v>
      </c>
      <c r="C20" s="4225">
        <f>Table1!C42</f>
        <v>5581.186880019146</v>
      </c>
      <c r="D20" s="4227">
        <f>Table1!D42</f>
        <v>300.68440458555153</v>
      </c>
      <c r="E20" s="4224">
        <f>Table1!E42</f>
        <v>8.5804868475214902E-2</v>
      </c>
      <c r="F20" s="3784"/>
      <c r="G20" s="3784"/>
      <c r="H20" s="3784"/>
      <c r="I20" s="3784"/>
      <c r="J20" s="69"/>
      <c r="K20" s="4224">
        <f>Table1!F42</f>
        <v>3.6921114676332749</v>
      </c>
      <c r="L20" s="4221">
        <f>Table1!G42</f>
        <v>9.1594673122729926</v>
      </c>
      <c r="M20" s="4221">
        <f>Table1!H42</f>
        <v>197.0756123376699</v>
      </c>
      <c r="N20" s="4222" t="str">
        <f>Table1!I42</f>
        <v>NO</v>
      </c>
      <c r="O20" s="3785">
        <f t="shared" si="2"/>
        <v>14023.088498560521</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21491.85503553482</v>
      </c>
      <c r="D22" s="4230">
        <f>'Table2(I)'!D10</f>
        <v>4.1110775527353738</v>
      </c>
      <c r="E22" s="4231">
        <f>'Table2(I)'!E10</f>
        <v>5.7119542878577212</v>
      </c>
      <c r="F22" s="3810">
        <f>'Table2(I)'!F10</f>
        <v>607.0172347661329</v>
      </c>
      <c r="G22" s="3810">
        <f>'Table2(I)'!G10</f>
        <v>1493.4649028585516</v>
      </c>
      <c r="H22" s="3810" t="str">
        <f>'Table2(I)'!H10</f>
        <v>NO</v>
      </c>
      <c r="I22" s="3810">
        <f>'Table2(I)'!I10</f>
        <v>1.0535412065542095E-2</v>
      </c>
      <c r="J22" s="3810" t="str">
        <f>'Table2(I)'!J10</f>
        <v>NO</v>
      </c>
      <c r="K22" s="3810">
        <f>'Table2(I)'!K10</f>
        <v>41.934228405168355</v>
      </c>
      <c r="L22" s="3810">
        <f>'Table2(I)'!L10</f>
        <v>11.157493179011729</v>
      </c>
      <c r="M22" s="3810">
        <f>'Table2(I)'!M10</f>
        <v>223.72721530468368</v>
      </c>
      <c r="N22" s="4217">
        <f>'Table2(I)'!N10</f>
        <v>1117.2794647599378</v>
      </c>
      <c r="O22" s="3781">
        <f t="shared" si="2"/>
        <v>25468.697414458627</v>
      </c>
    </row>
    <row r="23" spans="2:15" ht="18" customHeight="1" x14ac:dyDescent="0.25">
      <c r="B23" s="1133" t="s">
        <v>1487</v>
      </c>
      <c r="C23" s="4232">
        <f>'Table2(I)'!C11</f>
        <v>6357.0664970637499</v>
      </c>
      <c r="D23" s="3789"/>
      <c r="E23" s="98"/>
      <c r="F23" s="98"/>
      <c r="G23" s="98"/>
      <c r="H23" s="98"/>
      <c r="I23" s="98"/>
      <c r="J23" s="69"/>
      <c r="K23" s="4233" t="str">
        <f>'Table2(I)'!K11</f>
        <v>NO</v>
      </c>
      <c r="L23" s="4233" t="str">
        <f>'Table2(I)'!L11</f>
        <v>NO</v>
      </c>
      <c r="M23" s="4233" t="str">
        <f>'Table2(I)'!M11</f>
        <v>NO</v>
      </c>
      <c r="N23" s="4234" t="str">
        <f>'Table2(I)'!N11</f>
        <v>NO</v>
      </c>
      <c r="O23" s="3782">
        <f t="shared" si="2"/>
        <v>6357.0664970637499</v>
      </c>
    </row>
    <row r="24" spans="2:15" ht="18" customHeight="1" x14ac:dyDescent="0.25">
      <c r="B24" s="1133" t="s">
        <v>621</v>
      </c>
      <c r="C24" s="4232">
        <f>'Table2(I)'!C16</f>
        <v>1604.0621241970471</v>
      </c>
      <c r="D24" s="4235">
        <f>'Table2(I)'!D16</f>
        <v>0.51080000000000003</v>
      </c>
      <c r="E24" s="4236">
        <f>'Table2(I)'!E16</f>
        <v>5.6305063564516136</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0.4906838</v>
      </c>
      <c r="N24" s="4220" t="str">
        <f>'Table2(I)'!N16</f>
        <v>NO</v>
      </c>
      <c r="O24" s="3783">
        <f t="shared" si="2"/>
        <v>3110.4487086567246</v>
      </c>
    </row>
    <row r="25" spans="2:15" ht="18" customHeight="1" x14ac:dyDescent="0.25">
      <c r="B25" s="1133" t="s">
        <v>459</v>
      </c>
      <c r="C25" s="4232">
        <f>'Table2(I)'!C27</f>
        <v>13111.731997972498</v>
      </c>
      <c r="D25" s="4235">
        <f>'Table2(I)'!D27</f>
        <v>3.6002775527353736</v>
      </c>
      <c r="E25" s="4236">
        <f>'Table2(I)'!E27</f>
        <v>8.1447931406107357E-2</v>
      </c>
      <c r="F25" s="4219" t="str">
        <f>'Table2(I)'!F27</f>
        <v>NO</v>
      </c>
      <c r="G25" s="4219">
        <f>'Table2(I)'!G27</f>
        <v>1493.4649028585516</v>
      </c>
      <c r="H25" s="4219" t="str">
        <f>'Table2(I)'!H27</f>
        <v>NO</v>
      </c>
      <c r="I25" s="4219">
        <f>'Table2(I)'!I27</f>
        <v>1.5300000000000001E-4</v>
      </c>
      <c r="J25" s="4219" t="str">
        <f>'Table2(I)'!J27</f>
        <v>NO</v>
      </c>
      <c r="K25" s="4219">
        <f>'Table2(I)'!K27</f>
        <v>41.934228405168355</v>
      </c>
      <c r="L25" s="4219">
        <f>'Table2(I)'!L27</f>
        <v>11.157493179011729</v>
      </c>
      <c r="M25" s="4219">
        <f>'Table2(I)'!M27</f>
        <v>0.10137318843286794</v>
      </c>
      <c r="N25" s="4220">
        <f>'Table2(I)'!N27</f>
        <v>1117.2794647599378</v>
      </c>
      <c r="O25" s="3783">
        <f t="shared" si="2"/>
        <v>14731.18387413026</v>
      </c>
    </row>
    <row r="26" spans="2:15" ht="18" customHeight="1" x14ac:dyDescent="0.25">
      <c r="B26" s="1133" t="s">
        <v>1488</v>
      </c>
      <c r="C26" s="4232">
        <f>'Table2(I)'!C35</f>
        <v>278.53303649999992</v>
      </c>
      <c r="D26" s="3790" t="str">
        <f>'Table2(I)'!D35</f>
        <v>NO</v>
      </c>
      <c r="E26" s="616" t="str">
        <f>'Table2(I)'!E35</f>
        <v>NO</v>
      </c>
      <c r="F26" s="69"/>
      <c r="G26" s="69"/>
      <c r="H26" s="69"/>
      <c r="I26" s="69"/>
      <c r="J26" s="69"/>
      <c r="K26" s="616" t="str">
        <f>'Table2(I)'!K35</f>
        <v>NO</v>
      </c>
      <c r="L26" s="4236" t="str">
        <f>'Table2(I)'!L35</f>
        <v>NO</v>
      </c>
      <c r="M26" s="4236">
        <f>'Table2(I)'!M35</f>
        <v>163.87263031625082</v>
      </c>
      <c r="N26" s="4237" t="str">
        <f>'Table2(I)'!N35</f>
        <v>NO</v>
      </c>
      <c r="O26" s="3783">
        <f t="shared" si="2"/>
        <v>278.53303649999992</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607.0172347661329</v>
      </c>
      <c r="G28" s="4221" t="str">
        <f>'Table2(I)'!G45</f>
        <v>NO</v>
      </c>
      <c r="H28" s="4221" t="str">
        <f>'Table2(I)'!H45</f>
        <v>NO</v>
      </c>
      <c r="I28" s="4221" t="str">
        <f>'Table2(I)'!I45</f>
        <v>NO</v>
      </c>
      <c r="J28" s="4221" t="str">
        <f>'Table2(I)'!J45</f>
        <v>NO</v>
      </c>
      <c r="K28" s="3784"/>
      <c r="L28" s="3784"/>
      <c r="M28" s="3784"/>
      <c r="N28" s="3793"/>
      <c r="O28" s="3785">
        <f t="shared" si="2"/>
        <v>607.0172347661329</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1.0382412065542095E-2</v>
      </c>
      <c r="J29" s="616" t="str">
        <f>'Table2(I)'!J52</f>
        <v>NO</v>
      </c>
      <c r="K29" s="3796" t="str">
        <f>'Table2(I)'!K52</f>
        <v>NO</v>
      </c>
      <c r="L29" s="3796" t="str">
        <f>'Table2(I)'!L52</f>
        <v>NO</v>
      </c>
      <c r="M29" s="3796" t="str">
        <f>'Table2(I)'!M52</f>
        <v>NO</v>
      </c>
      <c r="N29" s="3797" t="str">
        <f>'Table2(I)'!N52</f>
        <v>NO</v>
      </c>
      <c r="O29" s="3785">
        <f t="shared" si="2"/>
        <v>243.98668354023923</v>
      </c>
    </row>
    <row r="30" spans="2:15" ht="18" customHeight="1" thickBot="1" x14ac:dyDescent="0.3">
      <c r="B30" s="1375" t="s">
        <v>2040</v>
      </c>
      <c r="C30" s="4239">
        <f>'Table2(I)'!C57</f>
        <v>140.46137980152514</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59.262528000000003</v>
      </c>
      <c r="N30" s="4242" t="str">
        <f>'Table2(I)'!N57</f>
        <v>NA</v>
      </c>
      <c r="O30" s="3798">
        <f t="shared" si="2"/>
        <v>140.46137980152514</v>
      </c>
    </row>
    <row r="31" spans="2:15" ht="18" customHeight="1" x14ac:dyDescent="0.25">
      <c r="B31" s="1134" t="s">
        <v>1491</v>
      </c>
      <c r="C31" s="3817">
        <f>Table3!C10</f>
        <v>1328.7246776096777</v>
      </c>
      <c r="D31" s="3799">
        <f>Table3!D10</f>
        <v>2597.8429655193859</v>
      </c>
      <c r="E31" s="3800">
        <f>Table3!E10</f>
        <v>42.920260706467431</v>
      </c>
      <c r="F31" s="3801"/>
      <c r="G31" s="3801"/>
      <c r="H31" s="3801"/>
      <c r="I31" s="3801"/>
      <c r="J31" s="3801"/>
      <c r="K31" s="4243">
        <f>Table3!F10</f>
        <v>33.668988453595595</v>
      </c>
      <c r="L31" s="4243">
        <f>Table3!G10</f>
        <v>556.07375783828945</v>
      </c>
      <c r="M31" s="4243">
        <f>Table3!H10</f>
        <v>32.43763587390022</v>
      </c>
      <c r="N31" s="4244" t="str">
        <f>Table3!I10</f>
        <v>NO</v>
      </c>
      <c r="O31" s="3782">
        <f t="shared" si="2"/>
        <v>85442.196799366342</v>
      </c>
    </row>
    <row r="32" spans="2:15" ht="18" customHeight="1" x14ac:dyDescent="0.25">
      <c r="B32" s="4245" t="s">
        <v>1492</v>
      </c>
      <c r="C32" s="3791"/>
      <c r="D32" s="4246">
        <f>Table3!D11</f>
        <v>2328.4424727047731</v>
      </c>
      <c r="E32" s="98"/>
      <c r="F32" s="3802"/>
      <c r="G32" s="3802"/>
      <c r="H32" s="3789"/>
      <c r="I32" s="3802"/>
      <c r="J32" s="3789"/>
      <c r="K32" s="98"/>
      <c r="L32" s="98"/>
      <c r="M32" s="98"/>
      <c r="N32" s="3803"/>
      <c r="O32" s="3782">
        <f t="shared" si="2"/>
        <v>65196.389235733644</v>
      </c>
    </row>
    <row r="33" spans="2:15" ht="18" customHeight="1" x14ac:dyDescent="0.25">
      <c r="B33" s="4245" t="s">
        <v>1493</v>
      </c>
      <c r="C33" s="3791"/>
      <c r="D33" s="4226">
        <f>Table3!D20</f>
        <v>231.68140083157991</v>
      </c>
      <c r="E33" s="4226">
        <f>Table3!E20</f>
        <v>1.0305680559504724</v>
      </c>
      <c r="F33" s="3802"/>
      <c r="G33" s="3802"/>
      <c r="H33" s="3802"/>
      <c r="I33" s="3802"/>
      <c r="J33" s="3802"/>
      <c r="K33" s="69"/>
      <c r="L33" s="69"/>
      <c r="M33" s="4247" t="str">
        <f>Table3!H20</f>
        <v>NE</v>
      </c>
      <c r="N33" s="3804"/>
      <c r="O33" s="3783">
        <f t="shared" si="2"/>
        <v>6760.1797581111132</v>
      </c>
    </row>
    <row r="34" spans="2:15" ht="18" customHeight="1" x14ac:dyDescent="0.25">
      <c r="B34" s="4245" t="s">
        <v>1494</v>
      </c>
      <c r="C34" s="3791"/>
      <c r="D34" s="4226">
        <f>Table3!D31</f>
        <v>23.460790500000002</v>
      </c>
      <c r="E34" s="69"/>
      <c r="F34" s="3802"/>
      <c r="G34" s="3802"/>
      <c r="H34" s="3802"/>
      <c r="I34" s="3802"/>
      <c r="J34" s="3802"/>
      <c r="K34" s="69"/>
      <c r="L34" s="69"/>
      <c r="M34" s="4247" t="str">
        <f>Table3!H31</f>
        <v>NE</v>
      </c>
      <c r="N34" s="3804"/>
      <c r="O34" s="3783">
        <f t="shared" si="2"/>
        <v>656.90213400000005</v>
      </c>
    </row>
    <row r="35" spans="2:15" ht="18" customHeight="1" x14ac:dyDescent="0.25">
      <c r="B35" s="4245" t="s">
        <v>1495</v>
      </c>
      <c r="C35" s="4248"/>
      <c r="D35" s="4226" t="str">
        <f>Table3!D32</f>
        <v>NE</v>
      </c>
      <c r="E35" s="4226">
        <f>Table3!E32</f>
        <v>41.306933347262174</v>
      </c>
      <c r="F35" s="3802"/>
      <c r="G35" s="3802"/>
      <c r="H35" s="3802"/>
      <c r="I35" s="3802"/>
      <c r="J35" s="3802"/>
      <c r="K35" s="4247" t="str">
        <f>Table3!F32</f>
        <v>NO</v>
      </c>
      <c r="L35" s="4247" t="str">
        <f>Table3!G32</f>
        <v>NO</v>
      </c>
      <c r="M35" s="4247" t="str">
        <f>Table3!H32</f>
        <v>NO</v>
      </c>
      <c r="N35" s="3804"/>
      <c r="O35" s="3783">
        <f t="shared" si="2"/>
        <v>10946.337337024475</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14.258301483033064</v>
      </c>
      <c r="E37" s="4226">
        <f>Table3!E43</f>
        <v>0.58275930325478098</v>
      </c>
      <c r="F37" s="3802"/>
      <c r="G37" s="3802"/>
      <c r="H37" s="3802"/>
      <c r="I37" s="3802"/>
      <c r="J37" s="3802"/>
      <c r="K37" s="4247">
        <f>Table3!F43</f>
        <v>33.668988453595595</v>
      </c>
      <c r="L37" s="4247">
        <f>Table3!G43</f>
        <v>556.07375783828945</v>
      </c>
      <c r="M37" s="4247">
        <f>Table3!H43</f>
        <v>32.43763587390022</v>
      </c>
      <c r="N37" s="4247" t="str">
        <f>Table3!I43</f>
        <v>NO</v>
      </c>
      <c r="O37" s="3783">
        <f t="shared" si="2"/>
        <v>553.6636568874427</v>
      </c>
    </row>
    <row r="38" spans="2:15" ht="18" customHeight="1" x14ac:dyDescent="0.25">
      <c r="B38" s="4249" t="s">
        <v>721</v>
      </c>
      <c r="C38" s="3794">
        <f>Table3!C44</f>
        <v>585.8261268850398</v>
      </c>
      <c r="D38" s="4250"/>
      <c r="E38" s="4250"/>
      <c r="F38" s="3792"/>
      <c r="G38" s="3792"/>
      <c r="H38" s="3792"/>
      <c r="I38" s="3792"/>
      <c r="J38" s="3792"/>
      <c r="K38" s="3805"/>
      <c r="L38" s="3805"/>
      <c r="M38" s="3805"/>
      <c r="N38" s="3793"/>
      <c r="O38" s="3785">
        <f t="shared" si="2"/>
        <v>585.8261268850398</v>
      </c>
    </row>
    <row r="39" spans="2:15" ht="18" customHeight="1" x14ac:dyDescent="0.25">
      <c r="B39" s="4249" t="s">
        <v>722</v>
      </c>
      <c r="C39" s="3806">
        <f>Table3!C45</f>
        <v>742.89855072463774</v>
      </c>
      <c r="D39" s="4250"/>
      <c r="E39" s="4250"/>
      <c r="F39" s="3792"/>
      <c r="G39" s="3792"/>
      <c r="H39" s="3792"/>
      <c r="I39" s="3792"/>
      <c r="J39" s="3792"/>
      <c r="K39" s="3805"/>
      <c r="L39" s="3805"/>
      <c r="M39" s="3805"/>
      <c r="N39" s="3793"/>
      <c r="O39" s="3785">
        <f t="shared" si="2"/>
        <v>742.89855072463774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19210.644503414045</v>
      </c>
      <c r="D42" s="3809">
        <f>Table4!D10</f>
        <v>616.48152481139596</v>
      </c>
      <c r="E42" s="3810">
        <f>Table4!E10</f>
        <v>14.429027769262129</v>
      </c>
      <c r="F42" s="3801"/>
      <c r="G42" s="3801"/>
      <c r="H42" s="3801"/>
      <c r="I42" s="3801"/>
      <c r="J42" s="3801"/>
      <c r="K42" s="4253">
        <f>Table4!F10</f>
        <v>853.45183898621258</v>
      </c>
      <c r="L42" s="4253">
        <f>Table4!G10</f>
        <v>22341.703304801045</v>
      </c>
      <c r="M42" s="4253">
        <f>Table4!H10</f>
        <v>586.63358184870594</v>
      </c>
      <c r="N42" s="4254" t="str">
        <f>N50</f>
        <v>NO</v>
      </c>
      <c r="O42" s="3781">
        <f t="shared" si="2"/>
        <v>40295.819556987604</v>
      </c>
    </row>
    <row r="43" spans="2:15" ht="18" customHeight="1" x14ac:dyDescent="0.25">
      <c r="B43" s="4245" t="s">
        <v>2042</v>
      </c>
      <c r="C43" s="4255">
        <f>Table4!C11</f>
        <v>-38345.538956690478</v>
      </c>
      <c r="D43" s="4256">
        <f>Table4!D11</f>
        <v>200.35225964360049</v>
      </c>
      <c r="E43" s="4257">
        <f>Table4!E11</f>
        <v>4.1288590284281455</v>
      </c>
      <c r="F43" s="3792"/>
      <c r="G43" s="3792"/>
      <c r="H43" s="3792"/>
      <c r="I43" s="3792"/>
      <c r="J43" s="3792"/>
      <c r="K43" s="4247">
        <f>Table4!F11</f>
        <v>226.68262463270952</v>
      </c>
      <c r="L43" s="4247">
        <f>Table4!G11</f>
        <v>6014.4489858894513</v>
      </c>
      <c r="M43" s="4247">
        <f>Table4!H11</f>
        <v>183.35090023838731</v>
      </c>
      <c r="N43" s="3811"/>
      <c r="O43" s="3812">
        <f t="shared" si="2"/>
        <v>-31641.528044136205</v>
      </c>
    </row>
    <row r="44" spans="2:15" ht="18" customHeight="1" x14ac:dyDescent="0.25">
      <c r="B44" s="4245" t="s">
        <v>2043</v>
      </c>
      <c r="C44" s="4255">
        <f>Table4!C14</f>
        <v>4967.0981540024186</v>
      </c>
      <c r="D44" s="4258">
        <f>Table4!D14</f>
        <v>5.2888608000000001</v>
      </c>
      <c r="E44" s="4258">
        <f>Table4!E14</f>
        <v>0.23407454048426529</v>
      </c>
      <c r="F44" s="3802"/>
      <c r="G44" s="3802"/>
      <c r="H44" s="3802"/>
      <c r="I44" s="3802"/>
      <c r="J44" s="3802"/>
      <c r="K44" s="4247">
        <f>Table4!F14</f>
        <v>3.9823862571428568</v>
      </c>
      <c r="L44" s="4247">
        <f>Table4!G14</f>
        <v>155.97242266666666</v>
      </c>
      <c r="M44" s="4247">
        <f>Table4!H14</f>
        <v>18.853809333333334</v>
      </c>
      <c r="N44" s="4259"/>
      <c r="O44" s="3783">
        <f t="shared" si="2"/>
        <v>5177.2160096307489</v>
      </c>
    </row>
    <row r="45" spans="2:15" ht="18" customHeight="1" x14ac:dyDescent="0.25">
      <c r="B45" s="4245" t="s">
        <v>2044</v>
      </c>
      <c r="C45" s="4255">
        <f>Table4!C17</f>
        <v>53426.538709294837</v>
      </c>
      <c r="D45" s="4258">
        <f>Table4!D17</f>
        <v>320.13402105141972</v>
      </c>
      <c r="E45" s="4258">
        <f>Table4!E17</f>
        <v>9.6251852531349407</v>
      </c>
      <c r="F45" s="3802"/>
      <c r="G45" s="3802"/>
      <c r="H45" s="3802"/>
      <c r="I45" s="3802"/>
      <c r="J45" s="3802"/>
      <c r="K45" s="4247">
        <f>Table4!F17</f>
        <v>597.93114234637767</v>
      </c>
      <c r="L45" s="4247">
        <f>Table4!G17</f>
        <v>15535.866812603712</v>
      </c>
      <c r="M45" s="4247">
        <f>Table4!H17</f>
        <v>371.80295264310996</v>
      </c>
      <c r="N45" s="4259"/>
      <c r="O45" s="3783">
        <f t="shared" si="2"/>
        <v>64940.965390815349</v>
      </c>
    </row>
    <row r="46" spans="2:15" ht="18" customHeight="1" x14ac:dyDescent="0.25">
      <c r="B46" s="4245" t="s">
        <v>2045</v>
      </c>
      <c r="C46" s="4255">
        <f>Table4!C20</f>
        <v>1138.6297219973433</v>
      </c>
      <c r="D46" s="4258">
        <f>Table4!D20</f>
        <v>87.260650516375776</v>
      </c>
      <c r="E46" s="4258">
        <f>Table4!E20</f>
        <v>0.30845295559243241</v>
      </c>
      <c r="F46" s="3802"/>
      <c r="G46" s="3802"/>
      <c r="H46" s="3802"/>
      <c r="I46" s="3802"/>
      <c r="J46" s="3802"/>
      <c r="K46" s="4247">
        <f>Table4!F20</f>
        <v>22.261130992839657</v>
      </c>
      <c r="L46" s="4247">
        <f>Table4!G20</f>
        <v>533.79787097454789</v>
      </c>
      <c r="M46" s="4247">
        <f>Table4!H20</f>
        <v>0.34252030054200144</v>
      </c>
      <c r="N46" s="4259"/>
      <c r="O46" s="3783">
        <f t="shared" si="2"/>
        <v>3663.6679696878596</v>
      </c>
    </row>
    <row r="47" spans="2:15" ht="18" customHeight="1" x14ac:dyDescent="0.25">
      <c r="B47" s="4245" t="s">
        <v>2046</v>
      </c>
      <c r="C47" s="4255">
        <f>Table4!C23</f>
        <v>5163.5843041827757</v>
      </c>
      <c r="D47" s="4258">
        <f>Table4!D23</f>
        <v>3.4457328</v>
      </c>
      <c r="E47" s="4260">
        <f>Table4!E23</f>
        <v>8.8989915908059408E-2</v>
      </c>
      <c r="F47" s="3802"/>
      <c r="G47" s="3802"/>
      <c r="H47" s="3802"/>
      <c r="I47" s="3802"/>
      <c r="J47" s="3802"/>
      <c r="K47" s="4247">
        <f>Table4!F23</f>
        <v>2.5945547571428573</v>
      </c>
      <c r="L47" s="4247">
        <f>Table4!G23</f>
        <v>101.61721266666666</v>
      </c>
      <c r="M47" s="4247">
        <f>Table4!H23</f>
        <v>12.283399333333334</v>
      </c>
      <c r="N47" s="1838"/>
      <c r="O47" s="3783">
        <f t="shared" si="2"/>
        <v>5283.6471502984114</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-7140.1742663664481</v>
      </c>
      <c r="D49" s="3792"/>
      <c r="E49" s="3792"/>
      <c r="F49" s="3792"/>
      <c r="G49" s="3792"/>
      <c r="H49" s="3792"/>
      <c r="I49" s="3792"/>
      <c r="J49" s="3792"/>
      <c r="K49" s="3792"/>
      <c r="L49" s="3792"/>
      <c r="M49" s="3792"/>
      <c r="N49" s="3814"/>
      <c r="O49" s="3785">
        <f t="shared" si="2"/>
        <v>-7140.1742663664481</v>
      </c>
    </row>
    <row r="50" spans="2:15" ht="18" customHeight="1" thickBot="1" x14ac:dyDescent="0.3">
      <c r="B50" s="4251" t="s">
        <v>2049</v>
      </c>
      <c r="C50" s="4264">
        <f>Table4!C30</f>
        <v>0.50683699359333334</v>
      </c>
      <c r="D50" s="4265" t="str">
        <f>Table4!D30</f>
        <v>NO</v>
      </c>
      <c r="E50" s="4265">
        <f>Table4!E30</f>
        <v>4.3466075714285714E-2</v>
      </c>
      <c r="F50" s="3807"/>
      <c r="G50" s="3807"/>
      <c r="H50" s="3807"/>
      <c r="I50" s="3807"/>
      <c r="J50" s="3807"/>
      <c r="K50" s="4266" t="str">
        <f>Table4!F30</f>
        <v>NO</v>
      </c>
      <c r="L50" s="4266" t="str">
        <f>Table4!G30</f>
        <v>NO</v>
      </c>
      <c r="M50" s="4266" t="str">
        <f>Table4!H30</f>
        <v>NO</v>
      </c>
      <c r="N50" s="4266" t="s">
        <v>2146</v>
      </c>
      <c r="O50" s="3798">
        <f t="shared" si="2"/>
        <v>12.025347057879047</v>
      </c>
    </row>
    <row r="51" spans="2:15" ht="18" customHeight="1" x14ac:dyDescent="0.25">
      <c r="B51" s="1377" t="s">
        <v>1500</v>
      </c>
      <c r="C51" s="3815">
        <f>Table5!C10</f>
        <v>28.621172748861426</v>
      </c>
      <c r="D51" s="3799">
        <f>Table5!D10</f>
        <v>674.05288791766293</v>
      </c>
      <c r="E51" s="3800">
        <f>Table5!E10</f>
        <v>0.75565066334282749</v>
      </c>
      <c r="F51" s="3801"/>
      <c r="G51" s="3801"/>
      <c r="H51" s="3801"/>
      <c r="I51" s="3801"/>
      <c r="J51" s="3801"/>
      <c r="K51" s="4243" t="str">
        <f>Table5!F10</f>
        <v>NO</v>
      </c>
      <c r="L51" s="4243" t="str">
        <f>Table5!G10</f>
        <v>NO</v>
      </c>
      <c r="M51" s="4243">
        <f>Table5!H10</f>
        <v>420.57069136337736</v>
      </c>
      <c r="N51" s="4244" t="str">
        <f>Table5!I10</f>
        <v>NO</v>
      </c>
      <c r="O51" s="4267">
        <f t="shared" si="2"/>
        <v>19102.349460229274</v>
      </c>
    </row>
    <row r="52" spans="2:15" ht="18" customHeight="1" x14ac:dyDescent="0.25">
      <c r="B52" s="4245" t="s">
        <v>2050</v>
      </c>
      <c r="C52" s="4248"/>
      <c r="D52" s="4246">
        <f>Table5!D11</f>
        <v>493.89166109000001</v>
      </c>
      <c r="E52" s="3816"/>
      <c r="F52" s="3801"/>
      <c r="G52" s="3801"/>
      <c r="H52" s="3801"/>
      <c r="I52" s="3801"/>
      <c r="J52" s="3801"/>
      <c r="K52" s="4247" t="str">
        <f>Table5!F11</f>
        <v>NO</v>
      </c>
      <c r="L52" s="4247" t="str">
        <f>Table5!G11</f>
        <v>NO</v>
      </c>
      <c r="M52" s="4247">
        <f>Table5!H11</f>
        <v>2.7735177565300306</v>
      </c>
      <c r="N52" s="3803"/>
      <c r="O52" s="4267">
        <f t="shared" si="2"/>
        <v>13828.96651052</v>
      </c>
    </row>
    <row r="53" spans="2:15" ht="18" customHeight="1" x14ac:dyDescent="0.25">
      <c r="B53" s="4245" t="s">
        <v>1501</v>
      </c>
      <c r="C53" s="4248"/>
      <c r="D53" s="4246">
        <f>Table5!D15</f>
        <v>1.4129424560619974</v>
      </c>
      <c r="E53" s="4246">
        <f>Table5!E15</f>
        <v>0.18085663437593569</v>
      </c>
      <c r="F53" s="3802"/>
      <c r="G53" s="3802"/>
      <c r="H53" s="3802"/>
      <c r="I53" s="3802"/>
      <c r="J53" s="3802"/>
      <c r="K53" s="4247" t="str">
        <f>Table5!F15</f>
        <v>NA,NE</v>
      </c>
      <c r="L53" s="4247" t="str">
        <f>Table5!G15</f>
        <v>NA,NE</v>
      </c>
      <c r="M53" s="4247" t="str">
        <f>Table5!H15</f>
        <v>NA,NE</v>
      </c>
      <c r="N53" s="3803"/>
      <c r="O53" s="3782">
        <f t="shared" si="2"/>
        <v>87.489396879358878</v>
      </c>
    </row>
    <row r="54" spans="2:15" ht="18" customHeight="1" x14ac:dyDescent="0.25">
      <c r="B54" s="4245" t="s">
        <v>2051</v>
      </c>
      <c r="C54" s="4268">
        <f>Table5!C18</f>
        <v>28.621172748861426</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28.621172748861426</v>
      </c>
    </row>
    <row r="55" spans="2:15" ht="18" customHeight="1" x14ac:dyDescent="0.25">
      <c r="B55" s="4245" t="s">
        <v>1502</v>
      </c>
      <c r="C55" s="3791"/>
      <c r="D55" s="4226">
        <f>Table5!D21</f>
        <v>178.7482843716009</v>
      </c>
      <c r="E55" s="4226">
        <f>Table5!E21</f>
        <v>0.5747940289668918</v>
      </c>
      <c r="F55" s="3802"/>
      <c r="G55" s="3802"/>
      <c r="H55" s="3802"/>
      <c r="I55" s="3802"/>
      <c r="J55" s="3802"/>
      <c r="K55" s="4247" t="str">
        <f>Table5!F21</f>
        <v>NO</v>
      </c>
      <c r="L55" s="4247" t="str">
        <f>Table5!G21</f>
        <v>NO</v>
      </c>
      <c r="M55" s="4247">
        <f>Table5!H21</f>
        <v>417.79717360684731</v>
      </c>
      <c r="N55" s="3803"/>
      <c r="O55" s="4270">
        <f t="shared" si="2"/>
        <v>5157.2723800810518</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9532.9939999999988</v>
      </c>
      <c r="D61" s="3820">
        <f>Table1!D52</f>
        <v>0.22715249666666665</v>
      </c>
      <c r="E61" s="3820">
        <f>Table1!E52</f>
        <v>9.8623807064912292E-2</v>
      </c>
      <c r="F61" s="628"/>
      <c r="G61" s="628"/>
      <c r="H61" s="628"/>
      <c r="I61" s="628"/>
      <c r="J61" s="628"/>
      <c r="K61" s="3820">
        <f>Table1!F52</f>
        <v>96.085153277017554</v>
      </c>
      <c r="L61" s="3820">
        <f>Table1!G52</f>
        <v>13.516101825789471</v>
      </c>
      <c r="M61" s="3820">
        <f>Table1!H52</f>
        <v>7.4348186141929826</v>
      </c>
      <c r="N61" s="3821">
        <f>Table1!I52</f>
        <v>33.395384612685568</v>
      </c>
      <c r="O61" s="4267">
        <f t="shared" ref="O61:O67" si="4">IF(SUM(C61:J61)=0,"NO",SUM(C61,F61:H61)+28*SUM(D61)+265*SUM(E61)+23500*SUM(I61)+16100*SUM(J61))</f>
        <v>9565.4895787788682</v>
      </c>
    </row>
    <row r="62" spans="2:15" ht="18" customHeight="1" x14ac:dyDescent="0.25">
      <c r="B62" s="1371" t="s">
        <v>111</v>
      </c>
      <c r="C62" s="4279">
        <f>Table1!C53</f>
        <v>7293.3839999999991</v>
      </c>
      <c r="D62" s="4233">
        <f>Table1!D53</f>
        <v>1.2182496666666667E-2</v>
      </c>
      <c r="E62" s="4233">
        <f>Table1!E53</f>
        <v>3.7203807064912282E-2</v>
      </c>
      <c r="F62" s="628"/>
      <c r="G62" s="628"/>
      <c r="H62" s="628"/>
      <c r="I62" s="628"/>
      <c r="J62" s="2135"/>
      <c r="K62" s="4233">
        <f>Table1!F53</f>
        <v>37.008753277017547</v>
      </c>
      <c r="L62" s="4233">
        <f>Table1!G53</f>
        <v>11.500841825789472</v>
      </c>
      <c r="M62" s="4233">
        <f>Table1!H53</f>
        <v>5.5949486141929823</v>
      </c>
      <c r="N62" s="4234">
        <f>Table1!I53</f>
        <v>0.8592780000000001</v>
      </c>
      <c r="O62" s="3782">
        <f t="shared" si="4"/>
        <v>7303.5841187788683</v>
      </c>
    </row>
    <row r="63" spans="2:15" ht="18" customHeight="1" x14ac:dyDescent="0.25">
      <c r="B63" s="1380" t="s">
        <v>1503</v>
      </c>
      <c r="C63" s="4279">
        <f>Table1!C54</f>
        <v>2239.6099999999997</v>
      </c>
      <c r="D63" s="4219">
        <f>Table1!D54</f>
        <v>0.21496999999999999</v>
      </c>
      <c r="E63" s="4219">
        <f>Table1!E54</f>
        <v>6.1420000000000009E-2</v>
      </c>
      <c r="F63" s="628"/>
      <c r="G63" s="628"/>
      <c r="H63" s="628"/>
      <c r="I63" s="628"/>
      <c r="J63" s="628"/>
      <c r="K63" s="4219">
        <f>Table1!F54</f>
        <v>59.076400000000007</v>
      </c>
      <c r="L63" s="4219">
        <f>Table1!G54</f>
        <v>2.0152600000000001</v>
      </c>
      <c r="M63" s="4219">
        <f>Table1!H54</f>
        <v>1.8398699999999999</v>
      </c>
      <c r="N63" s="4220">
        <f>Table1!I54</f>
        <v>32.536106612685565</v>
      </c>
      <c r="O63" s="3783">
        <f t="shared" si="4"/>
        <v>2261.9054599999995</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19328.68835</v>
      </c>
      <c r="D65" s="3823"/>
      <c r="E65" s="3823"/>
      <c r="F65" s="3824"/>
      <c r="G65" s="3824"/>
      <c r="H65" s="3824"/>
      <c r="I65" s="3824"/>
      <c r="J65" s="3823"/>
      <c r="K65" s="3823"/>
      <c r="L65" s="3823"/>
      <c r="M65" s="3823"/>
      <c r="N65" s="3825"/>
      <c r="O65" s="3812">
        <f t="shared" si="4"/>
        <v>19328.68835</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-221048.20759042792</v>
      </c>
      <c r="D67" s="3824"/>
      <c r="E67" s="3824"/>
      <c r="F67" s="3828"/>
      <c r="G67" s="3824"/>
      <c r="H67" s="3824"/>
      <c r="I67" s="3824"/>
      <c r="J67" s="3824"/>
      <c r="K67" s="3824"/>
      <c r="L67" s="3824"/>
      <c r="M67" s="3824"/>
      <c r="N67" s="3829"/>
      <c r="O67" s="3785">
        <f t="shared" si="4"/>
        <v>-221048.20759042792</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353346.18960000842</v>
      </c>
      <c r="D10" s="4213">
        <f>IFERROR(Summary1!D10*28,Summary1!D10)</f>
        <v>149234.47276116585</v>
      </c>
      <c r="E10" s="4213">
        <f>IFERROR(Summary1!E10*265,Summary1!E10)</f>
        <v>19404.214708440279</v>
      </c>
      <c r="F10" s="4213">
        <f>Summary1!F10</f>
        <v>607.0172347661329</v>
      </c>
      <c r="G10" s="4213">
        <f>Summary1!G10</f>
        <v>1493.4649028585516</v>
      </c>
      <c r="H10" s="4213" t="str">
        <f>Summary1!H10</f>
        <v>NO</v>
      </c>
      <c r="I10" s="4288">
        <f>IFERROR(Summary1!I10*23500,Summary1!I10)</f>
        <v>247.58218354023924</v>
      </c>
      <c r="J10" s="4289" t="str">
        <f>IFERROR(Summary1!J10*16100,Summary1!J10)</f>
        <v>NO</v>
      </c>
      <c r="K10" s="4214">
        <f>IF(SUM(C10:J10)=0,"NO",SUM(C10:J10))</f>
        <v>524332.94139077945</v>
      </c>
    </row>
    <row r="11" spans="2:12" ht="18" customHeight="1" x14ac:dyDescent="0.2">
      <c r="B11" s="1550" t="s">
        <v>1476</v>
      </c>
      <c r="C11" s="4253">
        <f>Summary1!C11</f>
        <v>311286.34421070101</v>
      </c>
      <c r="D11" s="4253">
        <f>IFERROR(Summary1!D11*28,Summary1!D11)</f>
        <v>40244.795998732807</v>
      </c>
      <c r="E11" s="4253">
        <f>IFERROR(Summary1!E11*265,Summary1!E11)</f>
        <v>2492.7379503037987</v>
      </c>
      <c r="F11" s="1929"/>
      <c r="G11" s="1929"/>
      <c r="H11" s="1930"/>
      <c r="I11" s="1930"/>
      <c r="J11" s="627"/>
      <c r="K11" s="4290">
        <f t="shared" ref="K11:K55" si="0">IF(SUM(C11:J11)=0,"NO",SUM(C11:J11))</f>
        <v>354023.87815973762</v>
      </c>
      <c r="L11" s="19"/>
    </row>
    <row r="12" spans="2:12" ht="18" customHeight="1" x14ac:dyDescent="0.2">
      <c r="B12" s="620" t="s">
        <v>131</v>
      </c>
      <c r="C12" s="4247">
        <f>Summary1!C12</f>
        <v>304384.38556825282</v>
      </c>
      <c r="D12" s="4247">
        <f>IFERROR(Summary1!D12*28,Summary1!D12)</f>
        <v>3435.8889067349046</v>
      </c>
      <c r="E12" s="4247">
        <f>IFERROR(Summary1!E12*265,Summary1!E12)</f>
        <v>2469.994656535634</v>
      </c>
      <c r="F12" s="628"/>
      <c r="G12" s="628"/>
      <c r="H12" s="628"/>
      <c r="I12" s="69"/>
      <c r="J12" s="69"/>
      <c r="K12" s="4291">
        <f t="shared" si="0"/>
        <v>310290.26913152332</v>
      </c>
      <c r="L12" s="19"/>
    </row>
    <row r="13" spans="2:12" ht="18" customHeight="1" x14ac:dyDescent="0.2">
      <c r="B13" s="1392" t="s">
        <v>1478</v>
      </c>
      <c r="C13" s="4247">
        <f>Summary1!C13</f>
        <v>181214.84033435362</v>
      </c>
      <c r="D13" s="4247">
        <f>IFERROR(Summary1!D13*28,Summary1!D13)</f>
        <v>254.32394955811986</v>
      </c>
      <c r="E13" s="4247">
        <f>IFERROR(Summary1!E13*265,Summary1!E13)</f>
        <v>596.65388126458379</v>
      </c>
      <c r="F13" s="628"/>
      <c r="G13" s="628"/>
      <c r="H13" s="628"/>
      <c r="I13" s="69"/>
      <c r="J13" s="69"/>
      <c r="K13" s="4291">
        <f t="shared" si="0"/>
        <v>182065.81816517632</v>
      </c>
      <c r="L13" s="19"/>
    </row>
    <row r="14" spans="2:12" ht="18" customHeight="1" x14ac:dyDescent="0.2">
      <c r="B14" s="1392" t="s">
        <v>1517</v>
      </c>
      <c r="C14" s="4247">
        <f>Summary1!C14</f>
        <v>37440.664739964937</v>
      </c>
      <c r="D14" s="4247">
        <f>IFERROR(Summary1!D14*28,Summary1!D14)</f>
        <v>63.843782171816748</v>
      </c>
      <c r="E14" s="4247">
        <f>IFERROR(Summary1!E14*265,Summary1!E14)</f>
        <v>352.18343627631947</v>
      </c>
      <c r="F14" s="628"/>
      <c r="G14" s="628"/>
      <c r="H14" s="628"/>
      <c r="I14" s="69"/>
      <c r="J14" s="69"/>
      <c r="K14" s="4291">
        <f t="shared" si="0"/>
        <v>37856.691958413074</v>
      </c>
      <c r="L14" s="19"/>
    </row>
    <row r="15" spans="2:12" ht="18" customHeight="1" x14ac:dyDescent="0.2">
      <c r="B15" s="1392" t="s">
        <v>1480</v>
      </c>
      <c r="C15" s="4247">
        <f>Summary1!C15</f>
        <v>69419.203221923817</v>
      </c>
      <c r="D15" s="4247">
        <f>IFERROR(Summary1!D15*28,Summary1!D15)</f>
        <v>820.7858196586584</v>
      </c>
      <c r="E15" s="4247">
        <f>IFERROR(Summary1!E15*265,Summary1!E15)</f>
        <v>1357.5603186513529</v>
      </c>
      <c r="F15" s="628"/>
      <c r="G15" s="628"/>
      <c r="H15" s="628"/>
      <c r="I15" s="69"/>
      <c r="J15" s="69"/>
      <c r="K15" s="4291">
        <f t="shared" si="0"/>
        <v>71597.549360233825</v>
      </c>
      <c r="L15" s="19"/>
    </row>
    <row r="16" spans="2:12" ht="18" customHeight="1" x14ac:dyDescent="0.2">
      <c r="B16" s="1392" t="s">
        <v>1481</v>
      </c>
      <c r="C16" s="4247">
        <f>Summary1!C16</f>
        <v>15631.368149487873</v>
      </c>
      <c r="D16" s="4247">
        <f>IFERROR(Summary1!D16*28,Summary1!D16)</f>
        <v>2296.0143148512561</v>
      </c>
      <c r="E16" s="4247">
        <f>IFERROR(Summary1!E16*265,Summary1!E16)</f>
        <v>158.64084041856555</v>
      </c>
      <c r="F16" s="628"/>
      <c r="G16" s="628"/>
      <c r="H16" s="628"/>
      <c r="I16" s="69"/>
      <c r="J16" s="69"/>
      <c r="K16" s="4291">
        <f t="shared" si="0"/>
        <v>18086.023304757691</v>
      </c>
      <c r="L16" s="19"/>
    </row>
    <row r="17" spans="2:12" ht="18" customHeight="1" x14ac:dyDescent="0.2">
      <c r="B17" s="1392" t="s">
        <v>1482</v>
      </c>
      <c r="C17" s="4247">
        <f>Summary1!C17</f>
        <v>678.30912252252608</v>
      </c>
      <c r="D17" s="4247">
        <f>IFERROR(Summary1!D17*28,Summary1!D17)</f>
        <v>0.92104049505352115</v>
      </c>
      <c r="E17" s="4247">
        <f>IFERROR(Summary1!E17*265,Summary1!E17)</f>
        <v>4.956179924812103</v>
      </c>
      <c r="F17" s="628"/>
      <c r="G17" s="628"/>
      <c r="H17" s="628"/>
      <c r="I17" s="69"/>
      <c r="J17" s="69"/>
      <c r="K17" s="4291">
        <f t="shared" si="0"/>
        <v>684.18634294239166</v>
      </c>
      <c r="L17" s="19"/>
    </row>
    <row r="18" spans="2:12" ht="18" customHeight="1" x14ac:dyDescent="0.2">
      <c r="B18" s="620" t="s">
        <v>99</v>
      </c>
      <c r="C18" s="4247">
        <f>Summary1!C18</f>
        <v>6901.9586424481731</v>
      </c>
      <c r="D18" s="4247">
        <f>IFERROR(Summary1!D18*28,Summary1!D18)</f>
        <v>36808.907091997906</v>
      </c>
      <c r="E18" s="4247">
        <f>IFERROR(Summary1!E18*265,Summary1!E18)</f>
        <v>22.743293768164673</v>
      </c>
      <c r="F18" s="628"/>
      <c r="G18" s="628"/>
      <c r="H18" s="628"/>
      <c r="I18" s="69"/>
      <c r="J18" s="69"/>
      <c r="K18" s="4291">
        <f t="shared" si="0"/>
        <v>43733.609028214247</v>
      </c>
      <c r="L18" s="19"/>
    </row>
    <row r="19" spans="2:12" ht="18" customHeight="1" x14ac:dyDescent="0.2">
      <c r="B19" s="1392" t="s">
        <v>1483</v>
      </c>
      <c r="C19" s="4247">
        <f>Summary1!C19</f>
        <v>1320.7717624290267</v>
      </c>
      <c r="D19" s="4247">
        <f>IFERROR(Summary1!D19*28,Summary1!D19)</f>
        <v>28389.74376360247</v>
      </c>
      <c r="E19" s="4247">
        <f>IFERROR(Summary1!E19*265,Summary1!E19)</f>
        <v>5.0036222327229157E-3</v>
      </c>
      <c r="F19" s="628"/>
      <c r="G19" s="628"/>
      <c r="H19" s="628"/>
      <c r="I19" s="69"/>
      <c r="J19" s="69"/>
      <c r="K19" s="4291">
        <f t="shared" si="0"/>
        <v>29710.520529653728</v>
      </c>
      <c r="L19" s="19"/>
    </row>
    <row r="20" spans="2:12" ht="18" customHeight="1" x14ac:dyDescent="0.2">
      <c r="B20" s="1393" t="s">
        <v>1484</v>
      </c>
      <c r="C20" s="4247">
        <f>Summary1!C20</f>
        <v>5581.186880019146</v>
      </c>
      <c r="D20" s="4247">
        <f>IFERROR(Summary1!D20*28,Summary1!D20)</f>
        <v>8419.1633283954434</v>
      </c>
      <c r="E20" s="4247">
        <f>IFERROR(Summary1!E20*265,Summary1!E20)</f>
        <v>22.738290145931948</v>
      </c>
      <c r="F20" s="628"/>
      <c r="G20" s="628"/>
      <c r="H20" s="628"/>
      <c r="I20" s="69"/>
      <c r="J20" s="69"/>
      <c r="K20" s="4291">
        <f t="shared" si="0"/>
        <v>14023.088498560521</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21491.85503553482</v>
      </c>
      <c r="D22" s="4253">
        <f>IFERROR(Summary1!D22*28,Summary1!D22)</f>
        <v>115.11017147659047</v>
      </c>
      <c r="E22" s="4253">
        <f>IFERROR(Summary1!E22*265,Summary1!E22)</f>
        <v>1513.6678862822962</v>
      </c>
      <c r="F22" s="4253">
        <f>Summary1!F22</f>
        <v>607.0172347661329</v>
      </c>
      <c r="G22" s="4253">
        <f>Summary1!G22</f>
        <v>1493.4649028585516</v>
      </c>
      <c r="H22" s="4253" t="str">
        <f>Summary1!H22</f>
        <v>NO</v>
      </c>
      <c r="I22" s="4253">
        <f>IFERROR(Summary1!I22*23500,Summary1!I22)</f>
        <v>247.58218354023924</v>
      </c>
      <c r="J22" s="4293" t="str">
        <f>IFERROR(Summary1!J22*16100,Summary1!J22)</f>
        <v>NO</v>
      </c>
      <c r="K22" s="4290">
        <f t="shared" si="0"/>
        <v>25468.697414458627</v>
      </c>
      <c r="L22" s="19"/>
    </row>
    <row r="23" spans="2:12" ht="18" customHeight="1" x14ac:dyDescent="0.2">
      <c r="B23" s="1394" t="s">
        <v>1487</v>
      </c>
      <c r="C23" s="4247">
        <f>Summary1!C23</f>
        <v>6357.0664970637499</v>
      </c>
      <c r="D23" s="628"/>
      <c r="E23" s="628"/>
      <c r="F23" s="628"/>
      <c r="G23" s="628"/>
      <c r="H23" s="628"/>
      <c r="I23" s="69"/>
      <c r="J23" s="69"/>
      <c r="K23" s="4291">
        <f t="shared" si="0"/>
        <v>6357.0664970637499</v>
      </c>
      <c r="L23" s="19"/>
    </row>
    <row r="24" spans="2:12" ht="18" customHeight="1" x14ac:dyDescent="0.2">
      <c r="B24" s="1394" t="s">
        <v>621</v>
      </c>
      <c r="C24" s="4247">
        <f>Summary1!C24</f>
        <v>1604.0621241970471</v>
      </c>
      <c r="D24" s="4247">
        <f>IFERROR(Summary1!D24*28,Summary1!D24)</f>
        <v>14.3024</v>
      </c>
      <c r="E24" s="4247">
        <f>IFERROR(Summary1!E24*265,Summary1!E24)</f>
        <v>1492.0841844596775</v>
      </c>
      <c r="F24" s="1924" t="str">
        <f>Summary1!F24</f>
        <v>NO</v>
      </c>
      <c r="G24" s="1924" t="str">
        <f>Summary1!G24</f>
        <v>NO</v>
      </c>
      <c r="H24" s="1924" t="str">
        <f>Summary1!H24</f>
        <v>NO</v>
      </c>
      <c r="I24" s="616" t="str">
        <f>IFERROR(Summary1!I24*23500,Summary1!I24)</f>
        <v>NO</v>
      </c>
      <c r="J24" s="616" t="str">
        <f>IFERROR(Summary1!J24*16100,Summary1!J24)</f>
        <v>NO</v>
      </c>
      <c r="K24" s="4291">
        <f t="shared" si="0"/>
        <v>3110.4487086567246</v>
      </c>
      <c r="L24" s="19"/>
    </row>
    <row r="25" spans="2:12" ht="18" customHeight="1" x14ac:dyDescent="0.2">
      <c r="B25" s="1394" t="s">
        <v>459</v>
      </c>
      <c r="C25" s="4247">
        <f>Summary1!C25</f>
        <v>13111.731997972498</v>
      </c>
      <c r="D25" s="4247">
        <f>IFERROR(Summary1!D25*28,Summary1!D25)</f>
        <v>100.80777147659046</v>
      </c>
      <c r="E25" s="4247">
        <f>IFERROR(Summary1!E25*265,Summary1!E25)</f>
        <v>21.583701822618451</v>
      </c>
      <c r="F25" s="1924" t="str">
        <f>Summary1!F25</f>
        <v>NO</v>
      </c>
      <c r="G25" s="4247">
        <f>Summary1!G25</f>
        <v>1493.4649028585516</v>
      </c>
      <c r="H25" s="4247" t="str">
        <f>Summary1!H25</f>
        <v>NO</v>
      </c>
      <c r="I25" s="4247">
        <f>IFERROR(Summary1!I25*23500,Summary1!I25)</f>
        <v>3.5954999999999999</v>
      </c>
      <c r="J25" s="4247" t="str">
        <f>IFERROR(Summary1!J25*16100,Summary1!J25)</f>
        <v>NO</v>
      </c>
      <c r="K25" s="4291">
        <f t="shared" si="0"/>
        <v>14731.18387413026</v>
      </c>
      <c r="L25" s="19"/>
    </row>
    <row r="26" spans="2:12" ht="18" customHeight="1" x14ac:dyDescent="0.2">
      <c r="B26" s="1395" t="s">
        <v>1519</v>
      </c>
      <c r="C26" s="4247">
        <f>Summary1!C26</f>
        <v>278.53303649999992</v>
      </c>
      <c r="D26" s="4247" t="str">
        <f>IFERROR(Summary1!D26*28,Summary1!D26)</f>
        <v>NO</v>
      </c>
      <c r="E26" s="4247" t="str">
        <f>IFERROR(Summary1!E26*265,Summary1!E26)</f>
        <v>NO</v>
      </c>
      <c r="F26" s="628"/>
      <c r="G26" s="628"/>
      <c r="H26" s="628"/>
      <c r="I26" s="69"/>
      <c r="J26" s="69"/>
      <c r="K26" s="4291">
        <f t="shared" si="0"/>
        <v>278.53303649999992</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607.0172347661329</v>
      </c>
      <c r="G28" s="4247" t="str">
        <f>Summary1!G28</f>
        <v>NO</v>
      </c>
      <c r="H28" s="4247" t="str">
        <f>Summary1!H28</f>
        <v>NO</v>
      </c>
      <c r="I28" s="4247" t="str">
        <f>IFERROR(Summary1!I28*23500,Summary1!I28)</f>
        <v>NO</v>
      </c>
      <c r="J28" s="4247" t="str">
        <f>IFERROR(Summary1!J28*16100,Summary1!J28)</f>
        <v>NO</v>
      </c>
      <c r="K28" s="4291">
        <f t="shared" si="0"/>
        <v>607.0172347661329</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243.98668354023923</v>
      </c>
      <c r="J29" s="4247" t="str">
        <f>IFERROR(Summary1!J29*16100,Summary1!J29)</f>
        <v>NO</v>
      </c>
      <c r="K29" s="4291">
        <f t="shared" si="0"/>
        <v>243.98668354023923</v>
      </c>
      <c r="L29" s="19"/>
    </row>
    <row r="30" spans="2:12" ht="18" customHeight="1" thickBot="1" x14ac:dyDescent="0.25">
      <c r="B30" s="1407" t="s">
        <v>1523</v>
      </c>
      <c r="C30" s="4266">
        <f>Summary1!C30</f>
        <v>140.46137980152514</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140.46137980152514</v>
      </c>
      <c r="L30" s="19"/>
    </row>
    <row r="31" spans="2:12" ht="18" customHeight="1" x14ac:dyDescent="0.2">
      <c r="B31" s="772" t="s">
        <v>1491</v>
      </c>
      <c r="C31" s="4253">
        <f>Summary1!C31</f>
        <v>1328.7246776096777</v>
      </c>
      <c r="D31" s="4253">
        <f>IFERROR(Summary1!D31*28,Summary1!D31)</f>
        <v>72739.603034542801</v>
      </c>
      <c r="E31" s="4253">
        <f>IFERROR(Summary1!E31*265,Summary1!E31)</f>
        <v>11373.869087213869</v>
      </c>
      <c r="F31" s="1929"/>
      <c r="G31" s="1929"/>
      <c r="H31" s="1929"/>
      <c r="I31" s="4215"/>
      <c r="J31" s="627"/>
      <c r="K31" s="4290">
        <f t="shared" si="0"/>
        <v>85442.196799366342</v>
      </c>
      <c r="L31" s="19"/>
    </row>
    <row r="32" spans="2:12" ht="18" customHeight="1" x14ac:dyDescent="0.2">
      <c r="B32" s="620" t="s">
        <v>1492</v>
      </c>
      <c r="C32" s="628"/>
      <c r="D32" s="4247">
        <f>IFERROR(Summary1!D32*28,Summary1!D32)</f>
        <v>65196.389235733644</v>
      </c>
      <c r="E32" s="628"/>
      <c r="F32" s="628"/>
      <c r="G32" s="628"/>
      <c r="H32" s="628"/>
      <c r="I32" s="69"/>
      <c r="J32" s="69"/>
      <c r="K32" s="4291">
        <f t="shared" si="0"/>
        <v>65196.389235733644</v>
      </c>
      <c r="L32" s="19"/>
    </row>
    <row r="33" spans="2:12" ht="18" customHeight="1" x14ac:dyDescent="0.2">
      <c r="B33" s="620" t="s">
        <v>1493</v>
      </c>
      <c r="C33" s="628"/>
      <c r="D33" s="4247">
        <f>IFERROR(Summary1!D33*28,Summary1!D33)</f>
        <v>6487.0792232842377</v>
      </c>
      <c r="E33" s="4247">
        <f>IFERROR(Summary1!E33*265,Summary1!E33)</f>
        <v>273.10053482687516</v>
      </c>
      <c r="F33" s="628"/>
      <c r="G33" s="628"/>
      <c r="H33" s="628"/>
      <c r="I33" s="69"/>
      <c r="J33" s="69"/>
      <c r="K33" s="4291">
        <f t="shared" si="0"/>
        <v>6760.1797581111132</v>
      </c>
      <c r="L33" s="19"/>
    </row>
    <row r="34" spans="2:12" ht="18" customHeight="1" x14ac:dyDescent="0.2">
      <c r="B34" s="620" t="s">
        <v>1494</v>
      </c>
      <c r="C34" s="628"/>
      <c r="D34" s="4247">
        <f>IFERROR(Summary1!D34*28,Summary1!D34)</f>
        <v>656.90213400000005</v>
      </c>
      <c r="E34" s="628"/>
      <c r="F34" s="628"/>
      <c r="G34" s="628"/>
      <c r="H34" s="628"/>
      <c r="I34" s="69"/>
      <c r="J34" s="69"/>
      <c r="K34" s="4291">
        <f t="shared" si="0"/>
        <v>656.90213400000005</v>
      </c>
      <c r="L34" s="19"/>
    </row>
    <row r="35" spans="2:12" ht="18" customHeight="1" x14ac:dyDescent="0.2">
      <c r="B35" s="620" t="s">
        <v>1495</v>
      </c>
      <c r="C35" s="4294"/>
      <c r="D35" s="4247" t="str">
        <f>IFERROR(Summary1!D35*28,Summary1!D35)</f>
        <v>NE</v>
      </c>
      <c r="E35" s="4247">
        <f>IFERROR(Summary1!E35*265,Summary1!E35)</f>
        <v>10946.337337024475</v>
      </c>
      <c r="F35" s="628"/>
      <c r="G35" s="628"/>
      <c r="H35" s="628"/>
      <c r="I35" s="69"/>
      <c r="J35" s="69"/>
      <c r="K35" s="4291">
        <f t="shared" si="0"/>
        <v>10946.337337024475</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399.23244152492578</v>
      </c>
      <c r="E37" s="4247">
        <f>IFERROR(Summary1!E37*265,Summary1!E37)</f>
        <v>154.43121536251695</v>
      </c>
      <c r="F37" s="628"/>
      <c r="G37" s="628"/>
      <c r="H37" s="628"/>
      <c r="I37" s="69"/>
      <c r="J37" s="69"/>
      <c r="K37" s="4291">
        <f t="shared" si="0"/>
        <v>553.6636568874427</v>
      </c>
      <c r="L37" s="19"/>
    </row>
    <row r="38" spans="2:12" ht="18" customHeight="1" x14ac:dyDescent="0.2">
      <c r="B38" s="620" t="s">
        <v>721</v>
      </c>
      <c r="C38" s="1924">
        <f>Summary1!C38</f>
        <v>585.8261268850398</v>
      </c>
      <c r="D38" s="4295"/>
      <c r="E38" s="4295"/>
      <c r="F38" s="628"/>
      <c r="G38" s="628"/>
      <c r="H38" s="628"/>
      <c r="I38" s="69"/>
      <c r="J38" s="69"/>
      <c r="K38" s="4291">
        <f t="shared" si="0"/>
        <v>585.8261268850398</v>
      </c>
      <c r="L38" s="19"/>
    </row>
    <row r="39" spans="2:12" ht="18" customHeight="1" x14ac:dyDescent="0.2">
      <c r="B39" s="620" t="s">
        <v>722</v>
      </c>
      <c r="C39" s="1924">
        <f>Summary1!C39</f>
        <v>742.89855072463774</v>
      </c>
      <c r="D39" s="4295"/>
      <c r="E39" s="4295"/>
      <c r="F39" s="628"/>
      <c r="G39" s="628"/>
      <c r="H39" s="628"/>
      <c r="I39" s="69"/>
      <c r="J39" s="69"/>
      <c r="K39" s="4291">
        <f t="shared" si="0"/>
        <v>742.89855072463774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19210.644503414045</v>
      </c>
      <c r="D42" s="1927">
        <f>IFERROR(Summary1!D42*28,Summary1!D42)</f>
        <v>17261.482694719089</v>
      </c>
      <c r="E42" s="1927">
        <f>IFERROR(Summary1!E42*265,Summary1!E42)</f>
        <v>3823.6923588544641</v>
      </c>
      <c r="F42" s="1929"/>
      <c r="G42" s="1929"/>
      <c r="H42" s="1929"/>
      <c r="I42" s="4215"/>
      <c r="J42" s="627"/>
      <c r="K42" s="4290">
        <f t="shared" si="0"/>
        <v>40295.819556987604</v>
      </c>
      <c r="L42" s="19"/>
    </row>
    <row r="43" spans="2:12" ht="18" customHeight="1" x14ac:dyDescent="0.2">
      <c r="B43" s="620" t="s">
        <v>981</v>
      </c>
      <c r="C43" s="1924">
        <f>Summary1!C43</f>
        <v>-38345.538956690478</v>
      </c>
      <c r="D43" s="1924">
        <f>IFERROR(Summary1!D43*28,Summary1!D43)</f>
        <v>5609.8632700208136</v>
      </c>
      <c r="E43" s="1924">
        <f>IFERROR(Summary1!E43*265,Summary1!E43)</f>
        <v>1094.1476425334586</v>
      </c>
      <c r="F43" s="1931"/>
      <c r="G43" s="1931"/>
      <c r="H43" s="1931"/>
      <c r="I43" s="3352"/>
      <c r="J43" s="69"/>
      <c r="K43" s="4291">
        <f t="shared" si="0"/>
        <v>-31641.528044136205</v>
      </c>
      <c r="L43" s="19"/>
    </row>
    <row r="44" spans="2:12" ht="18" customHeight="1" x14ac:dyDescent="0.2">
      <c r="B44" s="620" t="s">
        <v>984</v>
      </c>
      <c r="C44" s="1924">
        <f>Summary1!C44</f>
        <v>4967.0981540024186</v>
      </c>
      <c r="D44" s="1924">
        <f>IFERROR(Summary1!D44*28,Summary1!D44)</f>
        <v>148.0881024</v>
      </c>
      <c r="E44" s="1924">
        <f>IFERROR(Summary1!E44*265,Summary1!E44)</f>
        <v>62.0297532283303</v>
      </c>
      <c r="F44" s="1931"/>
      <c r="G44" s="1931"/>
      <c r="H44" s="1931"/>
      <c r="I44" s="3352"/>
      <c r="J44" s="69"/>
      <c r="K44" s="4291">
        <f t="shared" si="0"/>
        <v>5177.2160096307489</v>
      </c>
      <c r="L44" s="19"/>
    </row>
    <row r="45" spans="2:12" ht="18" customHeight="1" x14ac:dyDescent="0.2">
      <c r="B45" s="620" t="s">
        <v>987</v>
      </c>
      <c r="C45" s="1924">
        <f>Summary1!C45</f>
        <v>53426.538709294837</v>
      </c>
      <c r="D45" s="1924">
        <f>IFERROR(Summary1!D45*28,Summary1!D45)</f>
        <v>8963.7525894397513</v>
      </c>
      <c r="E45" s="1924">
        <f>IFERROR(Summary1!E45*265,Summary1!E45)</f>
        <v>2550.6740920807592</v>
      </c>
      <c r="F45" s="1931"/>
      <c r="G45" s="1931"/>
      <c r="H45" s="1931"/>
      <c r="I45" s="3352"/>
      <c r="J45" s="69"/>
      <c r="K45" s="4291">
        <f t="shared" si="0"/>
        <v>64940.965390815349</v>
      </c>
      <c r="L45" s="19"/>
    </row>
    <row r="46" spans="2:12" ht="18" customHeight="1" x14ac:dyDescent="0.2">
      <c r="B46" s="620" t="s">
        <v>1525</v>
      </c>
      <c r="C46" s="1924">
        <f>Summary1!C46</f>
        <v>1138.6297219973433</v>
      </c>
      <c r="D46" s="1924">
        <f>IFERROR(Summary1!D46*28,Summary1!D46)</f>
        <v>2443.2982144585217</v>
      </c>
      <c r="E46" s="1924">
        <f>IFERROR(Summary1!E46*265,Summary1!E46)</f>
        <v>81.740033231994587</v>
      </c>
      <c r="F46" s="1931"/>
      <c r="G46" s="1931"/>
      <c r="H46" s="1931"/>
      <c r="I46" s="3352"/>
      <c r="J46" s="69"/>
      <c r="K46" s="4291">
        <f t="shared" si="0"/>
        <v>3663.6679696878596</v>
      </c>
      <c r="L46" s="19"/>
    </row>
    <row r="47" spans="2:12" ht="18" customHeight="1" x14ac:dyDescent="0.2">
      <c r="B47" s="620" t="s">
        <v>1526</v>
      </c>
      <c r="C47" s="1924">
        <f>Summary1!C47</f>
        <v>5163.5843041827757</v>
      </c>
      <c r="D47" s="1924">
        <f>IFERROR(Summary1!D47*28,Summary1!D47)</f>
        <v>96.480518399999994</v>
      </c>
      <c r="E47" s="1924">
        <f>IFERROR(Summary1!E47*265,Summary1!E47)</f>
        <v>23.582327715635742</v>
      </c>
      <c r="F47" s="1931"/>
      <c r="G47" s="1931"/>
      <c r="H47" s="1931"/>
      <c r="I47" s="3352"/>
      <c r="J47" s="69"/>
      <c r="K47" s="4291">
        <f t="shared" si="0"/>
        <v>5283.6471502984114</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-7140.1742663664481</v>
      </c>
      <c r="D49" s="3835"/>
      <c r="E49" s="3835"/>
      <c r="F49" s="1931"/>
      <c r="G49" s="1931"/>
      <c r="H49" s="1931"/>
      <c r="I49" s="3352"/>
      <c r="J49" s="69"/>
      <c r="K49" s="4291">
        <f t="shared" si="0"/>
        <v>-7140.1742663664481</v>
      </c>
      <c r="L49" s="19"/>
    </row>
    <row r="50" spans="2:12" ht="18" customHeight="1" thickBot="1" x14ac:dyDescent="0.25">
      <c r="B50" s="1552" t="s">
        <v>1529</v>
      </c>
      <c r="C50" s="1926">
        <f>Summary1!C50</f>
        <v>0.50683699359333334</v>
      </c>
      <c r="D50" s="1926" t="str">
        <f>IFERROR(Summary1!D50*28,Summary1!D50)</f>
        <v>NO</v>
      </c>
      <c r="E50" s="1926">
        <f>IFERROR(Summary1!E50*265,Summary1!E50)</f>
        <v>11.518510064285714</v>
      </c>
      <c r="F50" s="3024"/>
      <c r="G50" s="3024"/>
      <c r="H50" s="3024"/>
      <c r="I50" s="3828"/>
      <c r="J50" s="87"/>
      <c r="K50" s="4292">
        <f t="shared" si="0"/>
        <v>12.025347057879047</v>
      </c>
      <c r="L50" s="19"/>
    </row>
    <row r="51" spans="2:12" ht="18" customHeight="1" x14ac:dyDescent="0.2">
      <c r="B51" s="1550" t="s">
        <v>1500</v>
      </c>
      <c r="C51" s="1927">
        <f>Summary1!C51</f>
        <v>28.621172748861426</v>
      </c>
      <c r="D51" s="1927">
        <f>IFERROR(Summary1!D51*28,Summary1!D51)</f>
        <v>18873.480861694563</v>
      </c>
      <c r="E51" s="1927">
        <f>IFERROR(Summary1!E51*265,Summary1!E51)</f>
        <v>200.24742578584929</v>
      </c>
      <c r="F51" s="1929"/>
      <c r="G51" s="1929"/>
      <c r="H51" s="1929"/>
      <c r="I51" s="4215"/>
      <c r="J51" s="627"/>
      <c r="K51" s="4290">
        <f t="shared" si="0"/>
        <v>19102.349460229274</v>
      </c>
      <c r="L51" s="19"/>
    </row>
    <row r="52" spans="2:12" ht="18" customHeight="1" x14ac:dyDescent="0.2">
      <c r="B52" s="620" t="s">
        <v>1530</v>
      </c>
      <c r="C52" s="628"/>
      <c r="D52" s="1924">
        <f>IFERROR(Summary1!D52*28,Summary1!D52)</f>
        <v>13828.96651052</v>
      </c>
      <c r="E52" s="1931"/>
      <c r="F52" s="628"/>
      <c r="G52" s="628"/>
      <c r="H52" s="628"/>
      <c r="I52" s="69"/>
      <c r="J52" s="69"/>
      <c r="K52" s="4291">
        <f t="shared" si="0"/>
        <v>13828.96651052</v>
      </c>
      <c r="L52" s="19"/>
    </row>
    <row r="53" spans="2:12" ht="18" customHeight="1" x14ac:dyDescent="0.2">
      <c r="B53" s="1396" t="s">
        <v>1531</v>
      </c>
      <c r="C53" s="628"/>
      <c r="D53" s="1924">
        <f>IFERROR(Summary1!D53*28,Summary1!D53)</f>
        <v>39.562388769735925</v>
      </c>
      <c r="E53" s="1924">
        <f>IFERROR(Summary1!E53*265,Summary1!E53)</f>
        <v>47.92700810962296</v>
      </c>
      <c r="F53" s="628"/>
      <c r="G53" s="628"/>
      <c r="H53" s="628"/>
      <c r="I53" s="69"/>
      <c r="J53" s="69"/>
      <c r="K53" s="4291">
        <f t="shared" si="0"/>
        <v>87.489396879358878</v>
      </c>
      <c r="L53" s="19"/>
    </row>
    <row r="54" spans="2:12" ht="18" customHeight="1" x14ac:dyDescent="0.2">
      <c r="B54" s="1397" t="s">
        <v>1532</v>
      </c>
      <c r="C54" s="1924">
        <f>Summary1!C54</f>
        <v>28.621172748861426</v>
      </c>
      <c r="D54" s="1924" t="str">
        <f>IFERROR(Summary1!D54*28,Summary1!D54)</f>
        <v>NO,NE</v>
      </c>
      <c r="E54" s="1924" t="str">
        <f>IFERROR(Summary1!E54*265,Summary1!E54)</f>
        <v>NO,NE</v>
      </c>
      <c r="F54" s="628"/>
      <c r="G54" s="628"/>
      <c r="H54" s="628"/>
      <c r="I54" s="69"/>
      <c r="J54" s="69"/>
      <c r="K54" s="4291">
        <f t="shared" si="0"/>
        <v>28.621172748861426</v>
      </c>
      <c r="L54" s="19"/>
    </row>
    <row r="55" spans="2:12" ht="18" customHeight="1" x14ac:dyDescent="0.2">
      <c r="B55" s="620" t="s">
        <v>1533</v>
      </c>
      <c r="C55" s="628"/>
      <c r="D55" s="1924">
        <f>IFERROR(Summary1!D55*28,Summary1!D55)</f>
        <v>5004.9519624048253</v>
      </c>
      <c r="E55" s="1924">
        <f>IFERROR(Summary1!E55*265,Summary1!E55)</f>
        <v>152.32041767622633</v>
      </c>
      <c r="F55" s="628"/>
      <c r="G55" s="628"/>
      <c r="H55" s="628"/>
      <c r="I55" s="69"/>
      <c r="J55" s="69"/>
      <c r="K55" s="4291">
        <f t="shared" si="0"/>
        <v>5157.2723800810518</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9532.9939999999988</v>
      </c>
      <c r="D60" s="4219">
        <f>IFERROR(Summary1!D61*28,Summary1!D61)</f>
        <v>6.3602699066666659</v>
      </c>
      <c r="E60" s="4219">
        <f>IFERROR(Summary1!E61*265,Summary1!E61)</f>
        <v>26.135308872201758</v>
      </c>
      <c r="F60" s="1931"/>
      <c r="G60" s="1931"/>
      <c r="H60" s="1932"/>
      <c r="I60" s="630"/>
      <c r="J60" s="630"/>
      <c r="K60" s="4220">
        <f t="shared" ref="K60:K66" si="2">IF(SUM(C60:J60)=0,"NO",SUM(C60:J60))</f>
        <v>9565.4895787788682</v>
      </c>
    </row>
    <row r="61" spans="2:12" ht="18" customHeight="1" x14ac:dyDescent="0.2">
      <c r="B61" s="1386" t="s">
        <v>111</v>
      </c>
      <c r="C61" s="4219">
        <f>Summary1!C62</f>
        <v>7293.3839999999991</v>
      </c>
      <c r="D61" s="4219">
        <f>IFERROR(Summary1!D62*28,Summary1!D62)</f>
        <v>0.34110990666666668</v>
      </c>
      <c r="E61" s="4219">
        <f>IFERROR(Summary1!E62*265,Summary1!E62)</f>
        <v>9.8590088722017555</v>
      </c>
      <c r="F61" s="628"/>
      <c r="G61" s="628"/>
      <c r="H61" s="628"/>
      <c r="I61" s="631"/>
      <c r="J61" s="631"/>
      <c r="K61" s="4234">
        <f t="shared" si="2"/>
        <v>7303.5841187788683</v>
      </c>
    </row>
    <row r="62" spans="2:12" ht="18" customHeight="1" x14ac:dyDescent="0.2">
      <c r="B62" s="1387" t="s">
        <v>1503</v>
      </c>
      <c r="C62" s="4219">
        <f>Summary1!C63</f>
        <v>2239.6099999999997</v>
      </c>
      <c r="D62" s="4219">
        <f>IFERROR(Summary1!D63*28,Summary1!D63)</f>
        <v>6.0191599999999994</v>
      </c>
      <c r="E62" s="4219">
        <f>IFERROR(Summary1!E63*265,Summary1!E63)</f>
        <v>16.276300000000003</v>
      </c>
      <c r="F62" s="628"/>
      <c r="G62" s="628"/>
      <c r="H62" s="628"/>
      <c r="I62" s="632"/>
      <c r="J62" s="632"/>
      <c r="K62" s="4220">
        <f t="shared" si="2"/>
        <v>2261.9054599999995</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19328.68835</v>
      </c>
      <c r="D64" s="1931"/>
      <c r="E64" s="1931"/>
      <c r="F64" s="1931"/>
      <c r="G64" s="1931"/>
      <c r="H64" s="1931"/>
      <c r="I64" s="3352"/>
      <c r="J64" s="3352"/>
      <c r="K64" s="3821">
        <f t="shared" si="2"/>
        <v>19328.68835</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-221048.20759042792</v>
      </c>
      <c r="D66" s="4301"/>
      <c r="E66" s="4301"/>
      <c r="F66" s="4301"/>
      <c r="G66" s="4301"/>
      <c r="H66" s="4301"/>
      <c r="I66" s="3824"/>
      <c r="J66" s="3824"/>
      <c r="K66" s="4302">
        <f t="shared" si="2"/>
        <v>-221048.20759042792</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484037.12183379184</v>
      </c>
      <c r="N71" s="1126"/>
    </row>
    <row r="72" spans="2:14" s="634" customFormat="1" ht="18" customHeight="1" x14ac:dyDescent="0.25">
      <c r="B72" s="637"/>
      <c r="C72" s="638"/>
      <c r="D72" s="638"/>
      <c r="E72" s="638"/>
      <c r="F72" s="638"/>
      <c r="G72" s="638"/>
      <c r="H72" s="638"/>
      <c r="I72" s="638"/>
      <c r="J72" s="2553" t="s">
        <v>2122</v>
      </c>
      <c r="K72" s="3821">
        <f>K10</f>
        <v>524332.94139077945</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724563.329605632</v>
      </c>
      <c r="D10" s="3076" t="s">
        <v>1814</v>
      </c>
      <c r="E10" s="628"/>
      <c r="F10" s="628"/>
      <c r="G10" s="628"/>
      <c r="H10" s="1913">
        <f>IF(SUM(H11:H15)=0,"NO",SUM(H11:H15))</f>
        <v>37440.664739964937</v>
      </c>
      <c r="I10" s="1913">
        <f t="shared" ref="I10:K10" si="0">IF(SUM(I11:I16)=0,"NO",SUM(I11:I16))</f>
        <v>2.2801350775648839</v>
      </c>
      <c r="J10" s="1847">
        <f t="shared" si="0"/>
        <v>1.3289940991559228</v>
      </c>
      <c r="K10" s="3065" t="str">
        <f t="shared" si="0"/>
        <v>NO</v>
      </c>
    </row>
    <row r="11" spans="2:11" ht="18" customHeight="1" x14ac:dyDescent="0.2">
      <c r="B11" s="282" t="s">
        <v>132</v>
      </c>
      <c r="C11" s="1913">
        <f>IF(SUM(C18,C25,C32,C39,C46,C53,C62,C69,C76,C83,C90,C97,C114,C104:C107)=0,"NO",SUM(C18,C25,C32,C39,C46,C53,C62,C69,C76,C83,C90,C97,C114,C104:C107))</f>
        <v>161689.13899452562</v>
      </c>
      <c r="D11" s="3077" t="s">
        <v>1814</v>
      </c>
      <c r="E11" s="1913">
        <f>IFERROR(H11*1000/$C11,"NA")</f>
        <v>68.924155914356277</v>
      </c>
      <c r="F11" s="1913">
        <f t="shared" ref="F11:G16" si="1">IFERROR(I11*1000000/$C11,"NA")</f>
        <v>4.4665969241583454</v>
      </c>
      <c r="G11" s="1913">
        <f t="shared" si="1"/>
        <v>2.1595652213658596</v>
      </c>
      <c r="H11" s="1913">
        <f>IF(SUM(H18,H25,H32,H39,H46,H53,H62,H69,H76,H83,H90,H97,H114,H104:H107)=0,"NO",SUM(H18,H25,H32,H39,H46,H53,H62,H69,H76,H83,H90,H97,H114,H104:H107))</f>
        <v>11144.287425716708</v>
      </c>
      <c r="I11" s="1913">
        <f>IF(SUM(I18,I25,I32,I39,I46,I53,I62,I69,I76,I83,I90,I97,I114,I104:I107)=0,"NO",SUM(I18,I25,I32,I39,I46,I53,I62,I69,I76,I83,I90,I97,I114,I104:I107))</f>
        <v>0.72220021090275932</v>
      </c>
      <c r="J11" s="1913">
        <f>IF(SUM(J18,J25,J32,J39,J46,J53,J62,J69,J76,J83,J90,J97,J114,J104:J107)=0,"NO",SUM(J18,J25,J32,J39,J46,J53,J62,J69,J76,J83,J90,J97,J114,J104:J107))</f>
        <v>0.349178241245168</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128668.69139534885</v>
      </c>
      <c r="D12" s="3077" t="s">
        <v>1814</v>
      </c>
      <c r="E12" s="1913">
        <f t="shared" ref="E12:E16" si="2">IFERROR(H12*1000/$C12,"NA")</f>
        <v>80.232135345819231</v>
      </c>
      <c r="F12" s="1913">
        <f t="shared" si="1"/>
        <v>0.96095319996369055</v>
      </c>
      <c r="G12" s="1913">
        <f t="shared" si="1"/>
        <v>0.69772043302740872</v>
      </c>
      <c r="H12" s="1913">
        <f>IF(SUM(H19,H26,H33,H40,H47,H54,H63,H70,H77,H84,H91,H98,H115)=0,"NO",SUM(H19,H26,H33,H40,H47,H54,H63,H70,H77,H84,H91,H98,H115))</f>
        <v>10323.363862801076</v>
      </c>
      <c r="I12" s="1913">
        <f>IF(SUM(I19,I26,I33,I40,I47,I54,I63,I70,I77,I84,I91,I98,I115)=0,"NO",SUM(I19,I26,I33,I40,I47,I54,I63,I70,I77,I84,I91,I98,I115))</f>
        <v>0.12364459073150105</v>
      </c>
      <c r="J12" s="1913">
        <f>IF(SUM(J19,J26,J33,J40,J47,J54,J63,J70,J77,J84,J91,J98,J115)=0,"NO",SUM(J19,J26,J33,J40,J47,J54,J63,J70,J77,J84,J91,J98,J115))</f>
        <v>8.9774775077432811E-2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310686.97623850446</v>
      </c>
      <c r="D13" s="3077" t="s">
        <v>1814</v>
      </c>
      <c r="E13" s="1913">
        <f t="shared" si="2"/>
        <v>51.411918339264993</v>
      </c>
      <c r="F13" s="1913">
        <f t="shared" si="1"/>
        <v>0.97215902737832427</v>
      </c>
      <c r="G13" s="1913">
        <f t="shared" si="1"/>
        <v>0.54561786759893049</v>
      </c>
      <c r="H13" s="1913">
        <f t="shared" ref="H13:K14" si="3">IF(SUM(H20,H27,H34,H41,H48,H55,H64,H71,H78,H85,H92,H99,H116,H109)=0,"NO",SUM(H20,H27,H34,H41,H48,H55,H64,H71,H78,H85,H92,H99,H116,H109))</f>
        <v>15973.013451447156</v>
      </c>
      <c r="I13" s="1913">
        <f t="shared" si="3"/>
        <v>0.30203714863913705</v>
      </c>
      <c r="J13" s="1913">
        <f t="shared" si="3"/>
        <v>0.1695163654660124</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123518.52297725304</v>
      </c>
      <c r="D16" s="3092" t="s">
        <v>1814</v>
      </c>
      <c r="E16" s="1913">
        <f t="shared" si="2"/>
        <v>94.78464768393566</v>
      </c>
      <c r="F16" s="1913">
        <f t="shared" si="1"/>
        <v>9.1666666666666679</v>
      </c>
      <c r="G16" s="1913">
        <f t="shared" si="1"/>
        <v>5.8333333333333339</v>
      </c>
      <c r="H16" s="1913">
        <f>IF(SUM(H23,H30,H37,H44,H51,H58,H67,H74,H81,H88,H95,H102,H119,H111)=0,"NO",SUM(H23,H30,H37,H44,H51,H58,H67,H74,H81,H88,H95,H102,H119,H111))</f>
        <v>11707.659682839041</v>
      </c>
      <c r="I16" s="1913">
        <f>IF(SUM(I23,I30,I37,I44,I51,I58,I67,I74,I81,I88,I95,I102,I119,I111)=0,"NO",SUM(I23,I30,I37,I44,I51,I58,I67,I74,I81,I88,I95,I102,I119,I111))</f>
        <v>1.1322531272914864</v>
      </c>
      <c r="J16" s="1913">
        <f>IF(SUM(J23,J30,J37,J44,J51,J58,J67,J74,J81,J88,J95,J102,J119,J111)=0,"NO",SUM(J23,J30,J37,J44,J51,J58,J67,J74,J81,J88,J95,J102,J119,J111))</f>
        <v>0.7205247173673095</v>
      </c>
      <c r="K16" s="3065" t="str">
        <f>IF(SUM(K23,K30,K37,K44,K51,K58,K67,K74,K81,K88,K95,K102,K119,K111)=0,"NO",SUM(K23,K30,K37,K44,K51,K58,K67,K74,K81,K88,K95,K102,K119,K111))</f>
        <v>NO</v>
      </c>
    </row>
    <row r="17" spans="2:11" ht="18" customHeight="1" x14ac:dyDescent="0.2">
      <c r="B17" s="1241" t="s">
        <v>151</v>
      </c>
      <c r="C17" s="1913">
        <f>IF(SUM(C18:C23)=0,"NO",SUM(C18:C23))</f>
        <v>59187.600000000006</v>
      </c>
      <c r="D17" s="3076" t="s">
        <v>1814</v>
      </c>
      <c r="E17" s="628"/>
      <c r="F17" s="628"/>
      <c r="G17" s="628"/>
      <c r="H17" s="1913">
        <f>IF(SUM(H18:H22)=0,"NO",SUM(H18:H22))</f>
        <v>2820.5674261017934</v>
      </c>
      <c r="I17" s="1913">
        <f t="shared" ref="I17:K17" si="4">IF(SUM(I18:I23)=0,"NO",SUM(I18:I23))</f>
        <v>0.10889314893865884</v>
      </c>
      <c r="J17" s="1913">
        <f t="shared" si="4"/>
        <v>3.5233947156268888E-2</v>
      </c>
      <c r="K17" s="3065" t="str">
        <f t="shared" si="4"/>
        <v>NO</v>
      </c>
    </row>
    <row r="18" spans="2:11" ht="18" customHeight="1" x14ac:dyDescent="0.2">
      <c r="B18" s="282" t="s">
        <v>132</v>
      </c>
      <c r="C18" s="691">
        <v>2100</v>
      </c>
      <c r="D18" s="3077" t="s">
        <v>1814</v>
      </c>
      <c r="E18" s="1913">
        <f>IFERROR(H18*1000/$C18,"NA")</f>
        <v>66.404761904761898</v>
      </c>
      <c r="F18" s="1913">
        <f t="shared" ref="F18:G23" si="5">IFERROR(I18*1000000/$C18,"NA")</f>
        <v>25.893812518718182</v>
      </c>
      <c r="G18" s="1913">
        <f t="shared" si="5"/>
        <v>1.3054122277841955</v>
      </c>
      <c r="H18" s="691">
        <v>139.44999999999999</v>
      </c>
      <c r="I18" s="691">
        <v>5.4377006289308187E-2</v>
      </c>
      <c r="J18" s="691">
        <v>2.7413656783468105E-3</v>
      </c>
      <c r="K18" s="3093" t="s">
        <v>2146</v>
      </c>
    </row>
    <row r="19" spans="2:11" ht="18" customHeight="1" x14ac:dyDescent="0.2">
      <c r="B19" s="282" t="s">
        <v>133</v>
      </c>
      <c r="C19" s="691">
        <v>27282.600000000006</v>
      </c>
      <c r="D19" s="3077" t="s">
        <v>1814</v>
      </c>
      <c r="E19" s="1913">
        <f t="shared" ref="E19:E23" si="6">IFERROR(H19*1000/$C19,"NA")</f>
        <v>42.106881308966145</v>
      </c>
      <c r="F19" s="1913">
        <f t="shared" si="5"/>
        <v>0.95530978928485022</v>
      </c>
      <c r="G19" s="1913">
        <f t="shared" si="5"/>
        <v>0.58224407707267112</v>
      </c>
      <c r="H19" s="691">
        <v>1148.7852</v>
      </c>
      <c r="I19" s="691">
        <v>2.6063334857142861E-2</v>
      </c>
      <c r="J19" s="691">
        <v>1.5885132257142859E-2</v>
      </c>
      <c r="K19" s="3093" t="s">
        <v>2146</v>
      </c>
    </row>
    <row r="20" spans="2:11" ht="18" customHeight="1" x14ac:dyDescent="0.2">
      <c r="B20" s="282" t="s">
        <v>134</v>
      </c>
      <c r="C20" s="691">
        <v>29805</v>
      </c>
      <c r="D20" s="3077" t="s">
        <v>1814</v>
      </c>
      <c r="E20" s="1913">
        <f t="shared" si="6"/>
        <v>51.411918339265</v>
      </c>
      <c r="F20" s="1913">
        <f t="shared" si="5"/>
        <v>0.95463203463203461</v>
      </c>
      <c r="G20" s="1913">
        <f t="shared" si="5"/>
        <v>0.55720346320346303</v>
      </c>
      <c r="H20" s="691">
        <v>1532.3322261017934</v>
      </c>
      <c r="I20" s="691">
        <v>2.8452807792207789E-2</v>
      </c>
      <c r="J20" s="691">
        <v>1.6607449220779218E-2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191112.24990000002</v>
      </c>
      <c r="D24" s="3077" t="s">
        <v>1814</v>
      </c>
      <c r="E24" s="628"/>
      <c r="F24" s="628"/>
      <c r="G24" s="628"/>
      <c r="H24" s="1913">
        <f>IF(SUM(H25:H29)=0,"NO",SUM(H25:H29))</f>
        <v>12182.269622974458</v>
      </c>
      <c r="I24" s="1913">
        <f t="shared" ref="I24:K24" si="7">IF(SUM(I25:I30)=0,"NO",SUM(I25:I30))</f>
        <v>0.22664635998754457</v>
      </c>
      <c r="J24" s="1913">
        <f t="shared" si="7"/>
        <v>0.13065958427918753</v>
      </c>
      <c r="K24" s="3065" t="str">
        <f t="shared" si="7"/>
        <v>NO</v>
      </c>
    </row>
    <row r="25" spans="2:11" ht="18" customHeight="1" x14ac:dyDescent="0.2">
      <c r="B25" s="282" t="s">
        <v>132</v>
      </c>
      <c r="C25" s="691">
        <v>30122.1149</v>
      </c>
      <c r="D25" s="3077" t="s">
        <v>1814</v>
      </c>
      <c r="E25" s="1913">
        <f>IFERROR(H25*1000/$C25,"NA")</f>
        <v>72.958610772711708</v>
      </c>
      <c r="F25" s="1913">
        <f t="shared" ref="F25:G30" si="8">IFERROR(I25*1000000/$C25,"NA")</f>
        <v>1.7885476386892756</v>
      </c>
      <c r="G25" s="1913">
        <f t="shared" si="8"/>
        <v>0.68371167668585919</v>
      </c>
      <c r="H25" s="691">
        <v>2197.6676566399997</v>
      </c>
      <c r="I25" s="691">
        <v>5.3874837476722046E-2</v>
      </c>
      <c r="J25" s="691">
        <v>2.0594841683603104E-2</v>
      </c>
      <c r="K25" s="3093" t="s">
        <v>2146</v>
      </c>
    </row>
    <row r="26" spans="2:11" ht="18" customHeight="1" x14ac:dyDescent="0.2">
      <c r="B26" s="282" t="s">
        <v>133</v>
      </c>
      <c r="C26" s="691">
        <v>45290.135000000002</v>
      </c>
      <c r="D26" s="3077" t="s">
        <v>1814</v>
      </c>
      <c r="E26" s="1913">
        <f t="shared" ref="E26:E30" si="9">IFERROR(H26*1000/$C26,"NA")</f>
        <v>91.730581652313631</v>
      </c>
      <c r="F26" s="1913">
        <f t="shared" si="8"/>
        <v>0.95238095238095222</v>
      </c>
      <c r="G26" s="1913">
        <f t="shared" si="8"/>
        <v>0.706095238095238</v>
      </c>
      <c r="H26" s="691">
        <v>4154.4904266618078</v>
      </c>
      <c r="I26" s="691">
        <v>4.3133461904761895E-2</v>
      </c>
      <c r="J26" s="691">
        <v>3.1979148656190476E-2</v>
      </c>
      <c r="K26" s="3093" t="s">
        <v>2146</v>
      </c>
    </row>
    <row r="27" spans="2:11" ht="18" customHeight="1" x14ac:dyDescent="0.2">
      <c r="B27" s="282" t="s">
        <v>134</v>
      </c>
      <c r="C27" s="691">
        <v>113400.00000000003</v>
      </c>
      <c r="D27" s="3077" t="s">
        <v>1814</v>
      </c>
      <c r="E27" s="1913">
        <f t="shared" si="9"/>
        <v>51.411918339265</v>
      </c>
      <c r="F27" s="1913">
        <f t="shared" si="8"/>
        <v>0.95727272727272716</v>
      </c>
      <c r="G27" s="1913">
        <f t="shared" si="8"/>
        <v>0.57027272727272726</v>
      </c>
      <c r="H27" s="691">
        <v>5830.1115396726518</v>
      </c>
      <c r="I27" s="691">
        <v>0.10855472727272729</v>
      </c>
      <c r="J27" s="691">
        <v>6.4668927272727286E-2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1.341666666666667E-2</v>
      </c>
      <c r="K30" s="3093" t="s">
        <v>2146</v>
      </c>
    </row>
    <row r="31" spans="2:11" ht="18" customHeight="1" x14ac:dyDescent="0.2">
      <c r="B31" s="1241" t="s">
        <v>153</v>
      </c>
      <c r="C31" s="1913">
        <f>IF(SUM(C32:C37)=0,"NO",SUM(C32:C37))</f>
        <v>99875.336521383448</v>
      </c>
      <c r="D31" s="3077" t="s">
        <v>1814</v>
      </c>
      <c r="E31" s="628"/>
      <c r="F31" s="628"/>
      <c r="G31" s="628"/>
      <c r="H31" s="1913">
        <f>IF(SUM(H32:H36)=0,"NO",SUM(H32:H36))</f>
        <v>6137.8958821052029</v>
      </c>
      <c r="I31" s="1913">
        <f t="shared" ref="I31:K31" si="10">IF(SUM(I32:I37)=0,"NO",SUM(I32:I37))</f>
        <v>0.24909111787626328</v>
      </c>
      <c r="J31" s="1913">
        <f t="shared" si="10"/>
        <v>7.2138578835819492E-2</v>
      </c>
      <c r="K31" s="3065" t="str">
        <f t="shared" si="10"/>
        <v>NO</v>
      </c>
    </row>
    <row r="32" spans="2:11" ht="18" customHeight="1" x14ac:dyDescent="0.2">
      <c r="B32" s="282" t="s">
        <v>132</v>
      </c>
      <c r="C32" s="691">
        <v>45747.41551543714</v>
      </c>
      <c r="D32" s="3077" t="s">
        <v>1814</v>
      </c>
      <c r="E32" s="1913">
        <f>IFERROR(H32*1000/$C32,"NA")</f>
        <v>66.206278624755896</v>
      </c>
      <c r="F32" s="1913">
        <f t="shared" ref="F32:G37" si="11">IFERROR(I32*1000000/$C32,"NA")</f>
        <v>4.3120931027587606</v>
      </c>
      <c r="G32" s="1913">
        <f t="shared" si="11"/>
        <v>0.98435059042192719</v>
      </c>
      <c r="H32" s="691">
        <v>3028.7661379775122</v>
      </c>
      <c r="I32" s="691">
        <v>0.19726711491315563</v>
      </c>
      <c r="J32" s="691">
        <v>4.5031495472897781E-2</v>
      </c>
      <c r="K32" s="3093" t="s">
        <v>2146</v>
      </c>
    </row>
    <row r="33" spans="2:11" ht="18" customHeight="1" x14ac:dyDescent="0.2">
      <c r="B33" s="282" t="s">
        <v>133</v>
      </c>
      <c r="C33" s="691">
        <v>8325.9447674418607</v>
      </c>
      <c r="D33" s="3077" t="s">
        <v>1814</v>
      </c>
      <c r="E33" s="1913">
        <f t="shared" ref="E33:E37" si="12">IFERROR(H33*1000/$C33,"NA")</f>
        <v>90.603805699821081</v>
      </c>
      <c r="F33" s="1913">
        <f t="shared" si="11"/>
        <v>0.95238095238095244</v>
      </c>
      <c r="G33" s="1913">
        <f t="shared" si="11"/>
        <v>0.66666666666666652</v>
      </c>
      <c r="H33" s="691">
        <v>754.36228197674427</v>
      </c>
      <c r="I33" s="691">
        <v>7.9294712070874865E-3</v>
      </c>
      <c r="J33" s="691">
        <v>5.5506298449612395E-3</v>
      </c>
      <c r="K33" s="3093" t="s">
        <v>2146</v>
      </c>
    </row>
    <row r="34" spans="2:11" ht="18" customHeight="1" x14ac:dyDescent="0.2">
      <c r="B34" s="282" t="s">
        <v>134</v>
      </c>
      <c r="C34" s="691">
        <v>45801.976238504445</v>
      </c>
      <c r="D34" s="3077" t="s">
        <v>1814</v>
      </c>
      <c r="E34" s="1913">
        <f t="shared" si="12"/>
        <v>51.411918339264993</v>
      </c>
      <c r="F34" s="1913">
        <f t="shared" si="11"/>
        <v>0.95835453753017896</v>
      </c>
      <c r="G34" s="1913">
        <f t="shared" si="11"/>
        <v>0.47064461598140728</v>
      </c>
      <c r="H34" s="691">
        <v>2354.7674621509464</v>
      </c>
      <c r="I34" s="691">
        <v>4.3894531756020171E-2</v>
      </c>
      <c r="J34" s="691">
        <v>2.1556453517960466E-2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42000</v>
      </c>
      <c r="D38" s="3077" t="s">
        <v>1814</v>
      </c>
      <c r="E38" s="628"/>
      <c r="F38" s="628"/>
      <c r="G38" s="628"/>
      <c r="H38" s="1913">
        <f>IF(SUM(H39:H43)=0,"NO",SUM(H39:H43))</f>
        <v>1284.2316811103292</v>
      </c>
      <c r="I38" s="1913">
        <f t="shared" ref="I38:K38" si="13">IF(SUM(I39:I44)=0,"NO",SUM(I39:I44))</f>
        <v>0.19814849350649355</v>
      </c>
      <c r="J38" s="1913">
        <f t="shared" si="13"/>
        <v>0.13256174112554114</v>
      </c>
      <c r="K38" s="3065" t="str">
        <f t="shared" si="13"/>
        <v>NO</v>
      </c>
    </row>
    <row r="39" spans="2:11" ht="18" customHeight="1" x14ac:dyDescent="0.2">
      <c r="B39" s="282" t="s">
        <v>132</v>
      </c>
      <c r="C39" s="691">
        <v>1400.0000000000002</v>
      </c>
      <c r="D39" s="3077" t="s">
        <v>1814</v>
      </c>
      <c r="E39" s="1913">
        <f>IFERROR(H39*1000/$C39,"NA")</f>
        <v>67.121428571428567</v>
      </c>
      <c r="F39" s="1913">
        <f t="shared" ref="F39:G44" si="14">IFERROR(I39*1000000/$C39,"NA")</f>
        <v>0.60380952380952368</v>
      </c>
      <c r="G39" s="1913">
        <f t="shared" si="14"/>
        <v>1.0750748299319728</v>
      </c>
      <c r="H39" s="691">
        <v>93.97</v>
      </c>
      <c r="I39" s="691">
        <v>8.4533333333333335E-4</v>
      </c>
      <c r="J39" s="691">
        <v>1.5051047619047621E-3</v>
      </c>
      <c r="K39" s="3093" t="s">
        <v>2146</v>
      </c>
    </row>
    <row r="40" spans="2:11" ht="18" customHeight="1" x14ac:dyDescent="0.2">
      <c r="B40" s="282" t="s">
        <v>133</v>
      </c>
      <c r="C40" s="691">
        <v>2600</v>
      </c>
      <c r="D40" s="3077" t="s">
        <v>1814</v>
      </c>
      <c r="E40" s="1913">
        <f t="shared" ref="E40:E44" si="15">IFERROR(H40*1000/$C40,"NA")</f>
        <v>90</v>
      </c>
      <c r="F40" s="1913">
        <f t="shared" si="14"/>
        <v>0.95238095238095222</v>
      </c>
      <c r="G40" s="1913">
        <f t="shared" si="14"/>
        <v>0.66666666666666663</v>
      </c>
      <c r="H40" s="691">
        <v>234</v>
      </c>
      <c r="I40" s="691">
        <v>2.4761904761904756E-3</v>
      </c>
      <c r="J40" s="691">
        <v>1.7333333333333333E-3</v>
      </c>
      <c r="K40" s="3093" t="s">
        <v>2146</v>
      </c>
    </row>
    <row r="41" spans="2:11" ht="18" customHeight="1" x14ac:dyDescent="0.2">
      <c r="B41" s="282" t="s">
        <v>134</v>
      </c>
      <c r="C41" s="691">
        <v>18600</v>
      </c>
      <c r="D41" s="3077" t="s">
        <v>1814</v>
      </c>
      <c r="E41" s="1913">
        <f t="shared" si="15"/>
        <v>51.411918339265014</v>
      </c>
      <c r="F41" s="1913">
        <f t="shared" si="14"/>
        <v>0.9136363636363638</v>
      </c>
      <c r="G41" s="1913">
        <f t="shared" si="14"/>
        <v>0.86863636363636376</v>
      </c>
      <c r="H41" s="691">
        <v>956.26168111032928</v>
      </c>
      <c r="I41" s="691">
        <v>1.6993636363636367E-2</v>
      </c>
      <c r="J41" s="691">
        <v>1.6156636363636366E-2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19400.000000000004</v>
      </c>
      <c r="D44" s="3076" t="s">
        <v>1814</v>
      </c>
      <c r="E44" s="1913">
        <f t="shared" si="15"/>
        <v>94</v>
      </c>
      <c r="F44" s="1913">
        <f t="shared" si="14"/>
        <v>9.1666666666666661</v>
      </c>
      <c r="G44" s="1913">
        <f t="shared" si="14"/>
        <v>5.833333333333333</v>
      </c>
      <c r="H44" s="691">
        <v>1823.6000000000001</v>
      </c>
      <c r="I44" s="691">
        <v>0.17783333333333337</v>
      </c>
      <c r="J44" s="691">
        <v>0.11316666666666669</v>
      </c>
      <c r="K44" s="3093" t="s">
        <v>2146</v>
      </c>
    </row>
    <row r="45" spans="2:11" ht="18" customHeight="1" x14ac:dyDescent="0.2">
      <c r="B45" s="1241" t="s">
        <v>155</v>
      </c>
      <c r="C45" s="1913">
        <f>IF(SUM(C46:C51)=0,"NO",SUM(C46:C51))</f>
        <v>149327.53460516001</v>
      </c>
      <c r="D45" s="3076" t="s">
        <v>1814</v>
      </c>
      <c r="E45" s="628"/>
      <c r="F45" s="628"/>
      <c r="G45" s="628"/>
      <c r="H45" s="1913">
        <f>IF(SUM(H46:H50)=0,"NO",SUM(H46:H50))</f>
        <v>3124.7244401639905</v>
      </c>
      <c r="I45" s="1913">
        <f t="shared" ref="I45:K45" si="16">IF(SUM(I46:I51)=0,"NO",SUM(I46:I51))</f>
        <v>0.97393321081284412</v>
      </c>
      <c r="J45" s="1913">
        <f t="shared" si="16"/>
        <v>0.63888266990697229</v>
      </c>
      <c r="K45" s="3065" t="str">
        <f t="shared" si="16"/>
        <v>NO</v>
      </c>
    </row>
    <row r="46" spans="2:11" ht="18" customHeight="1" x14ac:dyDescent="0.2">
      <c r="B46" s="282" t="s">
        <v>132</v>
      </c>
      <c r="C46" s="691">
        <v>6000</v>
      </c>
      <c r="D46" s="3076" t="s">
        <v>1814</v>
      </c>
      <c r="E46" s="1913">
        <f>IFERROR(H46*1000/$C46,"NA")</f>
        <v>64.558333333333337</v>
      </c>
      <c r="F46" s="1913">
        <f t="shared" ref="F46:G51" si="17">IFERROR(I46*1000000/$C46,"NA")</f>
        <v>1.5901372549019606</v>
      </c>
      <c r="G46" s="1913">
        <f t="shared" si="17"/>
        <v>2.69940350140056</v>
      </c>
      <c r="H46" s="691">
        <v>387.35</v>
      </c>
      <c r="I46" s="691">
        <v>9.5408235294117648E-3</v>
      </c>
      <c r="J46" s="691">
        <v>1.619642100840336E-2</v>
      </c>
      <c r="K46" s="3093" t="s">
        <v>2146</v>
      </c>
    </row>
    <row r="47" spans="2:11" ht="18" customHeight="1" x14ac:dyDescent="0.2">
      <c r="B47" s="282" t="s">
        <v>133</v>
      </c>
      <c r="C47" s="691">
        <v>14109.011627906977</v>
      </c>
      <c r="D47" s="3076" t="s">
        <v>1814</v>
      </c>
      <c r="E47" s="1913">
        <f t="shared" ref="E47:E51" si="18">IFERROR(H47*1000/$C47,"NA")</f>
        <v>90.893478932728968</v>
      </c>
      <c r="F47" s="1913">
        <f t="shared" si="17"/>
        <v>0.95238095238095233</v>
      </c>
      <c r="G47" s="1913">
        <f t="shared" si="17"/>
        <v>0.67523809523809519</v>
      </c>
      <c r="H47" s="691">
        <v>1282.4171511627908</v>
      </c>
      <c r="I47" s="691">
        <v>1.3437153931339978E-2</v>
      </c>
      <c r="J47" s="691">
        <v>9.5269421373200443E-3</v>
      </c>
      <c r="K47" s="3093" t="s">
        <v>2146</v>
      </c>
    </row>
    <row r="48" spans="2:11" ht="18" customHeight="1" x14ac:dyDescent="0.2">
      <c r="B48" s="282" t="s">
        <v>134</v>
      </c>
      <c r="C48" s="691">
        <v>28299.999999999996</v>
      </c>
      <c r="D48" s="3076" t="s">
        <v>1814</v>
      </c>
      <c r="E48" s="1913">
        <f t="shared" si="18"/>
        <v>51.411918339265014</v>
      </c>
      <c r="F48" s="1913">
        <f t="shared" si="17"/>
        <v>0.9140909090909094</v>
      </c>
      <c r="G48" s="1913">
        <f t="shared" si="17"/>
        <v>0.86459090909090919</v>
      </c>
      <c r="H48" s="691">
        <v>1454.9572890011996</v>
      </c>
      <c r="I48" s="691">
        <v>2.586877272727273E-2</v>
      </c>
      <c r="J48" s="691">
        <v>2.4467922727272724E-2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100918.52297725304</v>
      </c>
      <c r="D51" s="3076" t="s">
        <v>1814</v>
      </c>
      <c r="E51" s="1913">
        <f t="shared" si="18"/>
        <v>94.960364065168676</v>
      </c>
      <c r="F51" s="1913">
        <f t="shared" si="17"/>
        <v>9.1666666666666679</v>
      </c>
      <c r="G51" s="1913">
        <f t="shared" si="17"/>
        <v>5.8333333333333339</v>
      </c>
      <c r="H51" s="691">
        <v>9583.2596828390397</v>
      </c>
      <c r="I51" s="691">
        <v>0.9250864606248197</v>
      </c>
      <c r="J51" s="691">
        <v>0.58869138403397614</v>
      </c>
      <c r="K51" s="3093" t="s">
        <v>2146</v>
      </c>
    </row>
    <row r="52" spans="2:11" ht="18" customHeight="1" x14ac:dyDescent="0.2">
      <c r="B52" s="1241" t="s">
        <v>156</v>
      </c>
      <c r="C52" s="3094">
        <f>IF(SUM(C53:C58)=0,"NO",SUM(C53:C58))</f>
        <v>78600</v>
      </c>
      <c r="D52" s="3076" t="s">
        <v>1814</v>
      </c>
      <c r="E52" s="628"/>
      <c r="F52" s="628"/>
      <c r="G52" s="628"/>
      <c r="H52" s="1913">
        <f>IF(SUM(H53:H57)=0,"NO",SUM(H53:H57))</f>
        <v>4903.621410804295</v>
      </c>
      <c r="I52" s="1913">
        <f t="shared" ref="I52:K52" si="19">IF(SUM(I53:I58)=0,"NO",SUM(I53:I58))</f>
        <v>0.15728478170495788</v>
      </c>
      <c r="J52" s="1913">
        <f t="shared" si="19"/>
        <v>3.7315256887193116E-2</v>
      </c>
      <c r="K52" s="3065" t="str">
        <f t="shared" si="19"/>
        <v>NO</v>
      </c>
    </row>
    <row r="53" spans="2:11" ht="18" customHeight="1" x14ac:dyDescent="0.2">
      <c r="B53" s="282" t="s">
        <v>132</v>
      </c>
      <c r="C53" s="2147">
        <v>4500</v>
      </c>
      <c r="D53" s="3076" t="s">
        <v>1814</v>
      </c>
      <c r="E53" s="1913">
        <f>IFERROR(H53*1000/$C53,"NA")</f>
        <v>65.597777777777779</v>
      </c>
      <c r="F53" s="1913">
        <f t="shared" ref="F53:G58" si="20">IFERROR(I53*1000000/$C53,"NA")</f>
        <v>17.104727824766972</v>
      </c>
      <c r="G53" s="1913">
        <f t="shared" si="20"/>
        <v>1.7736524684382964</v>
      </c>
      <c r="H53" s="691">
        <v>295.19</v>
      </c>
      <c r="I53" s="691">
        <v>7.6971275211451376E-2</v>
      </c>
      <c r="J53" s="691">
        <v>7.9814361079723339E-3</v>
      </c>
      <c r="K53" s="3093" t="s">
        <v>2146</v>
      </c>
    </row>
    <row r="54" spans="2:11" ht="18" customHeight="1" x14ac:dyDescent="0.2">
      <c r="B54" s="282" t="s">
        <v>133</v>
      </c>
      <c r="C54" s="691">
        <v>21900.000000000004</v>
      </c>
      <c r="D54" s="3076" t="s">
        <v>1814</v>
      </c>
      <c r="E54" s="1913">
        <f t="shared" ref="E54:E58" si="21">IFERROR(H54*1000/$C54,"NA")</f>
        <v>90</v>
      </c>
      <c r="F54" s="1913">
        <f t="shared" si="20"/>
        <v>0.95238095238095244</v>
      </c>
      <c r="G54" s="1913">
        <f t="shared" si="20"/>
        <v>0.82741813437703871</v>
      </c>
      <c r="H54" s="691">
        <v>1971.0000000000005</v>
      </c>
      <c r="I54" s="691">
        <v>2.0857142857142862E-2</v>
      </c>
      <c r="J54" s="691">
        <v>1.8120457142857149E-2</v>
      </c>
      <c r="K54" s="3093" t="s">
        <v>2146</v>
      </c>
    </row>
    <row r="55" spans="2:11" ht="18" customHeight="1" x14ac:dyDescent="0.2">
      <c r="B55" s="282" t="s">
        <v>134</v>
      </c>
      <c r="C55" s="691">
        <v>51299.999999999993</v>
      </c>
      <c r="D55" s="3076" t="s">
        <v>1814</v>
      </c>
      <c r="E55" s="1913">
        <f t="shared" si="21"/>
        <v>51.411918339265</v>
      </c>
      <c r="F55" s="1913">
        <f t="shared" si="20"/>
        <v>0.99817472975367716</v>
      </c>
      <c r="G55" s="1913">
        <f t="shared" si="20"/>
        <v>0.11624490519227362</v>
      </c>
      <c r="H55" s="691">
        <v>2637.431410804294</v>
      </c>
      <c r="I55" s="691">
        <v>5.1206363636363633E-2</v>
      </c>
      <c r="J55" s="691">
        <v>5.9633636363636364E-3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899.99999999999989</v>
      </c>
      <c r="D58" s="3076" t="s">
        <v>1814</v>
      </c>
      <c r="E58" s="3095">
        <f t="shared" si="21"/>
        <v>94.000000000000028</v>
      </c>
      <c r="F58" s="3095">
        <f t="shared" si="20"/>
        <v>9.1666666666666696</v>
      </c>
      <c r="G58" s="3095">
        <f t="shared" si="20"/>
        <v>5.8333333333333348</v>
      </c>
      <c r="H58" s="2190">
        <v>84.600000000000009</v>
      </c>
      <c r="I58" s="691">
        <v>8.2500000000000021E-3</v>
      </c>
      <c r="J58" s="691">
        <v>5.2500000000000012E-3</v>
      </c>
      <c r="K58" s="3093" t="s">
        <v>2146</v>
      </c>
    </row>
    <row r="59" spans="2:11" ht="18" customHeight="1" x14ac:dyDescent="0.2">
      <c r="B59" s="1241" t="s">
        <v>157</v>
      </c>
      <c r="C59" s="3094">
        <f>IF(SUM(C61,C68,C75,C82,C89,C96,C103,C112)=0,"NO",SUM(C61,C68,C75,C82,C89,C96,C103,C112))</f>
        <v>104460.60857908848</v>
      </c>
      <c r="D59" s="3076" t="s">
        <v>1814</v>
      </c>
      <c r="E59" s="1914"/>
      <c r="F59" s="1914"/>
      <c r="G59" s="1914"/>
      <c r="H59" s="1913">
        <f>IF(SUM(H61,H68,H75,H82,H89,H96,H103,H112)=0,"NO",SUM(H61,H68,H75,H82,H89,H96,H103,H112))</f>
        <v>6987.3542767048702</v>
      </c>
      <c r="I59" s="1913">
        <f>IF(SUM(I61,I68,I75,I82,I89,I96,I103,I112)=0,"NO",SUM(I61,I68,I75,I82,I89,I96,I103,I112))</f>
        <v>0.36613796473812155</v>
      </c>
      <c r="J59" s="1913">
        <f>IF(SUM(J61,J68,J75,J82,J89,J96,J103,J112)=0,"NO",SUM(J61,J68,J75,J82,J89,J96,J103,J112))</f>
        <v>0.2822023209649403</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7899.9999999999991</v>
      </c>
      <c r="D61" s="3076" t="s">
        <v>1814</v>
      </c>
      <c r="E61" s="628"/>
      <c r="F61" s="628"/>
      <c r="G61" s="628"/>
      <c r="H61" s="1913">
        <f>IF(SUM(H62:H66)=0,"NO",SUM(H62:H66))</f>
        <v>417.66985287307557</v>
      </c>
      <c r="I61" s="1913">
        <f t="shared" ref="I61:K61" si="22">IF(SUM(I62:I67)=0,"NO",SUM(I62:I67))</f>
        <v>5.8983380952380961E-2</v>
      </c>
      <c r="J61" s="1913">
        <f t="shared" si="22"/>
        <v>7.9137666666666655E-3</v>
      </c>
      <c r="K61" s="3065" t="str">
        <f t="shared" si="22"/>
        <v>NO</v>
      </c>
    </row>
    <row r="62" spans="2:11" ht="18" customHeight="1" x14ac:dyDescent="0.2">
      <c r="B62" s="158" t="s">
        <v>132</v>
      </c>
      <c r="C62" s="691">
        <v>1200.0000000000002</v>
      </c>
      <c r="D62" s="3076" t="s">
        <v>1814</v>
      </c>
      <c r="E62" s="1913">
        <f>IFERROR(H62*1000/$C62,"NA")</f>
        <v>61.008333333333333</v>
      </c>
      <c r="F62" s="1913">
        <f t="shared" ref="F62:G67" si="23">IFERROR(I62*1000000/$C62,"NA")</f>
        <v>43.960317460317462</v>
      </c>
      <c r="G62" s="1913">
        <f t="shared" si="23"/>
        <v>2.0555555555555549</v>
      </c>
      <c r="H62" s="691">
        <v>73.210000000000008</v>
      </c>
      <c r="I62" s="691">
        <v>5.275238095238096E-2</v>
      </c>
      <c r="J62" s="691">
        <v>2.4666666666666665E-3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6699.9999999999991</v>
      </c>
      <c r="D64" s="3076" t="s">
        <v>1814</v>
      </c>
      <c r="E64" s="1913">
        <f t="shared" si="24"/>
        <v>51.411918339265007</v>
      </c>
      <c r="F64" s="1913">
        <f t="shared" si="23"/>
        <v>0.92999999999999994</v>
      </c>
      <c r="G64" s="1913">
        <f t="shared" si="23"/>
        <v>0.81300000000000006</v>
      </c>
      <c r="H64" s="691">
        <v>344.45985287307553</v>
      </c>
      <c r="I64" s="691">
        <v>6.2309999999999987E-3</v>
      </c>
      <c r="J64" s="691">
        <v>5.4470999999999999E-3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54059.000000000007</v>
      </c>
      <c r="D75" s="3077" t="s">
        <v>1814</v>
      </c>
      <c r="E75" s="628"/>
      <c r="F75" s="628"/>
      <c r="G75" s="628"/>
      <c r="H75" s="1913">
        <f>IF(SUM(H76:H80)=0,"NO",SUM(H76:H80))</f>
        <v>3796.9653399971248</v>
      </c>
      <c r="I75" s="1913">
        <f t="shared" ref="I75:K75" si="28">IF(SUM(I76:I81)=0,"NO",SUM(I76:I81))</f>
        <v>0.16502632117882118</v>
      </c>
      <c r="J75" s="1913">
        <f t="shared" si="28"/>
        <v>0.15613249268598065</v>
      </c>
      <c r="K75" s="3065" t="str">
        <f t="shared" si="28"/>
        <v>NO</v>
      </c>
    </row>
    <row r="76" spans="2:11" ht="18" customHeight="1" x14ac:dyDescent="0.2">
      <c r="B76" s="158" t="s">
        <v>132</v>
      </c>
      <c r="C76" s="691">
        <v>40818.000000000007</v>
      </c>
      <c r="D76" s="3077" t="s">
        <v>1814</v>
      </c>
      <c r="E76" s="1913">
        <f>IFERROR(H76*1000/$C76,"NA")</f>
        <v>69.916282032436655</v>
      </c>
      <c r="F76" s="1913">
        <f t="shared" ref="F76:G81" si="29">IFERROR(I76*1000000/$C76,"NA")</f>
        <v>3.5791378848339006</v>
      </c>
      <c r="G76" s="1913">
        <f t="shared" si="29"/>
        <v>3.5597857840136231</v>
      </c>
      <c r="H76" s="691">
        <v>2853.8427999999999</v>
      </c>
      <c r="I76" s="691">
        <v>0.14609325018315017</v>
      </c>
      <c r="J76" s="691">
        <v>0.1453033361318681</v>
      </c>
      <c r="K76" s="3093" t="s">
        <v>2146</v>
      </c>
    </row>
    <row r="77" spans="2:11" ht="18" customHeight="1" x14ac:dyDescent="0.2">
      <c r="B77" s="158" t="s">
        <v>133</v>
      </c>
      <c r="C77" s="691">
        <v>8061</v>
      </c>
      <c r="D77" s="3077" t="s">
        <v>1814</v>
      </c>
      <c r="E77" s="1913">
        <f t="shared" ref="E77:E81" si="30">IFERROR(H77*1000/$C77,"NA")</f>
        <v>83.960898523723145</v>
      </c>
      <c r="F77" s="1913">
        <f t="shared" si="29"/>
        <v>1.0792974134991253</v>
      </c>
      <c r="G77" s="1913">
        <f t="shared" si="29"/>
        <v>0.77481681829727989</v>
      </c>
      <c r="H77" s="691">
        <v>676.80880299973228</v>
      </c>
      <c r="I77" s="691">
        <v>8.7002164502164494E-3</v>
      </c>
      <c r="J77" s="691">
        <v>6.2457983722943727E-3</v>
      </c>
      <c r="K77" s="3093" t="s">
        <v>2146</v>
      </c>
    </row>
    <row r="78" spans="2:11" ht="18" customHeight="1" x14ac:dyDescent="0.2">
      <c r="B78" s="158" t="s">
        <v>134</v>
      </c>
      <c r="C78" s="691">
        <v>5180</v>
      </c>
      <c r="D78" s="3077" t="s">
        <v>1814</v>
      </c>
      <c r="E78" s="1913">
        <f t="shared" si="30"/>
        <v>51.411918339264993</v>
      </c>
      <c r="F78" s="1913">
        <f t="shared" si="29"/>
        <v>1.9754545454545456</v>
      </c>
      <c r="G78" s="1913">
        <f t="shared" si="29"/>
        <v>0.88481818181818161</v>
      </c>
      <c r="H78" s="691">
        <v>266.31373699739265</v>
      </c>
      <c r="I78" s="691">
        <v>1.0232854545454546E-2</v>
      </c>
      <c r="J78" s="691">
        <v>4.5833581818181812E-3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30101.608579088475</v>
      </c>
      <c r="D89" s="3077" t="s">
        <v>1814</v>
      </c>
      <c r="E89" s="628"/>
      <c r="F89" s="628"/>
      <c r="G89" s="628"/>
      <c r="H89" s="1913">
        <f>IF(SUM(H90:H94)=0,"NO",SUM(H90:H94))</f>
        <v>2076.4387086080933</v>
      </c>
      <c r="I89" s="1913">
        <f t="shared" ref="I89:K89" si="36">IF(SUM(I90:I95)=0,"NO",SUM(I90:I95))</f>
        <v>0.10725394658960342</v>
      </c>
      <c r="J89" s="1913">
        <f t="shared" si="36"/>
        <v>0.10633598412311547</v>
      </c>
      <c r="K89" s="3065" t="str">
        <f t="shared" si="36"/>
        <v>NO</v>
      </c>
    </row>
    <row r="90" spans="2:11" ht="18" customHeight="1" x14ac:dyDescent="0.2">
      <c r="B90" s="158" t="s">
        <v>132</v>
      </c>
      <c r="C90" s="691">
        <v>28601.608579088475</v>
      </c>
      <c r="D90" s="3077" t="s">
        <v>1814</v>
      </c>
      <c r="E90" s="1913">
        <f>IFERROR(H90*1000/$C90,"NA")</f>
        <v>69.902391173934234</v>
      </c>
      <c r="F90" s="1913">
        <f t="shared" ref="F90:G95" si="37">IFERROR(I90*1000000/$C90,"NA")</f>
        <v>3.7022501700616504</v>
      </c>
      <c r="G90" s="1913">
        <f t="shared" si="37"/>
        <v>3.6701553854641471</v>
      </c>
      <c r="H90" s="691">
        <v>1999.3208310991959</v>
      </c>
      <c r="I90" s="691">
        <v>0.10589031022596707</v>
      </c>
      <c r="J90" s="691">
        <v>0.10497234775947911</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1500.0000000000002</v>
      </c>
      <c r="D92" s="3077" t="s">
        <v>1814</v>
      </c>
      <c r="E92" s="1913">
        <f t="shared" si="38"/>
        <v>51.411918339265</v>
      </c>
      <c r="F92" s="1913">
        <f t="shared" si="37"/>
        <v>0.90909090909090917</v>
      </c>
      <c r="G92" s="1913">
        <f t="shared" si="37"/>
        <v>0.90909090909090906</v>
      </c>
      <c r="H92" s="691">
        <v>77.117877508897507</v>
      </c>
      <c r="I92" s="691">
        <v>1.363636363636364E-3</v>
      </c>
      <c r="J92" s="691">
        <v>1.3636363636363637E-3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8600.0000000000018</v>
      </c>
      <c r="D96" s="3076" t="s">
        <v>1814</v>
      </c>
      <c r="E96" s="628"/>
      <c r="F96" s="628"/>
      <c r="G96" s="628"/>
      <c r="H96" s="1913">
        <f>IF(SUM(H97:H101)=0,"NO",SUM(H97:H101))</f>
        <v>494.67223654092857</v>
      </c>
      <c r="I96" s="1913">
        <f t="shared" ref="I96:K96" si="42">IF(SUM(I97:I102)=0,"NO",SUM(I97:I102))</f>
        <v>8.0673246753246754E-3</v>
      </c>
      <c r="J96" s="1913">
        <f t="shared" si="42"/>
        <v>7.9139844155844182E-3</v>
      </c>
      <c r="K96" s="3065" t="str">
        <f t="shared" si="42"/>
        <v>NO</v>
      </c>
    </row>
    <row r="97" spans="2:11" ht="18" customHeight="1" x14ac:dyDescent="0.2">
      <c r="B97" s="158" t="s">
        <v>132</v>
      </c>
      <c r="C97" s="691">
        <v>600</v>
      </c>
      <c r="D97" s="3076" t="s">
        <v>1814</v>
      </c>
      <c r="E97" s="1913">
        <f>IFERROR(H97*1000/$C97,"NA")</f>
        <v>64.050000000000011</v>
      </c>
      <c r="F97" s="1913">
        <f t="shared" ref="F97:G102" si="43">IFERROR(I97*1000000/$C97,"NA")</f>
        <v>1.1613275613275615</v>
      </c>
      <c r="G97" s="1913">
        <f t="shared" si="43"/>
        <v>2.2575699855699858</v>
      </c>
      <c r="H97" s="691">
        <v>38.430000000000007</v>
      </c>
      <c r="I97" s="691">
        <v>6.9679653679653687E-4</v>
      </c>
      <c r="J97" s="691">
        <v>1.3545419913419915E-3</v>
      </c>
      <c r="K97" s="3093" t="s">
        <v>2146</v>
      </c>
    </row>
    <row r="98" spans="2:11" ht="18" customHeight="1" x14ac:dyDescent="0.2">
      <c r="B98" s="158" t="s">
        <v>133</v>
      </c>
      <c r="C98" s="691">
        <v>1100</v>
      </c>
      <c r="D98" s="3076" t="s">
        <v>1814</v>
      </c>
      <c r="E98" s="1913">
        <f t="shared" ref="E98:E102" si="44">IFERROR(H98*1000/$C98,"NA")</f>
        <v>92.272727272727266</v>
      </c>
      <c r="F98" s="1913">
        <f t="shared" si="43"/>
        <v>0.95238095238095244</v>
      </c>
      <c r="G98" s="1913">
        <f t="shared" si="43"/>
        <v>0.66666666666666685</v>
      </c>
      <c r="H98" s="691">
        <v>101.5</v>
      </c>
      <c r="I98" s="691">
        <v>1.0476190476190477E-3</v>
      </c>
      <c r="J98" s="691">
        <v>7.3333333333333345E-4</v>
      </c>
      <c r="K98" s="3093" t="s">
        <v>2146</v>
      </c>
    </row>
    <row r="99" spans="2:11" ht="18" customHeight="1" x14ac:dyDescent="0.2">
      <c r="B99" s="158" t="s">
        <v>134</v>
      </c>
      <c r="C99" s="691">
        <v>6900.0000000000018</v>
      </c>
      <c r="D99" s="3076" t="s">
        <v>1814</v>
      </c>
      <c r="E99" s="1913">
        <f t="shared" si="44"/>
        <v>51.411918339264993</v>
      </c>
      <c r="F99" s="1913">
        <f t="shared" si="43"/>
        <v>0.91636363636363627</v>
      </c>
      <c r="G99" s="1913">
        <f t="shared" si="43"/>
        <v>0.84436363636363643</v>
      </c>
      <c r="H99" s="691">
        <v>354.74223654092856</v>
      </c>
      <c r="I99" s="691">
        <v>6.3229090909090917E-3</v>
      </c>
      <c r="J99" s="691">
        <v>5.8261090909090931E-3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3800.0000000000009</v>
      </c>
      <c r="D112" s="3076" t="s">
        <v>1814</v>
      </c>
      <c r="E112" s="628"/>
      <c r="F112" s="628"/>
      <c r="G112" s="628"/>
      <c r="H112" s="1913">
        <f>H113</f>
        <v>201.60813868564802</v>
      </c>
      <c r="I112" s="1913">
        <f>I113</f>
        <v>2.680699134199134E-2</v>
      </c>
      <c r="J112" s="1913">
        <f>J113</f>
        <v>3.9060930735930728E-3</v>
      </c>
      <c r="K112" s="3065" t="str">
        <f>K113</f>
        <v>NO</v>
      </c>
    </row>
    <row r="113" spans="2:11" ht="18" customHeight="1" x14ac:dyDescent="0.2">
      <c r="B113" s="3090" t="s">
        <v>2259</v>
      </c>
      <c r="C113" s="3099">
        <f>IF(SUM(C114:C119)=0,"NO",SUM(C114:C119))</f>
        <v>3800.0000000000009</v>
      </c>
      <c r="D113" s="3099" t="s">
        <v>1814</v>
      </c>
      <c r="E113" s="628"/>
      <c r="F113" s="628"/>
      <c r="G113" s="628"/>
      <c r="H113" s="3099">
        <f>IF(SUM(H114:H118)=0,"NO",SUM(H114:H118))</f>
        <v>201.60813868564802</v>
      </c>
      <c r="I113" s="3099">
        <f t="shared" ref="I113" si="51">IF(SUM(I114:I119)=0,"NO",SUM(I114:I119))</f>
        <v>2.680699134199134E-2</v>
      </c>
      <c r="J113" s="3099">
        <f t="shared" ref="J113" si="52">IF(SUM(J114:J119)=0,"NO",SUM(J114:J119))</f>
        <v>3.9060930735930728E-3</v>
      </c>
      <c r="K113" s="3100" t="str">
        <f t="shared" ref="K113" si="53">IF(SUM(K114:K119)=0,"NO",SUM(K114:K119))</f>
        <v>NO</v>
      </c>
    </row>
    <row r="114" spans="2:11" ht="18" customHeight="1" x14ac:dyDescent="0.2">
      <c r="B114" s="158" t="s">
        <v>132</v>
      </c>
      <c r="C114" s="691">
        <v>599.99999999999989</v>
      </c>
      <c r="D114" s="3076" t="s">
        <v>1814</v>
      </c>
      <c r="E114" s="1913">
        <f>IFERROR(H114*1000/$C114,"NA")</f>
        <v>61.816666666666663</v>
      </c>
      <c r="F114" s="1913">
        <f t="shared" ref="F114:G119" si="54">IFERROR(I114*1000000/$C114,"NA")</f>
        <v>39.818470418470426</v>
      </c>
      <c r="G114" s="1913">
        <f t="shared" si="54"/>
        <v>1.7178066378066374</v>
      </c>
      <c r="H114" s="691">
        <v>37.089999999999996</v>
      </c>
      <c r="I114" s="691">
        <v>2.389108225108225E-2</v>
      </c>
      <c r="J114" s="691">
        <v>1.0306839826839823E-3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3200.0000000000009</v>
      </c>
      <c r="D116" s="3076" t="s">
        <v>1814</v>
      </c>
      <c r="E116" s="1913">
        <f t="shared" si="55"/>
        <v>51.411918339264986</v>
      </c>
      <c r="F116" s="1913">
        <f t="shared" si="54"/>
        <v>0.91122159090909072</v>
      </c>
      <c r="G116" s="1913">
        <f t="shared" si="54"/>
        <v>0.89856534090909068</v>
      </c>
      <c r="H116" s="691">
        <v>164.51813868564801</v>
      </c>
      <c r="I116" s="691">
        <v>2.915909090909091E-3</v>
      </c>
      <c r="J116" s="691">
        <v>2.8754090909090908E-3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5329.802598613066</v>
      </c>
      <c r="D10" s="4413">
        <f t="shared" ref="D10:F10" si="0">SUM(D11:D16)</f>
        <v>28282.699730371347</v>
      </c>
      <c r="E10" s="4413">
        <f t="shared" si="0"/>
        <v>2066.3825595208632</v>
      </c>
      <c r="F10" s="4413">
        <f t="shared" si="0"/>
        <v>2688.3449687183584</v>
      </c>
      <c r="G10" s="4414" t="s">
        <v>2146</v>
      </c>
      <c r="H10" s="4415" t="s">
        <v>2312</v>
      </c>
      <c r="I10" s="4416" t="s">
        <v>2313</v>
      </c>
    </row>
    <row r="11" spans="2:9" ht="18" customHeight="1" x14ac:dyDescent="0.2">
      <c r="B11" s="1558" t="s">
        <v>1476</v>
      </c>
      <c r="C11" s="4417">
        <f>Table1!D10</f>
        <v>1437.3141428118861</v>
      </c>
      <c r="D11" s="4418">
        <f>Table1!G10</f>
        <v>5373.7651745530002</v>
      </c>
      <c r="E11" s="4418">
        <f>Table1!H10</f>
        <v>803.01343513019606</v>
      </c>
      <c r="F11" s="4418">
        <f>Table1!F10</f>
        <v>1759.2899128733818</v>
      </c>
      <c r="G11" s="4419" t="s">
        <v>2146</v>
      </c>
      <c r="H11" s="4420" t="s">
        <v>2154</v>
      </c>
      <c r="I11" s="4421" t="s">
        <v>2154</v>
      </c>
    </row>
    <row r="12" spans="2:9" ht="18" customHeight="1" x14ac:dyDescent="0.2">
      <c r="B12" s="2393" t="s">
        <v>1551</v>
      </c>
      <c r="C12" s="4422">
        <f>'Table2(I)'!D10</f>
        <v>4.1110775527353738</v>
      </c>
      <c r="D12" s="4388">
        <f>'Table2(I)'!L10</f>
        <v>11.157493179011729</v>
      </c>
      <c r="E12" s="4388">
        <f>'Table2(I)'!M10</f>
        <v>223.72721530468368</v>
      </c>
      <c r="F12" s="4388">
        <f>'Table2(I)'!K10</f>
        <v>41.934228405168355</v>
      </c>
      <c r="G12" s="4423" t="s">
        <v>2146</v>
      </c>
      <c r="H12" s="4424" t="s">
        <v>2146</v>
      </c>
      <c r="I12" s="4425" t="s">
        <v>2146</v>
      </c>
    </row>
    <row r="13" spans="2:9" ht="18" customHeight="1" x14ac:dyDescent="0.2">
      <c r="B13" s="2393" t="s">
        <v>1552</v>
      </c>
      <c r="C13" s="4422">
        <f>Table3!D10</f>
        <v>2597.8429655193859</v>
      </c>
      <c r="D13" s="4388">
        <f>Table3!G10</f>
        <v>556.07375783828945</v>
      </c>
      <c r="E13" s="4388">
        <f>Table3!H10</f>
        <v>32.43763587390022</v>
      </c>
      <c r="F13" s="4388">
        <f>Table3!F10</f>
        <v>33.668988453595595</v>
      </c>
      <c r="G13" s="4426"/>
      <c r="H13" s="4424" t="s">
        <v>2154</v>
      </c>
      <c r="I13" s="4425" t="s">
        <v>2153</v>
      </c>
    </row>
    <row r="14" spans="2:9" ht="18" customHeight="1" x14ac:dyDescent="0.2">
      <c r="B14" s="2393" t="s">
        <v>1553</v>
      </c>
      <c r="C14" s="4422">
        <f>Table4!D10</f>
        <v>616.48152481139596</v>
      </c>
      <c r="D14" s="4388">
        <f>Table4!G10</f>
        <v>22341.703304801045</v>
      </c>
      <c r="E14" s="4423">
        <f>Table4!H10</f>
        <v>586.63358184870594</v>
      </c>
      <c r="F14" s="4423">
        <f>Table4!F10</f>
        <v>853.45183898621258</v>
      </c>
      <c r="G14" s="4426"/>
      <c r="H14" s="4427" t="s">
        <v>2154</v>
      </c>
      <c r="I14" s="4425" t="s">
        <v>2154</v>
      </c>
    </row>
    <row r="15" spans="2:9" ht="18" customHeight="1" x14ac:dyDescent="0.2">
      <c r="B15" s="2393" t="s">
        <v>1554</v>
      </c>
      <c r="C15" s="4422">
        <f>Table5!D10</f>
        <v>674.05288791766293</v>
      </c>
      <c r="D15" s="4388" t="str">
        <f>Table5!G10</f>
        <v>NO</v>
      </c>
      <c r="E15" s="4423">
        <f>Table5!H10</f>
        <v>420.57069136337736</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1998</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353814.30038947851</v>
      </c>
      <c r="D10" s="4193">
        <f>SUM(D11,D22,D30,D41,D50,D56)</f>
        <v>353346.18960000842</v>
      </c>
      <c r="E10" s="3840">
        <f>IF(D10="NO",IF(C10="NO","NA",-C10),IF(C10="NO",D10,D10-C10))</f>
        <v>-468.11078947008355</v>
      </c>
      <c r="F10" s="3838">
        <f>IF(E10="NA","NA",E10/C10*100)</f>
        <v>-0.13230408973147426</v>
      </c>
      <c r="G10" s="3841">
        <f>IF(E10="NA","NA",E10/Table8s2!$G$35*100)</f>
        <v>-9.6709687822419316E-2</v>
      </c>
      <c r="H10" s="3842">
        <f>IF(E10="NA","NA",E10/Table8s2!$G$34*100)</f>
        <v>-8.9277394669965204E-2</v>
      </c>
      <c r="I10" s="4194">
        <f>SUM(I11,I22,I30,I41,I50,I56)</f>
        <v>151474.19393803057</v>
      </c>
      <c r="J10" s="4193">
        <f>SUM(J11,J22,J30,J41,J50,J56)</f>
        <v>149234.47276116585</v>
      </c>
      <c r="K10" s="3840">
        <f t="shared" ref="K10:K12" si="0">IF(J10="NO",IF(I10="NO","NA",-I10),IF(I10="NO",J10,J10-I10))</f>
        <v>-2239.7211768647248</v>
      </c>
      <c r="L10" s="3838">
        <f t="shared" ref="L10:L12" si="1">IF(K10="NA","NA",K10/I10*100)</f>
        <v>-1.4786156761335958</v>
      </c>
      <c r="M10" s="3841">
        <f>IF(K10="NA","NA",K10/Table8s2!$G$35*100)</f>
        <v>-0.46271681981321217</v>
      </c>
      <c r="N10" s="3842">
        <f>IF(K10="NA","NA",K10/Table8s2!$G$34*100)</f>
        <v>-0.42715629708938807</v>
      </c>
      <c r="O10" s="4194">
        <f>SUM(O11,O22,O30,O41,O50,O56)</f>
        <v>19491.425397453429</v>
      </c>
      <c r="P10" s="4193">
        <f>SUM(P11,P22,P30,P41,P50,P56)</f>
        <v>19404.214708440275</v>
      </c>
      <c r="Q10" s="3840">
        <f t="shared" ref="Q10:Q12" si="2">IF(P10="NO",IF(O10="NO","NA",-O10),IF(O10="NO",P10,P10-O10))</f>
        <v>-87.210689013154479</v>
      </c>
      <c r="R10" s="3838">
        <f t="shared" ref="R10:R12" si="3">IF(Q10="NA","NA",Q10/O10*100)</f>
        <v>-0.44743104844732712</v>
      </c>
      <c r="S10" s="3841">
        <f>IF(Q10="NA","NA",Q10/Table8s2!$G$35*100)</f>
        <v>-1.8017355504212917E-2</v>
      </c>
      <c r="T10" s="3842">
        <f>IF(Q10="NA","NA",Q10/Table8s2!$G$34*100)</f>
        <v>-1.6632693109425931E-2</v>
      </c>
    </row>
    <row r="11" spans="2:20" ht="18" customHeight="1" x14ac:dyDescent="0.2">
      <c r="B11" s="1405" t="s">
        <v>1476</v>
      </c>
      <c r="C11" s="3839">
        <f>SUM(C12,C18,C21)</f>
        <v>311278.97756070097</v>
      </c>
      <c r="D11" s="3839">
        <f>Summary2!C11</f>
        <v>311286.34421070101</v>
      </c>
      <c r="E11" s="3843">
        <f t="shared" ref="E11:E38" si="4">IF(D11="NO",IF(C11="NO","NA",-C11),IF(C11="NO",D11,D11-C11))</f>
        <v>7.3666500000399537</v>
      </c>
      <c r="F11" s="3839">
        <f t="shared" ref="F11:F38" si="5">IF(E11="NA","NA",E11/C11*100)</f>
        <v>2.3665748512051122E-3</v>
      </c>
      <c r="G11" s="3844">
        <f>IF(E11="NA","NA",E11/Table8s2!$G$35*100)</f>
        <v>1.5219183958724361E-3</v>
      </c>
      <c r="H11" s="3845">
        <f>IF(E11="NA","NA",E11/Table8s2!$G$34*100)</f>
        <v>1.4049565492681246E-3</v>
      </c>
      <c r="I11" s="3846">
        <f>SUM(I12,I18,I21)</f>
        <v>40244.403575854434</v>
      </c>
      <c r="J11" s="3839">
        <f>Summary2!D11</f>
        <v>40244.795998732807</v>
      </c>
      <c r="K11" s="3843">
        <f t="shared" si="0"/>
        <v>0.39242287837259937</v>
      </c>
      <c r="L11" s="3839">
        <f t="shared" si="1"/>
        <v>9.7509925232944087E-4</v>
      </c>
      <c r="M11" s="3844">
        <f>IF(K11="NA","NA",K11/Table8s2!$G$35*100)</f>
        <v>8.1072888973038126E-5</v>
      </c>
      <c r="N11" s="3845">
        <f>IF(K11="NA","NA",K11/Table8s2!$G$34*100)</f>
        <v>7.4842308654441577E-5</v>
      </c>
      <c r="O11" s="3846">
        <f>SUM(O12,O18,O21)</f>
        <v>2492.6493414857305</v>
      </c>
      <c r="P11" s="3839">
        <f>Summary2!E11</f>
        <v>2492.7379503037987</v>
      </c>
      <c r="Q11" s="3843">
        <f t="shared" si="2"/>
        <v>8.8608818068223627E-2</v>
      </c>
      <c r="R11" s="3839">
        <f t="shared" si="3"/>
        <v>3.5548047851531664E-3</v>
      </c>
      <c r="S11" s="3844">
        <f>IF(Q11="NA","NA",Q11/Table8s2!$G$35*100)</f>
        <v>1.8306202989664503E-5</v>
      </c>
      <c r="T11" s="3845">
        <f>IF(Q11="NA","NA",Q11/Table8s2!$G$34*100)</f>
        <v>1.6899342206726713E-5</v>
      </c>
    </row>
    <row r="12" spans="2:20" ht="18" customHeight="1" x14ac:dyDescent="0.2">
      <c r="B12" s="620" t="s">
        <v>131</v>
      </c>
      <c r="C12" s="3839">
        <f>SUM(C13:C17)</f>
        <v>304377.01891825278</v>
      </c>
      <c r="D12" s="3839">
        <f>Summary2!C12</f>
        <v>304384.38556825282</v>
      </c>
      <c r="E12" s="3839">
        <f t="shared" si="4"/>
        <v>7.3666500000399537</v>
      </c>
      <c r="F12" s="3847">
        <f t="shared" si="5"/>
        <v>2.4202385667028404E-3</v>
      </c>
      <c r="G12" s="3844">
        <f>IF(E12="NA","NA",E12/Table8s2!$G$35*100)</f>
        <v>1.5219183958724361E-3</v>
      </c>
      <c r="H12" s="3845">
        <f>IF(E12="NA","NA",E12/Table8s2!$G$34*100)</f>
        <v>1.4049565492681246E-3</v>
      </c>
      <c r="I12" s="3846">
        <f>SUM(I13:I17)</f>
        <v>3435.8319417583248</v>
      </c>
      <c r="J12" s="3839">
        <f>Summary2!D12</f>
        <v>3435.8889067349046</v>
      </c>
      <c r="K12" s="3839">
        <f t="shared" si="0"/>
        <v>5.6964976579820359E-2</v>
      </c>
      <c r="L12" s="3847">
        <f t="shared" si="1"/>
        <v>1.6579674892558307E-3</v>
      </c>
      <c r="M12" s="3844">
        <f>IF(K12="NA","NA",K12/Table8s2!$G$35*100)</f>
        <v>1.1768720622915557E-5</v>
      </c>
      <c r="N12" s="3845">
        <f>IF(K12="NA","NA",K12/Table8s2!$G$34*100)</f>
        <v>1.0864275746002578E-5</v>
      </c>
      <c r="O12" s="3848">
        <f>SUM(O13:O17)</f>
        <v>2469.9060477175658</v>
      </c>
      <c r="P12" s="3847">
        <f>Summary2!E12</f>
        <v>2469.994656535634</v>
      </c>
      <c r="Q12" s="3839">
        <f t="shared" si="2"/>
        <v>8.8608818068223627E-2</v>
      </c>
      <c r="R12" s="3847">
        <f t="shared" si="3"/>
        <v>3.5875380017028106E-3</v>
      </c>
      <c r="S12" s="3844">
        <f>IF(Q12="NA","NA",Q12/Table8s2!$G$35*100)</f>
        <v>1.8306202989664503E-5</v>
      </c>
      <c r="T12" s="3845">
        <f>IF(Q12="NA","NA",Q12/Table8s2!$G$34*100)</f>
        <v>1.6899342206726713E-5</v>
      </c>
    </row>
    <row r="13" spans="2:20" ht="18" customHeight="1" x14ac:dyDescent="0.2">
      <c r="B13" s="1392" t="s">
        <v>1478</v>
      </c>
      <c r="C13" s="3847">
        <v>181214.84033435362</v>
      </c>
      <c r="D13" s="3839">
        <f>Summary2!C13</f>
        <v>181214.84033435362</v>
      </c>
      <c r="E13" s="3839">
        <f t="shared" si="4"/>
        <v>0</v>
      </c>
      <c r="F13" s="3847">
        <f t="shared" si="5"/>
        <v>0</v>
      </c>
      <c r="G13" s="3844">
        <f>IF(E13="NA","NA",E13/Table8s2!$G$35*100)</f>
        <v>0</v>
      </c>
      <c r="H13" s="3845">
        <f>IF(E13="NA","NA",E13/Table8s2!$G$34*100)</f>
        <v>0</v>
      </c>
      <c r="I13" s="3846">
        <v>254.32394955811984</v>
      </c>
      <c r="J13" s="3839">
        <f>Summary2!D13</f>
        <v>254.32394955811986</v>
      </c>
      <c r="K13" s="3839">
        <f t="shared" ref="K13" si="6">IF(J13="NO",IF(I13="NO","NA",-I13),IF(I13="NO",J13,J13-I13))</f>
        <v>2.8421709430404007E-14</v>
      </c>
      <c r="L13" s="3847">
        <f t="shared" ref="L13" si="7">IF(K13="NA","NA",K13/I13*100)</f>
        <v>1.117539637135467E-14</v>
      </c>
      <c r="M13" s="3844">
        <f>IF(K13="NA","NA",K13/Table8s2!$G$35*100)</f>
        <v>5.8718036589275114E-18</v>
      </c>
      <c r="N13" s="3845">
        <f>IF(K13="NA","NA",K13/Table8s2!$G$34*100)</f>
        <v>5.4205462191668068E-18</v>
      </c>
      <c r="O13" s="3848">
        <v>596.6538812645839</v>
      </c>
      <c r="P13" s="3847">
        <f>Summary2!E13</f>
        <v>596.65388126458379</v>
      </c>
      <c r="Q13" s="3839">
        <f t="shared" ref="Q13" si="8">IF(P13="NO",IF(O13="NO","NA",-O13),IF(O13="NO",P13,P13-O13))</f>
        <v>-1.1368683772161603E-13</v>
      </c>
      <c r="R13" s="3847">
        <f t="shared" ref="R13" si="9">IF(Q13="NA","NA",Q13/O13*100)</f>
        <v>-1.9054068244835908E-14</v>
      </c>
      <c r="S13" s="3844">
        <f>IF(Q13="NA","NA",Q13/Table8s2!$G$35*100)</f>
        <v>-2.3487214635710046E-17</v>
      </c>
      <c r="T13" s="3845">
        <f>IF(Q13="NA","NA",Q13/Table8s2!$G$34*100)</f>
        <v>-2.1682184876667227E-17</v>
      </c>
    </row>
    <row r="14" spans="2:20" ht="18" customHeight="1" x14ac:dyDescent="0.2">
      <c r="B14" s="1392" t="s">
        <v>1517</v>
      </c>
      <c r="C14" s="3847">
        <v>37440.664739964952</v>
      </c>
      <c r="D14" s="3839">
        <f>Summary2!C14</f>
        <v>37440.664739964937</v>
      </c>
      <c r="E14" s="3839">
        <f t="shared" si="4"/>
        <v>-1.4551915228366852E-11</v>
      </c>
      <c r="F14" s="3847">
        <f t="shared" si="5"/>
        <v>-3.8866604878502144E-14</v>
      </c>
      <c r="G14" s="3844">
        <f>IF(E14="NA","NA",E14/Table8s2!$G$35*100)</f>
        <v>-3.0063634733708858E-15</v>
      </c>
      <c r="H14" s="3845">
        <f>IF(E14="NA","NA",E14/Table8s2!$G$34*100)</f>
        <v>-2.7753196642134051E-15</v>
      </c>
      <c r="I14" s="3846">
        <v>63.843782171816741</v>
      </c>
      <c r="J14" s="3839">
        <f>Summary2!D14</f>
        <v>63.843782171816748</v>
      </c>
      <c r="K14" s="3839">
        <f t="shared" ref="K14:K20" si="10">IF(J14="NO",IF(I14="NO","NA",-I14),IF(I14="NO",J14,J14-I14))</f>
        <v>7.1054273576010019E-15</v>
      </c>
      <c r="L14" s="3847">
        <f t="shared" ref="L14:L20" si="11">IF(K14="NA","NA",K14/I14*100)</f>
        <v>1.1129396028698356E-14</v>
      </c>
      <c r="M14" s="3844">
        <f>IF(K14="NA","NA",K14/Table8s2!$G$35*100)</f>
        <v>1.4679509147318779E-18</v>
      </c>
      <c r="N14" s="3845">
        <f>IF(K14="NA","NA",K14/Table8s2!$G$34*100)</f>
        <v>1.3551365547917017E-18</v>
      </c>
      <c r="O14" s="3848">
        <v>352.18343627631947</v>
      </c>
      <c r="P14" s="3847">
        <f>Summary2!E14</f>
        <v>352.18343627631947</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69393.713052566833</v>
      </c>
      <c r="D15" s="3839">
        <f>Summary2!C15</f>
        <v>69419.203221923817</v>
      </c>
      <c r="E15" s="3839">
        <f t="shared" si="4"/>
        <v>25.490169356984552</v>
      </c>
      <c r="F15" s="3847">
        <f t="shared" si="5"/>
        <v>3.673267827256245E-2</v>
      </c>
      <c r="G15" s="3844">
        <f>IF(E15="NA","NA",E15/Table8s2!$G$35*100)</f>
        <v>5.2661600127721902E-3</v>
      </c>
      <c r="H15" s="3845">
        <f>IF(E15="NA","NA",E15/Table8s2!$G$34*100)</f>
        <v>4.8614472494084666E-3</v>
      </c>
      <c r="I15" s="3846">
        <v>820.64288607755077</v>
      </c>
      <c r="J15" s="3839">
        <f>Summary2!D15</f>
        <v>820.7858196586584</v>
      </c>
      <c r="K15" s="3839">
        <f t="shared" si="10"/>
        <v>0.14293358110762711</v>
      </c>
      <c r="L15" s="3847">
        <f t="shared" si="11"/>
        <v>1.7417269257132131E-2</v>
      </c>
      <c r="M15" s="3844">
        <f>IF(K15="NA","NA",K15/Table8s2!$G$35*100)</f>
        <v>2.9529466782654631E-5</v>
      </c>
      <c r="N15" s="3845">
        <f>IF(K15="NA","NA",K15/Table8s2!$G$34*100)</f>
        <v>2.7260080346754393E-5</v>
      </c>
      <c r="O15" s="3848">
        <v>1357.3269413031569</v>
      </c>
      <c r="P15" s="3847">
        <f>Summary2!E15</f>
        <v>1357.5603186513529</v>
      </c>
      <c r="Q15" s="3839">
        <f t="shared" si="12"/>
        <v>0.23337734819597244</v>
      </c>
      <c r="R15" s="3847">
        <f t="shared" si="13"/>
        <v>1.7193893460326445E-2</v>
      </c>
      <c r="S15" s="3844">
        <f>IF(Q15="NA","NA",Q15/Table8s2!$G$35*100)</f>
        <v>4.8214762395044017E-5</v>
      </c>
      <c r="T15" s="3845">
        <f>IF(Q15="NA","NA",Q15/Table8s2!$G$34*100)</f>
        <v>4.4509381305882692E-5</v>
      </c>
    </row>
    <row r="16" spans="2:20" ht="18" customHeight="1" x14ac:dyDescent="0.2">
      <c r="B16" s="1392" t="s">
        <v>1481</v>
      </c>
      <c r="C16" s="3847">
        <v>15625.538535883335</v>
      </c>
      <c r="D16" s="3839">
        <f>Summary2!C16</f>
        <v>15631.368149487873</v>
      </c>
      <c r="E16" s="3839">
        <f t="shared" si="4"/>
        <v>5.8296136045373714</v>
      </c>
      <c r="F16" s="3847">
        <f t="shared" si="5"/>
        <v>3.7308241192135112E-2</v>
      </c>
      <c r="G16" s="3844">
        <f>IF(E16="NA","NA",E16/Table8s2!$G$35*100)</f>
        <v>1.2043732477483697E-3</v>
      </c>
      <c r="H16" s="3845">
        <f>IF(E16="NA","NA",E16/Table8s2!$G$34*100)</f>
        <v>1.1118152502634059E-3</v>
      </c>
      <c r="I16" s="3846">
        <v>2296.0114512758823</v>
      </c>
      <c r="J16" s="3839">
        <f>Summary2!D16</f>
        <v>2296.0143148512561</v>
      </c>
      <c r="K16" s="3839">
        <f t="shared" si="10"/>
        <v>2.8635753737944469E-3</v>
      </c>
      <c r="L16" s="3847">
        <f t="shared" si="11"/>
        <v>1.2471955974797827E-4</v>
      </c>
      <c r="M16" s="3844">
        <f>IF(K16="NA","NA",K16/Table8s2!$G$35*100)</f>
        <v>5.9160242977763554E-7</v>
      </c>
      <c r="N16" s="3845">
        <f>IF(K16="NA","NA",K16/Table8s2!$G$34*100)</f>
        <v>5.4613684316665053E-7</v>
      </c>
      <c r="O16" s="3848">
        <v>158.64078019257553</v>
      </c>
      <c r="P16" s="3847">
        <f>Summary2!E16</f>
        <v>158.64084041856555</v>
      </c>
      <c r="Q16" s="3839">
        <f t="shared" si="12"/>
        <v>6.0225990011986141E-5</v>
      </c>
      <c r="R16" s="3847">
        <f t="shared" si="13"/>
        <v>3.7963750517916799E-5</v>
      </c>
      <c r="S16" s="3844">
        <f>IF(Q16="NA","NA",Q16/Table8s2!$G$35*100)</f>
        <v>1.2442432056412912E-8</v>
      </c>
      <c r="T16" s="3845">
        <f>IF(Q16="NA","NA",Q16/Table8s2!$G$34*100)</f>
        <v>1.1486211385505986E-8</v>
      </c>
    </row>
    <row r="17" spans="2:20" ht="18" customHeight="1" x14ac:dyDescent="0.2">
      <c r="B17" s="1392" t="s">
        <v>1482</v>
      </c>
      <c r="C17" s="3847">
        <v>702.26225548403738</v>
      </c>
      <c r="D17" s="3839">
        <f>Summary2!C17</f>
        <v>678.30912252252608</v>
      </c>
      <c r="E17" s="3839">
        <f t="shared" si="4"/>
        <v>-23.953132961511301</v>
      </c>
      <c r="F17" s="3847">
        <f t="shared" si="5"/>
        <v>-3.4108529647519639</v>
      </c>
      <c r="G17" s="3844">
        <f>IF(E17="NA","NA",E17/Table8s2!$G$35*100)</f>
        <v>-4.9486148646541829E-3</v>
      </c>
      <c r="H17" s="3845">
        <f>IF(E17="NA","NA",E17/Table8s2!$G$34*100)</f>
        <v>-4.5683059504093414E-3</v>
      </c>
      <c r="I17" s="3846">
        <v>1.0098726749553022</v>
      </c>
      <c r="J17" s="3839">
        <f>Summary2!D17</f>
        <v>0.92104049505352115</v>
      </c>
      <c r="K17" s="3839">
        <f t="shared" si="10"/>
        <v>-8.883217990178105E-2</v>
      </c>
      <c r="L17" s="3847">
        <f t="shared" si="11"/>
        <v>-8.7963742464576367</v>
      </c>
      <c r="M17" s="3844">
        <f>IF(K17="NA","NA",K17/Table8s2!$G$35*100)</f>
        <v>-1.8352348589553873E-5</v>
      </c>
      <c r="N17" s="3845">
        <f>IF(K17="NA","NA",K17/Table8s2!$G$34*100)</f>
        <v>-1.694194144395277E-5</v>
      </c>
      <c r="O17" s="3848">
        <v>5.1010086809300947</v>
      </c>
      <c r="P17" s="3847">
        <f>Summary2!E17</f>
        <v>4.956179924812103</v>
      </c>
      <c r="Q17" s="3839">
        <f t="shared" si="12"/>
        <v>-0.14482875611799173</v>
      </c>
      <c r="R17" s="3847">
        <f t="shared" si="13"/>
        <v>-2.8392179895601415</v>
      </c>
      <c r="S17" s="3844">
        <f>IF(Q17="NA","NA",Q17/Table8s2!$G$35*100)</f>
        <v>-2.9921001837483626E-5</v>
      </c>
      <c r="T17" s="3845">
        <f>IF(Q17="NA","NA",Q17/Table8s2!$G$34*100)</f>
        <v>-2.762152531058553E-5</v>
      </c>
    </row>
    <row r="18" spans="2:20" ht="18" customHeight="1" x14ac:dyDescent="0.2">
      <c r="B18" s="620" t="s">
        <v>99</v>
      </c>
      <c r="C18" s="3847">
        <f>SUM(C19:C20)</f>
        <v>6901.9586424481713</v>
      </c>
      <c r="D18" s="3839">
        <f>Summary2!C18</f>
        <v>6901.9586424481731</v>
      </c>
      <c r="E18" s="3839">
        <f t="shared" si="4"/>
        <v>1.8189894035458565E-12</v>
      </c>
      <c r="F18" s="3847">
        <f t="shared" si="5"/>
        <v>2.6354684195856737E-14</v>
      </c>
      <c r="G18" s="3844">
        <f>IF(E18="NA","NA",E18/Table8s2!$G$35*100)</f>
        <v>3.7579543417136073E-16</v>
      </c>
      <c r="H18" s="3845">
        <f>IF(E18="NA","NA",E18/Table8s2!$G$34*100)</f>
        <v>3.4691495802667563E-16</v>
      </c>
      <c r="I18" s="3846">
        <f>SUM(I19:I20)</f>
        <v>36808.571634096108</v>
      </c>
      <c r="J18" s="3839">
        <f>Summary2!D18</f>
        <v>36808.907091997906</v>
      </c>
      <c r="K18" s="3839">
        <f t="shared" si="10"/>
        <v>0.33545790179778123</v>
      </c>
      <c r="L18" s="3847">
        <f t="shared" si="11"/>
        <v>9.1135810737910726E-4</v>
      </c>
      <c r="M18" s="3844">
        <f>IF(K18="NA","NA",K18/Table8s2!$G$35*100)</f>
        <v>6.9304168351156013E-5</v>
      </c>
      <c r="N18" s="3845">
        <f>IF(K18="NA","NA",K18/Table8s2!$G$34*100)</f>
        <v>6.3978032909393014E-5</v>
      </c>
      <c r="O18" s="3848">
        <f>SUM(O19:O20)</f>
        <v>22.743293768164673</v>
      </c>
      <c r="P18" s="3847">
        <f>Summary2!E18</f>
        <v>22.743293768164673</v>
      </c>
      <c r="Q18" s="3839">
        <f t="shared" si="12"/>
        <v>0</v>
      </c>
      <c r="R18" s="3847">
        <f t="shared" si="13"/>
        <v>0</v>
      </c>
      <c r="S18" s="3844">
        <f>IF(Q18="NA","NA",Q18/Table8s2!$G$35*100)</f>
        <v>0</v>
      </c>
      <c r="T18" s="3845">
        <f>IF(Q18="NA","NA",Q18/Table8s2!$G$34*100)</f>
        <v>0</v>
      </c>
    </row>
    <row r="19" spans="2:20" ht="18" customHeight="1" x14ac:dyDescent="0.2">
      <c r="B19" s="1392" t="s">
        <v>1483</v>
      </c>
      <c r="C19" s="3847">
        <v>1320.7717624290267</v>
      </c>
      <c r="D19" s="3839">
        <f>Summary2!C19</f>
        <v>1320.7717624290267</v>
      </c>
      <c r="E19" s="3839">
        <f t="shared" si="4"/>
        <v>0</v>
      </c>
      <c r="F19" s="3847">
        <f t="shared" si="5"/>
        <v>0</v>
      </c>
      <c r="G19" s="3844">
        <f>IF(E19="NA","NA",E19/Table8s2!$G$35*100)</f>
        <v>0</v>
      </c>
      <c r="H19" s="3845">
        <f>IF(E19="NA","NA",E19/Table8s2!$G$34*100)</f>
        <v>0</v>
      </c>
      <c r="I19" s="3846">
        <v>28389.74376360247</v>
      </c>
      <c r="J19" s="3839">
        <f>Summary2!D19</f>
        <v>28389.74376360247</v>
      </c>
      <c r="K19" s="3839">
        <f t="shared" si="10"/>
        <v>0</v>
      </c>
      <c r="L19" s="3847">
        <f t="shared" si="11"/>
        <v>0</v>
      </c>
      <c r="M19" s="3844">
        <f>IF(K19="NA","NA",K19/Table8s2!$G$35*100)</f>
        <v>0</v>
      </c>
      <c r="N19" s="3845">
        <f>IF(K19="NA","NA",K19/Table8s2!$G$34*100)</f>
        <v>0</v>
      </c>
      <c r="O19" s="3848">
        <v>5.0036222327229157E-3</v>
      </c>
      <c r="P19" s="3847">
        <f>Summary2!E19</f>
        <v>5.0036222327229157E-3</v>
      </c>
      <c r="Q19" s="3839">
        <f t="shared" si="12"/>
        <v>0</v>
      </c>
      <c r="R19" s="3847">
        <f t="shared" si="13"/>
        <v>0</v>
      </c>
      <c r="S19" s="3844">
        <f>IF(Q19="NA","NA",Q19/Table8s2!$G$35*100)</f>
        <v>0</v>
      </c>
      <c r="T19" s="3845">
        <f>IF(Q19="NA","NA",Q19/Table8s2!$G$34*100)</f>
        <v>0</v>
      </c>
    </row>
    <row r="20" spans="2:20" ht="18" customHeight="1" x14ac:dyDescent="0.2">
      <c r="B20" s="1393" t="s">
        <v>1484</v>
      </c>
      <c r="C20" s="3849">
        <v>5581.1868800191451</v>
      </c>
      <c r="D20" s="3850">
        <f>Summary2!C20</f>
        <v>5581.186880019146</v>
      </c>
      <c r="E20" s="3850">
        <f t="shared" si="4"/>
        <v>9.0949470177292824E-13</v>
      </c>
      <c r="F20" s="3849">
        <f t="shared" si="5"/>
        <v>1.6295722062791928E-14</v>
      </c>
      <c r="G20" s="3851">
        <f>IF(E20="NA","NA",E20/Table8s2!$G$35*100)</f>
        <v>1.8789771708568037E-16</v>
      </c>
      <c r="H20" s="3852">
        <f>IF(E20="NA","NA",E20/Table8s2!$G$34*100)</f>
        <v>1.7345747901333782E-16</v>
      </c>
      <c r="I20" s="3853">
        <v>8418.8278704936401</v>
      </c>
      <c r="J20" s="3850">
        <f>Summary2!D20</f>
        <v>8419.1633283954434</v>
      </c>
      <c r="K20" s="3839">
        <f t="shared" si="10"/>
        <v>0.3354579018032382</v>
      </c>
      <c r="L20" s="3847">
        <f t="shared" si="11"/>
        <v>3.9846152809342155E-3</v>
      </c>
      <c r="M20" s="3844">
        <f>IF(K20="NA","NA",K20/Table8s2!$G$35*100)</f>
        <v>6.9304168352283407E-5</v>
      </c>
      <c r="N20" s="3845">
        <f>IF(K20="NA","NA",K20/Table8s2!$G$34*100)</f>
        <v>6.3978032910433754E-5</v>
      </c>
      <c r="O20" s="3854">
        <v>22.738290145931948</v>
      </c>
      <c r="P20" s="3849">
        <f>Summary2!E20</f>
        <v>22.738290145931948</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21439.654699055136</v>
      </c>
      <c r="D22" s="3839">
        <f>Summary2!C22</f>
        <v>21491.85503553482</v>
      </c>
      <c r="E22" s="3861">
        <f t="shared" si="4"/>
        <v>52.200336479683756</v>
      </c>
      <c r="F22" s="3861">
        <f t="shared" si="5"/>
        <v>0.2434756399410867</v>
      </c>
      <c r="G22" s="3862">
        <f>IF(E22="NA","NA",E22/Table8s2!$G$35*100)</f>
        <v>1.0784366348167868E-2</v>
      </c>
      <c r="H22" s="3863">
        <f>IF(E22="NA","NA",E22/Table8s2!$G$34*100)</f>
        <v>9.955570661119198E-3</v>
      </c>
      <c r="I22" s="3839">
        <f>SUM(I23:I29)</f>
        <v>115.11017147659048</v>
      </c>
      <c r="J22" s="3839">
        <f>Summary2!D22</f>
        <v>115.11017147659047</v>
      </c>
      <c r="K22" s="3861">
        <f t="shared" ref="K22" si="14">IF(J22="NO",IF(I22="NO","NA",-I22),IF(I22="NO",J22,J22-I22))</f>
        <v>-1.4210854715202004E-14</v>
      </c>
      <c r="L22" s="3861">
        <f t="shared" ref="L22" si="15">IF(K22="NA","NA",K22/I22*100)</f>
        <v>-1.2345437881735769E-14</v>
      </c>
      <c r="M22" s="3862">
        <f>IF(K22="NA","NA",K22/Table8s2!$G$35*100)</f>
        <v>-2.9359018294637557E-18</v>
      </c>
      <c r="N22" s="3863">
        <f>IF(K22="NA","NA",K22/Table8s2!$G$34*100)</f>
        <v>-2.7102731095834034E-18</v>
      </c>
      <c r="O22" s="3839">
        <f>SUM(O23:O29)</f>
        <v>1513.667886282296</v>
      </c>
      <c r="P22" s="3839">
        <f>Summary2!E22</f>
        <v>1513.6678862822962</v>
      </c>
      <c r="Q22" s="3861">
        <f t="shared" ref="Q22" si="16">IF(P22="NO",IF(O22="NO","NA",-O22),IF(O22="NO",P22,P22-O22))</f>
        <v>2.2737367544323206E-13</v>
      </c>
      <c r="R22" s="3864">
        <f t="shared" ref="R22" si="17">IF(Q22="NA","NA",Q22/O22*100)</f>
        <v>1.5021371431858953E-14</v>
      </c>
      <c r="S22" s="3865">
        <f>IF(Q22="NA","NA",Q22/Table8s2!$G$35*100)</f>
        <v>4.6974429271420091E-17</v>
      </c>
      <c r="T22" s="3866">
        <f>IF(Q22="NA","NA",Q22/Table8s2!$G$34*100)</f>
        <v>4.3364369753334454E-17</v>
      </c>
    </row>
    <row r="23" spans="2:20" ht="18" customHeight="1" x14ac:dyDescent="0.2">
      <c r="B23" s="1394" t="s">
        <v>1487</v>
      </c>
      <c r="C23" s="3839">
        <v>6357.0664970637499</v>
      </c>
      <c r="D23" s="3839">
        <f>Summary2!C23</f>
        <v>6357.0664970637499</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1550.4621241970467</v>
      </c>
      <c r="D24" s="3839">
        <f>Summary2!C24</f>
        <v>1604.0621241970471</v>
      </c>
      <c r="E24" s="3839">
        <f t="shared" si="4"/>
        <v>53.600000000000364</v>
      </c>
      <c r="F24" s="3847">
        <f t="shared" si="5"/>
        <v>3.4570338200140638</v>
      </c>
      <c r="G24" s="3844">
        <f>IF(E24="NA","NA",E24/Table8s2!$G$35*100)</f>
        <v>1.1073530847579387E-2</v>
      </c>
      <c r="H24" s="3845">
        <f>IF(E24="NA","NA",E24/Table8s2!$G$34*100)</f>
        <v>1.0222512409353447E-2</v>
      </c>
      <c r="I24" s="3846">
        <v>14.3024</v>
      </c>
      <c r="J24" s="3839">
        <f>Summary2!D24</f>
        <v>14.3024</v>
      </c>
      <c r="K24" s="3839">
        <f t="shared" ref="K24" si="18">IF(J24="NO",IF(I24="NO","NA",-I24),IF(I24="NO",J24,J24-I24))</f>
        <v>0</v>
      </c>
      <c r="L24" s="3847">
        <f t="shared" ref="L24" si="19">IF(K24="NA","NA",K24/I24*100)</f>
        <v>0</v>
      </c>
      <c r="M24" s="3844">
        <f>IF(K24="NA","NA",K24/Table8s2!$G$35*100)</f>
        <v>0</v>
      </c>
      <c r="N24" s="3845">
        <f>IF(K24="NA","NA",K24/Table8s2!$G$34*100)</f>
        <v>0</v>
      </c>
      <c r="O24" s="3848">
        <v>1492.0841844596775</v>
      </c>
      <c r="P24" s="3847">
        <f>Summary2!E24</f>
        <v>1492.0841844596775</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13111.731997972498</v>
      </c>
      <c r="D25" s="3839">
        <f>Summary2!C25</f>
        <v>13111.731997972498</v>
      </c>
      <c r="E25" s="3839">
        <f t="shared" si="4"/>
        <v>0</v>
      </c>
      <c r="F25" s="3847">
        <f t="shared" si="5"/>
        <v>0</v>
      </c>
      <c r="G25" s="3844">
        <f>IF(E25="NA","NA",E25/Table8s2!$G$35*100)</f>
        <v>0</v>
      </c>
      <c r="H25" s="3845">
        <f>IF(E25="NA","NA",E25/Table8s2!$G$34*100)</f>
        <v>0</v>
      </c>
      <c r="I25" s="3846">
        <v>100.80777147659047</v>
      </c>
      <c r="J25" s="3839">
        <f>Summary2!D25</f>
        <v>100.80777147659046</v>
      </c>
      <c r="K25" s="3839">
        <f t="shared" ref="K25:K26" si="22">IF(J25="NO",IF(I25="NO","NA",-I25),IF(I25="NO",J25,J25-I25))</f>
        <v>-1.4210854715202004E-14</v>
      </c>
      <c r="L25" s="3847">
        <f t="shared" ref="L25:L26" si="23">IF(K25="NA","NA",K25/I25*100)</f>
        <v>-1.4096983305004456E-14</v>
      </c>
      <c r="M25" s="3844">
        <f>IF(K25="NA","NA",K25/Table8s2!$G$35*100)</f>
        <v>-2.9359018294637557E-18</v>
      </c>
      <c r="N25" s="3845">
        <f>IF(K25="NA","NA",K25/Table8s2!$G$34*100)</f>
        <v>-2.7102731095834034E-18</v>
      </c>
      <c r="O25" s="3848">
        <v>21.583701822618448</v>
      </c>
      <c r="P25" s="3847">
        <f>Summary2!E25</f>
        <v>21.583701822618451</v>
      </c>
      <c r="Q25" s="3839">
        <f t="shared" ref="Q25:Q29" si="24">IF(P25="NO",IF(O25="NO","NA",-O25),IF(O25="NO",P25,P25-O25))</f>
        <v>3.5527136788005009E-15</v>
      </c>
      <c r="R25" s="3847">
        <f t="shared" ref="R25:R29" si="25">IF(Q25="NA","NA",Q25/O25*100)</f>
        <v>1.6460168454873049E-14</v>
      </c>
      <c r="S25" s="3844">
        <f>IF(Q25="NA","NA",Q25/Table8s2!$G$35*100)</f>
        <v>7.3397545736593893E-19</v>
      </c>
      <c r="T25" s="3845">
        <f>IF(Q25="NA","NA",Q25/Table8s2!$G$34*100)</f>
        <v>6.7756827739585085E-19</v>
      </c>
    </row>
    <row r="26" spans="2:20" ht="18" customHeight="1" x14ac:dyDescent="0.2">
      <c r="B26" s="1395" t="s">
        <v>1519</v>
      </c>
      <c r="C26" s="3839">
        <v>279.9327000203167</v>
      </c>
      <c r="D26" s="3839">
        <f>Summary2!C26</f>
        <v>278.53303649999992</v>
      </c>
      <c r="E26" s="3839">
        <f t="shared" si="4"/>
        <v>-1.3996635203167784</v>
      </c>
      <c r="F26" s="3847">
        <f t="shared" si="5"/>
        <v>-0.50000000722144822</v>
      </c>
      <c r="G26" s="3844">
        <f>IF(E26="NA","NA",E26/Table8s2!$G$35*100)</f>
        <v>-2.8916449941155412E-4</v>
      </c>
      <c r="H26" s="3845">
        <f>IF(E26="NA","NA",E26/Table8s2!$G$34*100)</f>
        <v>-2.6694174823428175E-4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140.46137980152514</v>
      </c>
      <c r="D29" s="3855">
        <f>Summary2!C30</f>
        <v>140.46137980152514</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1328.7246776096777</v>
      </c>
      <c r="D30" s="3875">
        <f>Summary2!C31</f>
        <v>1328.7246776096777</v>
      </c>
      <c r="E30" s="3861">
        <f t="shared" si="4"/>
        <v>0</v>
      </c>
      <c r="F30" s="3876">
        <f t="shared" si="5"/>
        <v>0</v>
      </c>
      <c r="G30" s="3877">
        <f>IF(E30="NA","NA",E30/Table8s2!$G$35*100)</f>
        <v>0</v>
      </c>
      <c r="H30" s="3878">
        <f>IF(E30="NA","NA",E30/Table8s2!$G$34*100)</f>
        <v>0</v>
      </c>
      <c r="I30" s="3874">
        <f>SUM(I31:I40)</f>
        <v>72739.603034542815</v>
      </c>
      <c r="J30" s="3875">
        <f>Summary2!D31</f>
        <v>72739.603034542801</v>
      </c>
      <c r="K30" s="3861">
        <f t="shared" ref="K30" si="28">IF(J30="NO",IF(I30="NO","NA",-I30),IF(I30="NO",J30,J30-I30))</f>
        <v>-1.4551915228366852E-11</v>
      </c>
      <c r="L30" s="3876">
        <f t="shared" ref="L30" si="29">IF(K30="NA","NA",K30/I30*100)</f>
        <v>-2.0005491673437361E-14</v>
      </c>
      <c r="M30" s="3877">
        <f>IF(K30="NA","NA",K30/Table8s2!$G$35*100)</f>
        <v>-3.0063634733708858E-15</v>
      </c>
      <c r="N30" s="3878">
        <f>IF(K30="NA","NA",K30/Table8s2!$G$34*100)</f>
        <v>-2.7753196642134051E-15</v>
      </c>
      <c r="O30" s="3874">
        <f>SUM(O31:O40)</f>
        <v>11373.825521406636</v>
      </c>
      <c r="P30" s="3875">
        <f>Summary2!E31</f>
        <v>11373.869087213869</v>
      </c>
      <c r="Q30" s="3861">
        <f t="shared" ref="Q30" si="30">IF(P30="NO",IF(O30="NO","NA",-O30),IF(O30="NO",P30,P30-O30))</f>
        <v>4.3565807232880616E-2</v>
      </c>
      <c r="R30" s="3880">
        <f t="shared" ref="R30" si="31">IF(Q30="NA","NA",Q30/O30*100)</f>
        <v>3.8303565630478124E-4</v>
      </c>
      <c r="S30" s="3881">
        <f>IF(Q30="NA","NA",Q30/Table8s2!$G$35*100)</f>
        <v>9.0005095203917429E-6</v>
      </c>
      <c r="T30" s="3882">
        <f>IF(Q30="NA","NA",Q30/Table8s2!$G$34*100)</f>
        <v>8.3088060645824477E-6</v>
      </c>
    </row>
    <row r="31" spans="2:20" ht="18" customHeight="1" x14ac:dyDescent="0.2">
      <c r="B31" s="620" t="s">
        <v>1492</v>
      </c>
      <c r="C31" s="3867"/>
      <c r="D31" s="3867"/>
      <c r="E31" s="3868"/>
      <c r="F31" s="3868"/>
      <c r="G31" s="3869"/>
      <c r="H31" s="3870"/>
      <c r="I31" s="3846">
        <v>65196.389235733644</v>
      </c>
      <c r="J31" s="3839">
        <f>Summary2!D32</f>
        <v>65196.389235733644</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6487.0792232842359</v>
      </c>
      <c r="J32" s="3847">
        <f>Summary2!D33</f>
        <v>6487.0792232842377</v>
      </c>
      <c r="K32" s="3893">
        <f t="shared" si="32"/>
        <v>1.8189894035458565E-12</v>
      </c>
      <c r="L32" s="3893">
        <f t="shared" si="33"/>
        <v>2.8040190984825841E-14</v>
      </c>
      <c r="M32" s="3884">
        <f>IF(K32="NA","NA",K32/Table8s2!$G$35*100)</f>
        <v>3.7579543417136073E-16</v>
      </c>
      <c r="N32" s="3885">
        <f>IF(K32="NA","NA",K32/Table8s2!$G$34*100)</f>
        <v>3.4691495802667563E-16</v>
      </c>
      <c r="O32" s="3848">
        <v>273.10053482687522</v>
      </c>
      <c r="P32" s="3847">
        <f>Summary2!E33</f>
        <v>273.10053482687516</v>
      </c>
      <c r="Q32" s="3893">
        <f t="shared" ref="Q32" si="34">IF(P32="NO",IF(O32="NO","NA",-O32),IF(O32="NO",P32,P32-O32))</f>
        <v>-5.6843418860808015E-14</v>
      </c>
      <c r="R32" s="3894">
        <f t="shared" ref="R32" si="35">IF(Q32="NA","NA",Q32/O32*100)</f>
        <v>-2.0814100161628163E-14</v>
      </c>
      <c r="S32" s="3895">
        <f>IF(Q32="NA","NA",Q32/Table8s2!$G$35*100)</f>
        <v>-1.1743607317855023E-17</v>
      </c>
      <c r="T32" s="3896">
        <f>IF(Q32="NA","NA",Q32/Table8s2!$G$34*100)</f>
        <v>-1.0841092438333614E-17</v>
      </c>
    </row>
    <row r="33" spans="2:21" ht="18" customHeight="1" x14ac:dyDescent="0.2">
      <c r="B33" s="620" t="s">
        <v>1494</v>
      </c>
      <c r="C33" s="3891"/>
      <c r="D33" s="3891"/>
      <c r="E33" s="3892"/>
      <c r="F33" s="3892"/>
      <c r="G33" s="3897"/>
      <c r="H33" s="3898"/>
      <c r="I33" s="3848">
        <v>656.90213400000005</v>
      </c>
      <c r="J33" s="3847">
        <f>Summary2!D34</f>
        <v>656.90213400000005</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10946.293771217242</v>
      </c>
      <c r="P34" s="3847">
        <f>Summary2!E35</f>
        <v>10946.337337024475</v>
      </c>
      <c r="Q34" s="3893">
        <f t="shared" ref="Q34" si="36">IF(P34="NO",IF(O34="NO","NA",-O34),IF(O34="NO",P34,P34-O34))</f>
        <v>4.3565807232880616E-2</v>
      </c>
      <c r="R34" s="3894">
        <f t="shared" ref="R34" si="37">IF(Q34="NA","NA",Q34/O34*100)</f>
        <v>3.9799596231771916E-4</v>
      </c>
      <c r="S34" s="3895">
        <f>IF(Q34="NA","NA",Q34/Table8s2!$G$35*100)</f>
        <v>9.0005095203917429E-6</v>
      </c>
      <c r="T34" s="3896">
        <f>IF(Q34="NA","NA",Q34/Table8s2!$G$34*100)</f>
        <v>8.3088060645824477E-6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399.23244152492578</v>
      </c>
      <c r="J36" s="3847">
        <f>Summary2!D37</f>
        <v>399.23244152492578</v>
      </c>
      <c r="K36" s="3893">
        <f t="shared" ref="K36" si="38">IF(J36="NO",IF(I36="NO","NA",-I36),IF(I36="NO",J36,J36-I36))</f>
        <v>0</v>
      </c>
      <c r="L36" s="3893">
        <f t="shared" ref="L36" si="39">IF(K36="NA","NA",K36/I36*100)</f>
        <v>0</v>
      </c>
      <c r="M36" s="3884">
        <f>IF(K36="NA","NA",K36/Table8s2!$G$35*100)</f>
        <v>0</v>
      </c>
      <c r="N36" s="3885">
        <f>IF(K36="NA","NA",K36/Table8s2!$G$34*100)</f>
        <v>0</v>
      </c>
      <c r="O36" s="3848">
        <v>154.43121536251695</v>
      </c>
      <c r="P36" s="3847">
        <f>Summary2!E37</f>
        <v>154.43121536251695</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585.8261268850398</v>
      </c>
      <c r="D37" s="3847">
        <f>Summary2!C38</f>
        <v>585.8261268850398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742.89855072463774</v>
      </c>
      <c r="D38" s="3847">
        <f>Summary2!C39</f>
        <v>742.89855072463774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19738.322279363871</v>
      </c>
      <c r="D41" s="3839">
        <f>Summary2!C42</f>
        <v>19210.644503414045</v>
      </c>
      <c r="E41" s="3929">
        <f t="shared" ref="E41" si="42">IF(D41="NO",IF(C41="NO","NA",-C41),IF(C41="NO",D41,D41-C41))</f>
        <v>-527.67777594982545</v>
      </c>
      <c r="F41" s="3929">
        <f t="shared" ref="F41" si="43">IF(E41="NA","NA",E41/C41*100)</f>
        <v>-2.6733669076905531</v>
      </c>
      <c r="G41" s="3869"/>
      <c r="H41" s="3929">
        <f>IF(E41="NA","NA",E41/Table8s2!$G$34*100)</f>
        <v>-0.100637921880356</v>
      </c>
      <c r="I41" s="3846">
        <f>SUM(I42:I49)</f>
        <v>19498.994769274213</v>
      </c>
      <c r="J41" s="3839">
        <f>Summary2!D42</f>
        <v>17261.482694719089</v>
      </c>
      <c r="K41" s="3929">
        <f t="shared" ref="K41:K46" si="44">IF(J41="NO",IF(I41="NO","NA",-I41),IF(I41="NO",J41,J41-I41))</f>
        <v>-2237.5120745551249</v>
      </c>
      <c r="L41" s="3929">
        <f t="shared" ref="L41:L46" si="45">IF(K41="NA","NA",K41/I41*100)</f>
        <v>-11.475012435414941</v>
      </c>
      <c r="M41" s="3889"/>
      <c r="N41" s="3930">
        <f>IF(K41="NA","NA",K41/Table8s2!$G$34*100)</f>
        <v>-0.42673498037719743</v>
      </c>
      <c r="O41" s="3846">
        <f>SUM(O42:O49)</f>
        <v>3775.3179526665526</v>
      </c>
      <c r="P41" s="3839">
        <f>Summary2!E42</f>
        <v>3823.6923588544641</v>
      </c>
      <c r="Q41" s="3929">
        <f t="shared" ref="Q41" si="46">IF(P41="NO",IF(O41="NO","NA",-O41),IF(O41="NO",P41,P41-O41))</f>
        <v>48.374406187911518</v>
      </c>
      <c r="R41" s="3929">
        <f t="shared" ref="R41" si="47">IF(Q41="NA","NA",Q41/O41*100)</f>
        <v>1.2813333021062263</v>
      </c>
      <c r="S41" s="3889"/>
      <c r="T41" s="3930">
        <f>IF(Q41="NA","NA",Q41/Table8s2!$G$34*100)</f>
        <v>9.2258949169967599E-3</v>
      </c>
      <c r="U41" s="713"/>
    </row>
    <row r="42" spans="2:21" ht="18" customHeight="1" x14ac:dyDescent="0.2">
      <c r="B42" s="620" t="s">
        <v>981</v>
      </c>
      <c r="C42" s="3847">
        <v>-38255.409595047502</v>
      </c>
      <c r="D42" s="3847">
        <f>Summary2!C43</f>
        <v>-38345.538956690478</v>
      </c>
      <c r="E42" s="3931">
        <f t="shared" ref="E42:E50" si="48">IF(D42="NO",IF(C42="NO","NA",-C42),IF(C42="NO",D42,D42-C42))</f>
        <v>-90.129361642975709</v>
      </c>
      <c r="F42" s="3931">
        <f t="shared" ref="F42:F50" si="49">IF(E42="NA","NA",E42/C42*100)</f>
        <v>0.23559899788563168</v>
      </c>
      <c r="G42" s="3889"/>
      <c r="H42" s="3931">
        <f>IF(E42="NA","NA",E42/Table8s2!$G$34*100)</f>
        <v>-1.7189338019448087E-2</v>
      </c>
      <c r="I42" s="3848">
        <v>5694.6289888823876</v>
      </c>
      <c r="J42" s="3847">
        <f>Summary2!D43</f>
        <v>5609.8632700208136</v>
      </c>
      <c r="K42" s="3931">
        <f t="shared" si="44"/>
        <v>-84.765718861573987</v>
      </c>
      <c r="L42" s="3931">
        <f t="shared" si="45"/>
        <v>-1.4885204817919118</v>
      </c>
      <c r="M42" s="3889"/>
      <c r="N42" s="3932">
        <f>IF(K42="NA","NA",K42/Table8s2!$G$34*100)</f>
        <v>-1.6166392032652979E-2</v>
      </c>
      <c r="O42" s="3848">
        <v>1103.0734238165564</v>
      </c>
      <c r="P42" s="3847">
        <f>Summary2!E43</f>
        <v>1094.1476425334586</v>
      </c>
      <c r="Q42" s="3931">
        <f t="shared" ref="Q42:Q46" si="50">IF(P42="NO",IF(O42="NO","NA",-O42),IF(O42="NO",P42,P42-O42))</f>
        <v>-8.9257812830978764</v>
      </c>
      <c r="R42" s="3931">
        <f t="shared" ref="R42:R46" si="51">IF(Q42="NA","NA",Q42/O42*100)</f>
        <v>-0.80917381294667601</v>
      </c>
      <c r="S42" s="3889"/>
      <c r="T42" s="3932">
        <f>IF(Q42="NA","NA",Q42/Table8s2!$G$34*100)</f>
        <v>-1.702311752418697E-3</v>
      </c>
      <c r="U42" s="713"/>
    </row>
    <row r="43" spans="2:21" ht="18" customHeight="1" x14ac:dyDescent="0.2">
      <c r="B43" s="620" t="s">
        <v>984</v>
      </c>
      <c r="C43" s="3847">
        <v>5059.2738266990591</v>
      </c>
      <c r="D43" s="3847">
        <f>Summary2!C44</f>
        <v>4967.0981540024186</v>
      </c>
      <c r="E43" s="3931">
        <f t="shared" si="48"/>
        <v>-92.175672696640504</v>
      </c>
      <c r="F43" s="3931">
        <f t="shared" si="49"/>
        <v>-1.8219150782115472</v>
      </c>
      <c r="G43" s="3889"/>
      <c r="H43" s="3931">
        <f>IF(E43="NA","NA",E43/Table8s2!$G$34*100)</f>
        <v>-1.75796074250355E-2</v>
      </c>
      <c r="I43" s="3848">
        <v>147.53142126068181</v>
      </c>
      <c r="J43" s="3847">
        <f>Summary2!D44</f>
        <v>148.0881024</v>
      </c>
      <c r="K43" s="3931">
        <f t="shared" si="44"/>
        <v>0.55668113931818652</v>
      </c>
      <c r="L43" s="3931">
        <f t="shared" si="45"/>
        <v>0.37733056088069156</v>
      </c>
      <c r="M43" s="3889"/>
      <c r="N43" s="3932">
        <f>IF(K43="NA","NA",K43/Table8s2!$G$34*100)</f>
        <v>1.0616940027487197E-4</v>
      </c>
      <c r="O43" s="3848">
        <v>62.131208993835926</v>
      </c>
      <c r="P43" s="3847">
        <f>Summary2!E44</f>
        <v>62.0297532283303</v>
      </c>
      <c r="Q43" s="3931">
        <f t="shared" si="50"/>
        <v>-0.10145576550562652</v>
      </c>
      <c r="R43" s="3931">
        <f t="shared" si="51"/>
        <v>-0.16329275922458228</v>
      </c>
      <c r="S43" s="3889"/>
      <c r="T43" s="3932">
        <f>IF(Q43="NA","NA",Q43/Table8s2!$G$34*100)</f>
        <v>-1.9349492945554354E-5</v>
      </c>
      <c r="U43" s="713"/>
    </row>
    <row r="44" spans="2:21" ht="18" customHeight="1" x14ac:dyDescent="0.2">
      <c r="B44" s="620" t="s">
        <v>987</v>
      </c>
      <c r="C44" s="3847">
        <v>53574.876080118789</v>
      </c>
      <c r="D44" s="3847">
        <f>Summary2!C45</f>
        <v>53426.538709294837</v>
      </c>
      <c r="E44" s="3931">
        <f t="shared" si="48"/>
        <v>-148.33737082395237</v>
      </c>
      <c r="F44" s="3931">
        <f t="shared" si="49"/>
        <v>-0.27687860743181297</v>
      </c>
      <c r="G44" s="3889"/>
      <c r="H44" s="3931">
        <f>IF(E44="NA","NA",E44/Table8s2!$G$34*100)</f>
        <v>-2.8290683097363933E-2</v>
      </c>
      <c r="I44" s="3848">
        <v>8845.6003059261493</v>
      </c>
      <c r="J44" s="3847">
        <f>Summary2!D45</f>
        <v>8963.7525894397513</v>
      </c>
      <c r="K44" s="3931">
        <f t="shared" si="44"/>
        <v>118.15228351360201</v>
      </c>
      <c r="L44" s="3931">
        <f t="shared" si="45"/>
        <v>1.335718090658532</v>
      </c>
      <c r="M44" s="3889"/>
      <c r="N44" s="3932">
        <f>IF(K44="NA","NA",K44/Table8s2!$G$34*100)</f>
        <v>2.2533828067373789E-2</v>
      </c>
      <c r="O44" s="3848">
        <v>2493.9402802645818</v>
      </c>
      <c r="P44" s="3847">
        <f>Summary2!E45</f>
        <v>2550.6740920807592</v>
      </c>
      <c r="Q44" s="3931">
        <f t="shared" si="50"/>
        <v>56.733811816177422</v>
      </c>
      <c r="R44" s="3931">
        <f t="shared" si="51"/>
        <v>2.2748664940027568</v>
      </c>
      <c r="S44" s="3889"/>
      <c r="T44" s="3932">
        <f>IF(Q44="NA","NA",Q44/Table8s2!$G$34*100)</f>
        <v>1.0820188345537182E-2</v>
      </c>
      <c r="U44" s="713"/>
    </row>
    <row r="45" spans="2:21" ht="18" customHeight="1" x14ac:dyDescent="0.2">
      <c r="B45" s="620" t="s">
        <v>1525</v>
      </c>
      <c r="C45" s="3847">
        <v>1264.2360403898747</v>
      </c>
      <c r="D45" s="3847">
        <f>Summary2!C46</f>
        <v>1138.6297219973433</v>
      </c>
      <c r="E45" s="3931">
        <f t="shared" si="48"/>
        <v>-125.60631839253142</v>
      </c>
      <c r="F45" s="3931">
        <f t="shared" si="49"/>
        <v>-9.9353533975978081</v>
      </c>
      <c r="G45" s="3889"/>
      <c r="H45" s="3931">
        <f>IF(E45="NA","NA",E45/Table8s2!$G$34*100)</f>
        <v>-2.3955450530985894E-2</v>
      </c>
      <c r="I45" s="3848">
        <v>4715.3010125684868</v>
      </c>
      <c r="J45" s="3847">
        <f>Summary2!D46</f>
        <v>2443.2982144585217</v>
      </c>
      <c r="K45" s="3931">
        <f t="shared" si="44"/>
        <v>-2272.0027981099652</v>
      </c>
      <c r="L45" s="3931">
        <f t="shared" si="45"/>
        <v>-48.183621619362434</v>
      </c>
      <c r="M45" s="3889"/>
      <c r="N45" s="3932">
        <f>IF(K45="NA","NA",K45/Table8s2!$G$34*100)</f>
        <v>-0.43331299995829692</v>
      </c>
      <c r="O45" s="3848">
        <v>81.186540855403848</v>
      </c>
      <c r="P45" s="3847">
        <f>Summary2!E46</f>
        <v>81.740033231994587</v>
      </c>
      <c r="Q45" s="3931">
        <f t="shared" si="50"/>
        <v>0.55349237659073935</v>
      </c>
      <c r="R45" s="3931">
        <f t="shared" si="51"/>
        <v>0.68175386062639276</v>
      </c>
      <c r="S45" s="3889"/>
      <c r="T45" s="3932">
        <f>IF(Q45="NA","NA",Q45/Table8s2!$G$34*100)</f>
        <v>1.0556124418248742E-4</v>
      </c>
      <c r="U45" s="713"/>
    </row>
    <row r="46" spans="2:21" ht="18" customHeight="1" x14ac:dyDescent="0.2">
      <c r="B46" s="620" t="s">
        <v>1526</v>
      </c>
      <c r="C46" s="3847">
        <v>5229.8084335557232</v>
      </c>
      <c r="D46" s="3847">
        <f>Summary2!C47</f>
        <v>5163.5843041827757</v>
      </c>
      <c r="E46" s="3931">
        <f t="shared" si="48"/>
        <v>-66.224129372947573</v>
      </c>
      <c r="F46" s="3931">
        <f t="shared" si="49"/>
        <v>-1.2662821251355489</v>
      </c>
      <c r="G46" s="3889"/>
      <c r="H46" s="3931">
        <f>IF(E46="NA","NA",E46/Table8s2!$G$34*100)</f>
        <v>-1.2630167617790674E-2</v>
      </c>
      <c r="I46" s="3848">
        <v>95.933040636508807</v>
      </c>
      <c r="J46" s="3847">
        <f>Summary2!D47</f>
        <v>96.480518399999994</v>
      </c>
      <c r="K46" s="3931">
        <f t="shared" si="44"/>
        <v>0.54747776349118737</v>
      </c>
      <c r="L46" s="3931">
        <f t="shared" si="45"/>
        <v>0.57068738763903637</v>
      </c>
      <c r="M46" s="3889"/>
      <c r="N46" s="3932">
        <f>IF(K46="NA","NA",K46/Table8s2!$G$34*100)</f>
        <v>1.0441414610324061E-4</v>
      </c>
      <c r="O46" s="3848">
        <v>23.467988671888776</v>
      </c>
      <c r="P46" s="3847">
        <f>Summary2!E47</f>
        <v>23.582327715635742</v>
      </c>
      <c r="Q46" s="3931">
        <f t="shared" si="50"/>
        <v>0.11433904374696624</v>
      </c>
      <c r="R46" s="3931">
        <f t="shared" si="51"/>
        <v>0.48721279588790545</v>
      </c>
      <c r="S46" s="3889"/>
      <c r="T46" s="3932">
        <f>IF(Q46="NA","NA",Q46/Table8s2!$G$34*100)</f>
        <v>2.1806572641361214E-5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-7134.9693433456669</v>
      </c>
      <c r="D48" s="3847">
        <f>Summary2!C49</f>
        <v>-7140.1742663664481</v>
      </c>
      <c r="E48" s="3931">
        <f t="shared" si="48"/>
        <v>-5.2049230207812798</v>
      </c>
      <c r="F48" s="3931">
        <f t="shared" si="49"/>
        <v>7.2949479812910209E-2</v>
      </c>
      <c r="G48" s="3889"/>
      <c r="H48" s="3931">
        <f>IF(E48="NA","NA",E48/Table8s2!$G$34*100)</f>
        <v>-9.92675189732569E-4</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0.50683699359333334</v>
      </c>
      <c r="D49" s="3855">
        <f>Summary2!C50</f>
        <v>0.50683699359333334</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11.518510064285714</v>
      </c>
      <c r="P49" s="3855">
        <f>Summary2!E50</f>
        <v>11.518510064285714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28.621172748861426</v>
      </c>
      <c r="D50" s="3839">
        <f>Summary2!C51</f>
        <v>28.621172748861426</v>
      </c>
      <c r="E50" s="3839">
        <f t="shared" si="48"/>
        <v>0</v>
      </c>
      <c r="F50" s="3839">
        <f t="shared" si="49"/>
        <v>0</v>
      </c>
      <c r="G50" s="3844">
        <f>IF(E50="NA","NA",E50/Table8s2!$G$35*100)</f>
        <v>0</v>
      </c>
      <c r="H50" s="3845">
        <f>IF(E50="NA","NA",E50/Table8s2!$G$34*100)</f>
        <v>0</v>
      </c>
      <c r="I50" s="3839">
        <f>SUM(I51:I55)</f>
        <v>18876.082386882503</v>
      </c>
      <c r="J50" s="3839">
        <f>Summary2!D51</f>
        <v>18873.480861694563</v>
      </c>
      <c r="K50" s="3839">
        <f t="shared" ref="K50" si="54">IF(J50="NO",IF(I50="NO","NA",-I50),IF(I50="NO",J50,J50-I50))</f>
        <v>-2.601525187939842</v>
      </c>
      <c r="L50" s="3839">
        <f t="shared" ref="L50" si="55">IF(K50="NA","NA",K50/I50*100)</f>
        <v>-1.3782124567053765E-2</v>
      </c>
      <c r="M50" s="3844">
        <f>IF(K50="NA","NA",K50/Table8s2!$G$35*100)</f>
        <v>-5.3746398170534339E-4</v>
      </c>
      <c r="N50" s="3845">
        <f>IF(K50="NA","NA",K50/Table8s2!$G$34*100)</f>
        <v>-4.9615902083881367E-4</v>
      </c>
      <c r="O50" s="3839">
        <f>SUM(O51:O55)</f>
        <v>335.96469561221568</v>
      </c>
      <c r="P50" s="3839">
        <f>Summary2!E51</f>
        <v>200.24742578584929</v>
      </c>
      <c r="Q50" s="3839">
        <f t="shared" si="52"/>
        <v>-135.71726982636639</v>
      </c>
      <c r="R50" s="3839">
        <f t="shared" si="53"/>
        <v>-40.396289133610892</v>
      </c>
      <c r="S50" s="3844">
        <f>IF(Q50="NA","NA",Q50/Table8s2!$G$35*100)</f>
        <v>-2.8038607723349127E-2</v>
      </c>
      <c r="T50" s="3845">
        <f>IF(Q50="NA","NA",Q50/Table8s2!$G$34*100)</f>
        <v>-2.5883796174693864E-2</v>
      </c>
    </row>
    <row r="51" spans="2:21" ht="18" customHeight="1" x14ac:dyDescent="0.2">
      <c r="B51" s="620" t="s">
        <v>1530</v>
      </c>
      <c r="C51" s="3918"/>
      <c r="D51" s="3918"/>
      <c r="E51" s="3888"/>
      <c r="F51" s="3903"/>
      <c r="G51" s="3904"/>
      <c r="H51" s="3905"/>
      <c r="I51" s="3839">
        <v>13831.56803570794</v>
      </c>
      <c r="J51" s="3839">
        <f>Summary2!D52</f>
        <v>13828.96651052</v>
      </c>
      <c r="K51" s="3839">
        <f t="shared" ref="K51:K52" si="56">IF(J51="NO",IF(I51="NO","NA",-I51),IF(I51="NO",J51,J51-I51))</f>
        <v>-2.601525187939842</v>
      </c>
      <c r="L51" s="3839">
        <f t="shared" ref="L51:L52" si="57">IF(K51="NA","NA",K51/I51*100)</f>
        <v>-1.8808606379433452E-2</v>
      </c>
      <c r="M51" s="3844">
        <f>IF(K51="NA","NA",K51/Table8s2!$G$35*100)</f>
        <v>-5.3746398170534339E-4</v>
      </c>
      <c r="N51" s="3845">
        <f>IF(K51="NA","NA",K51/Table8s2!$G$34*100)</f>
        <v>-4.9615902083881367E-4</v>
      </c>
      <c r="O51" s="3886"/>
      <c r="P51" s="3887"/>
      <c r="Q51" s="3940"/>
      <c r="R51" s="3941"/>
      <c r="S51" s="3942"/>
      <c r="T51" s="3943"/>
    </row>
    <row r="52" spans="2:21" ht="18" customHeight="1" x14ac:dyDescent="0.2">
      <c r="B52" s="1396" t="s">
        <v>1531</v>
      </c>
      <c r="C52" s="3918"/>
      <c r="D52" s="3918"/>
      <c r="E52" s="3888"/>
      <c r="F52" s="3903"/>
      <c r="G52" s="3904"/>
      <c r="H52" s="3905"/>
      <c r="I52" s="3849">
        <v>39.562388769735925</v>
      </c>
      <c r="J52" s="3847">
        <f>Summary2!D53</f>
        <v>39.562388769735925</v>
      </c>
      <c r="K52" s="3839">
        <f t="shared" si="56"/>
        <v>0</v>
      </c>
      <c r="L52" s="3839">
        <f t="shared" si="57"/>
        <v>0</v>
      </c>
      <c r="M52" s="3844">
        <f>IF(K52="NA","NA",K52/Table8s2!$G$35*100)</f>
        <v>0</v>
      </c>
      <c r="N52" s="3845">
        <f>IF(K52="NA","NA",K52/Table8s2!$G$34*100)</f>
        <v>0</v>
      </c>
      <c r="O52" s="3839">
        <v>47.92700810962296</v>
      </c>
      <c r="P52" s="3839">
        <f>Summary2!E53</f>
        <v>47.92700810962296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28.621172748861426</v>
      </c>
      <c r="D53" s="3839">
        <f>Summary2!C54</f>
        <v>28.621172748861426</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5004.9519624048244</v>
      </c>
      <c r="J54" s="3847">
        <f>Summary2!D55</f>
        <v>5004.9519624048253</v>
      </c>
      <c r="K54" s="3839">
        <f t="shared" ref="K54" si="62">IF(J54="NO",IF(I54="NO","NA",-I54),IF(I54="NO",J54,J54-I54))</f>
        <v>9.0949470177292824E-13</v>
      </c>
      <c r="L54" s="3839">
        <f t="shared" ref="L54" si="63">IF(K54="NA","NA",K54/I54*100)</f>
        <v>1.8171896725576684E-14</v>
      </c>
      <c r="M54" s="3844">
        <f>IF(K54="NA","NA",K54/Table8s2!$G$35*100)</f>
        <v>1.8789771708568037E-16</v>
      </c>
      <c r="N54" s="3845">
        <f>IF(K54="NA","NA",K54/Table8s2!$G$34*100)</f>
        <v>1.7345747901333782E-16</v>
      </c>
      <c r="O54" s="3839">
        <v>288.03768750259275</v>
      </c>
      <c r="P54" s="3839">
        <f>Summary2!E55</f>
        <v>152.32041767622633</v>
      </c>
      <c r="Q54" s="3839">
        <f t="shared" ref="Q54" si="64">IF(P54="NO",IF(O54="NO","NA",-O54),IF(O54="NO",P54,P54-O54))</f>
        <v>-135.71726982636642</v>
      </c>
      <c r="R54" s="3839">
        <f t="shared" ref="R54" si="65">IF(Q54="NA","NA",Q54/O54*100)</f>
        <v>-47.117886205479543</v>
      </c>
      <c r="S54" s="3844">
        <f>IF(Q54="NA","NA",Q54/Table8s2!$G$35*100)</f>
        <v>-2.8038607723349134E-2</v>
      </c>
      <c r="T54" s="3845">
        <f>IF(Q54="NA","NA",Q54/Table8s2!$G$34*100)</f>
        <v>-2.5883796174693871E-2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9532.9940000000006</v>
      </c>
      <c r="D59" s="3847">
        <f>Summary2!C60</f>
        <v>9532.9939999999988</v>
      </c>
      <c r="E59" s="3861">
        <f t="shared" ref="E59" si="66">IF(D59="NO",IF(C59="NO","NA",-C59),IF(C59="NO",D59,D59-C59))</f>
        <v>-1.8189894035458565E-12</v>
      </c>
      <c r="F59" s="3861">
        <f t="shared" ref="F59" si="67">IF(E59="NA","NA",E59/C59*100)</f>
        <v>-1.908098760521465E-14</v>
      </c>
      <c r="G59" s="3862">
        <f>IF(E59="NA","NA",E59/Table8s2!$G$35*100)</f>
        <v>-3.7579543417136073E-16</v>
      </c>
      <c r="H59" s="3863">
        <f>IF(E59="NA","NA",E59/Table8s2!$G$34*100)</f>
        <v>-3.4691495802667563E-16</v>
      </c>
      <c r="I59" s="3847">
        <v>6.3602699066667601</v>
      </c>
      <c r="J59" s="3847">
        <f>Summary2!D60</f>
        <v>6.3602699066666659</v>
      </c>
      <c r="K59" s="3861">
        <f t="shared" ref="K59:K61" si="68">IF(J59="NO",IF(I59="NO","NA",-I59),IF(I59="NO",J59,J59-I59))</f>
        <v>-9.4146912488213275E-14</v>
      </c>
      <c r="L59" s="3861">
        <f t="shared" ref="L59:L61" si="69">IF(K59="NA","NA",K59/I59*100)</f>
        <v>-1.4802345477434784E-12</v>
      </c>
      <c r="M59" s="3862">
        <f>IF(K59="NA","NA",K59/Table8s2!$G$35*100)</f>
        <v>-1.9450349620197382E-17</v>
      </c>
      <c r="N59" s="3863">
        <f>IF(K59="NA","NA",K59/Table8s2!$G$34*100)</f>
        <v>-1.7955559350990049E-17</v>
      </c>
      <c r="O59" s="3848">
        <v>26.135308872201151</v>
      </c>
      <c r="P59" s="3847">
        <f>Summary2!E60</f>
        <v>26.135308872201758</v>
      </c>
      <c r="Q59" s="3861">
        <f t="shared" ref="Q59" si="70">IF(P59="NO",IF(O59="NO","NA",-O59),IF(O59="NO",P59,P59-O59))</f>
        <v>6.0751403907488566E-13</v>
      </c>
      <c r="R59" s="3966">
        <f t="shared" ref="R59" si="71">IF(Q59="NA","NA",Q59/O59*100)</f>
        <v>2.3244953485935977E-12</v>
      </c>
      <c r="S59" s="3967">
        <f>IF(Q59="NA","NA",Q59/Table8s2!$G$35*100)</f>
        <v>1.2550980320957556E-16</v>
      </c>
      <c r="T59" s="3968">
        <f>IF(Q59="NA","NA",Q59/Table8s2!$G$34*100)</f>
        <v>1.1586417543469052E-16</v>
      </c>
    </row>
    <row r="60" spans="2:21" ht="18" customHeight="1" x14ac:dyDescent="0.2">
      <c r="B60" s="1410" t="s">
        <v>111</v>
      </c>
      <c r="C60" s="3847">
        <v>7293.384</v>
      </c>
      <c r="D60" s="3847">
        <f>Summary2!C61</f>
        <v>7293.3839999999991</v>
      </c>
      <c r="E60" s="3861">
        <f t="shared" ref="E60:E61" si="72">IF(D60="NO",IF(C60="NO","NA",-C60),IF(C60="NO",D60,D60-C60))</f>
        <v>-9.0949470177292824E-13</v>
      </c>
      <c r="F60" s="3861">
        <f t="shared" ref="F60:F61" si="73">IF(E60="NA","NA",E60/C60*100)</f>
        <v>-1.2470133229964694E-14</v>
      </c>
      <c r="G60" s="3862">
        <f>IF(E60="NA","NA",E60/Table8s2!$G$35*100)</f>
        <v>-1.8789771708568037E-16</v>
      </c>
      <c r="H60" s="3863">
        <f>IF(E60="NA","NA",E60/Table8s2!$G$34*100)</f>
        <v>-1.7345747901333782E-16</v>
      </c>
      <c r="I60" s="3847">
        <v>0.34110990666676</v>
      </c>
      <c r="J60" s="3847">
        <f>Summary2!D61</f>
        <v>0.34110990666666668</v>
      </c>
      <c r="K60" s="3861">
        <f t="shared" si="68"/>
        <v>-9.3314245219744407E-14</v>
      </c>
      <c r="L60" s="3861">
        <f t="shared" si="69"/>
        <v>-2.7356064246737271E-11</v>
      </c>
      <c r="M60" s="3862">
        <f>IF(K60="NA","NA",K60/Table8s2!$G$35*100)</f>
        <v>-1.9278324122377241E-17</v>
      </c>
      <c r="N60" s="3863">
        <f>IF(K60="NA","NA",K60/Table8s2!$G$34*100)</f>
        <v>-1.7796754285975398E-17</v>
      </c>
      <c r="O60" s="3848">
        <v>9.8590088722011497</v>
      </c>
      <c r="P60" s="3847">
        <f>Summary2!E61</f>
        <v>9.8590088722017555</v>
      </c>
      <c r="Q60" s="3861">
        <f t="shared" ref="Q60:Q61" si="74">IF(P60="NO",IF(O60="NO","NA",-O60),IF(O60="NO",P60,P60-O60))</f>
        <v>6.0573768223548541E-13</v>
      </c>
      <c r="R60" s="3966">
        <f t="shared" ref="R60:R61" si="75">IF(Q60="NA","NA",Q60/O60*100)</f>
        <v>6.1440017966050035E-12</v>
      </c>
      <c r="S60" s="3967">
        <f>IF(Q60="NA","NA",Q60/Table8s2!$G$35*100)</f>
        <v>1.251428154808926E-16</v>
      </c>
      <c r="T60" s="3968">
        <f>IF(Q60="NA","NA",Q60/Table8s2!$G$34*100)</f>
        <v>1.1552539129599258E-16</v>
      </c>
    </row>
    <row r="61" spans="2:21" ht="18" customHeight="1" x14ac:dyDescent="0.2">
      <c r="B61" s="1411" t="s">
        <v>1503</v>
      </c>
      <c r="C61" s="3847">
        <v>2239.61</v>
      </c>
      <c r="D61" s="3847">
        <f>Summary2!C62</f>
        <v>2239.6099999999997</v>
      </c>
      <c r="E61" s="3861">
        <f t="shared" si="72"/>
        <v>-4.5474735088646412E-13</v>
      </c>
      <c r="F61" s="3861">
        <f t="shared" si="73"/>
        <v>-2.030475622480986E-14</v>
      </c>
      <c r="G61" s="3862">
        <f>IF(E61="NA","NA",E61/Table8s2!$G$35*100)</f>
        <v>-9.3948858542840183E-17</v>
      </c>
      <c r="H61" s="3863">
        <f>IF(E61="NA","NA",E61/Table8s2!$G$34*100)</f>
        <v>-8.6728739506668908E-17</v>
      </c>
      <c r="I61" s="3847">
        <v>6.0191599999999994</v>
      </c>
      <c r="J61" s="3847">
        <f>Summary2!D62</f>
        <v>6.0191599999999994</v>
      </c>
      <c r="K61" s="3861">
        <f t="shared" si="68"/>
        <v>0</v>
      </c>
      <c r="L61" s="3861">
        <f t="shared" si="69"/>
        <v>0</v>
      </c>
      <c r="M61" s="3862">
        <f>IF(K61="NA","NA",K61/Table8s2!$G$35*100)</f>
        <v>0</v>
      </c>
      <c r="N61" s="3863">
        <f>IF(K61="NA","NA",K61/Table8s2!$G$34*100)</f>
        <v>0</v>
      </c>
      <c r="O61" s="3848">
        <v>16.276299999999999</v>
      </c>
      <c r="P61" s="3847">
        <f>Summary2!E62</f>
        <v>16.276300000000003</v>
      </c>
      <c r="Q61" s="3861">
        <f t="shared" si="74"/>
        <v>3.5527136788005009E-15</v>
      </c>
      <c r="R61" s="3966">
        <f t="shared" si="75"/>
        <v>2.1827526396051323E-14</v>
      </c>
      <c r="S61" s="3967">
        <f>IF(Q61="NA","NA",Q61/Table8s2!$G$35*100)</f>
        <v>7.3397545736593893E-19</v>
      </c>
      <c r="T61" s="3968">
        <f>IF(Q61="NA","NA",Q61/Table8s2!$G$34*100)</f>
        <v>6.7756827739585085E-19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19328.68835</v>
      </c>
      <c r="D63" s="3847">
        <f>Summary2!C64</f>
        <v>19328.68835</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-221072.75346128666</v>
      </c>
      <c r="D65" s="3849">
        <f>Summary2!C66</f>
        <v>-221048.20759042792</v>
      </c>
      <c r="E65" s="3977">
        <f t="shared" si="76"/>
        <v>24.545870858739363</v>
      </c>
      <c r="F65" s="3984">
        <f t="shared" si="77"/>
        <v>-1.110307375035148E-2</v>
      </c>
      <c r="G65" s="3985">
        <f>IF(E65="NA","NA",E65/Table8s2!$G$35*100)</f>
        <v>5.0710719801296354E-3</v>
      </c>
      <c r="H65" s="3986">
        <f>IF(E65="NA","NA",E65/Table8s2!$G$34*100)</f>
        <v>4.681352042012101E-3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607.01723476613279</v>
      </c>
      <c r="D10" s="4019">
        <f>IF(SUM(D11:D30)=0,"NO",SUM(D11:D30))</f>
        <v>607.0172347661329</v>
      </c>
      <c r="E10" s="4019">
        <f>IF(D10="NO",IF(C10="NO","NA",-C10),IF(C10="NO",D10,D10-C10))</f>
        <v>1.1368683772161603E-13</v>
      </c>
      <c r="F10" s="4019">
        <f>IF(E10="NA","NA",E10/C10*100)</f>
        <v>1.8728766039965319E-14</v>
      </c>
      <c r="G10" s="4020">
        <f>IF(E10="NA","NA",E10/$G$35*100)</f>
        <v>2.3487214635710046E-17</v>
      </c>
      <c r="H10" s="4021">
        <f>IF(E10="NA","NA",E10/$G$34*100)</f>
        <v>2.1682184876667227E-17</v>
      </c>
      <c r="I10" s="4022">
        <f>IF(SUM(I11:I30)=0,"NO",SUM(I11:I30))</f>
        <v>1493.4649028585516</v>
      </c>
      <c r="J10" s="4022">
        <f>IF(SUM(J11:J30)=0,"NO",SUM(J11:J30))</f>
        <v>1493.4649028585516</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247.58218354023921</v>
      </c>
      <c r="V10" s="4019">
        <f>IF(SUM(V11:V30)=0,"NO",SUM(V11:V30))</f>
        <v>247.58218354023921</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1493.4649028585516</v>
      </c>
      <c r="J13" s="3839">
        <f>'Table2(II)'!AH41</f>
        <v>1493.4649028585516</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v>3.5954999999999999</v>
      </c>
      <c r="V14" s="3847">
        <f>IFERROR('Table2(I)'!I31*23500,'Table2(I)'!I31)</f>
        <v>3.5954999999999999</v>
      </c>
      <c r="W14" s="3847">
        <f>IF(V14="NO",IF(U14="NO","NA",-U14),IF(U14="NO",V14,V14-U14))</f>
        <v>0</v>
      </c>
      <c r="X14" s="4016">
        <f>IF(W14="NA","NA",W14/U14*100)</f>
        <v>0</v>
      </c>
      <c r="Y14" s="3871">
        <f>IF(W14="NA","NA",W14/$G$35*100)</f>
        <v>0</v>
      </c>
      <c r="Z14" s="3872">
        <f>IF(W14="NA","NA",W14/$G$34*100)</f>
        <v>0</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565.48783010201498</v>
      </c>
      <c r="D21" s="3847">
        <f>'Table2(I)'!F46</f>
        <v>565.4878301020151</v>
      </c>
      <c r="E21" s="3847">
        <f>IF(D21="NO",IF(C21="NO","NA",-C21),IF(C21="NO",D21,D21-C21))</f>
        <v>1.1368683772161603E-13</v>
      </c>
      <c r="F21" s="4016">
        <f>IF(E21="NA","NA",E21/C21*100)</f>
        <v>2.0104205903265279E-14</v>
      </c>
      <c r="G21" s="3871">
        <f>IF(E21="NA","NA",E21/$G$35*100)</f>
        <v>2.3487214635710046E-17</v>
      </c>
      <c r="H21" s="3872">
        <f>IF(E21="NA","NA",E21/$G$34*100)</f>
        <v>2.1682184876667227E-17</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15.861015960234834</v>
      </c>
      <c r="D22" s="3847">
        <f>'Table2(I)'!F47</f>
        <v>15.861015960234836</v>
      </c>
      <c r="E22" s="3847">
        <f t="shared" ref="E22:E25" si="0">IF(D22="NO",IF(C22="NO","NA",-C22),IF(C22="NO",D22,D22-C22))</f>
        <v>1.7763568394002505E-15</v>
      </c>
      <c r="F22" s="4016">
        <f t="shared" ref="F22:F25" si="1">IF(E22="NA","NA",E22/C22*100)</f>
        <v>1.1199514859916642E-14</v>
      </c>
      <c r="G22" s="3871">
        <f t="shared" ref="G22:G25" si="2">IF(E22="NA","NA",E22/$G$35*100)</f>
        <v>3.6698772868296946E-19</v>
      </c>
      <c r="H22" s="3872">
        <f t="shared" ref="H22:H25" si="3">IF(E22="NA","NA",E22/$G$34*100)</f>
        <v>3.3878413869792542E-19</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2.4998331613468165</v>
      </c>
      <c r="D23" s="3847">
        <f>'Table2(I)'!F48</f>
        <v>2.4998331613468157</v>
      </c>
      <c r="E23" s="3847">
        <f t="shared" si="0"/>
        <v>-8.8817841970012523E-16</v>
      </c>
      <c r="F23" s="4016">
        <f t="shared" si="1"/>
        <v>-3.5529507866101269E-14</v>
      </c>
      <c r="G23" s="3871">
        <f t="shared" si="2"/>
        <v>-1.8349386434148473E-19</v>
      </c>
      <c r="H23" s="3872">
        <f t="shared" si="3"/>
        <v>-1.6939206934896271E-19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3.228832395997959</v>
      </c>
      <c r="D24" s="3847">
        <f>'Table2(I)'!F49</f>
        <v>3.2288323959979599</v>
      </c>
      <c r="E24" s="3847">
        <f t="shared" si="0"/>
        <v>8.8817841970012523E-16</v>
      </c>
      <c r="F24" s="4016">
        <f t="shared" si="1"/>
        <v>2.7507727586015172E-14</v>
      </c>
      <c r="G24" s="3871">
        <f t="shared" si="2"/>
        <v>1.8349386434148473E-19</v>
      </c>
      <c r="H24" s="3872">
        <f t="shared" si="3"/>
        <v>1.6939206934896271E-19</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19.939723146538196</v>
      </c>
      <c r="D25" s="3847">
        <f>'Table2(I)'!F50</f>
        <v>19.939723146538203</v>
      </c>
      <c r="E25" s="3847">
        <f t="shared" si="0"/>
        <v>7.1054273576010019E-15</v>
      </c>
      <c r="F25" s="4016">
        <f t="shared" si="1"/>
        <v>3.5634533666203883E-14</v>
      </c>
      <c r="G25" s="3871">
        <f t="shared" si="2"/>
        <v>1.4679509147318779E-18</v>
      </c>
      <c r="H25" s="3872">
        <f t="shared" si="3"/>
        <v>1.3551365547917017E-18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228.97265248603279</v>
      </c>
      <c r="V27" s="3847">
        <f>IFERROR('Table2(I)'!I53*23500,'Table2(I)'!I53)</f>
        <v>228.9726524860327</v>
      </c>
      <c r="W27" s="3847">
        <f>IF(V27="NO",IF(U27="NO","NA",-U27),IF(U27="NO",V27,V27-U27))</f>
        <v>-8.5265128291212022E-14</v>
      </c>
      <c r="X27" s="4016">
        <f>IF(W27="NA","NA",W27/U27*100)</f>
        <v>-3.7238127508005853E-14</v>
      </c>
      <c r="Y27" s="3871">
        <f>IF(W27="NA","NA",W27/$G$35*100)</f>
        <v>-1.7615410976782534E-17</v>
      </c>
      <c r="Z27" s="3872">
        <f>IF(W27="NA","NA",W27/$G$34*100)</f>
        <v>-1.6261638657500422E-17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15.014031054206445</v>
      </c>
      <c r="V28" s="3847">
        <f>IFERROR('Table2(I)'!I54*23500,'Table2(I)'!I54)</f>
        <v>15.014031054206532</v>
      </c>
      <c r="W28" s="3847">
        <f>IF(V28="NO",IF(U28="NO","NA",-U28),IF(U28="NO",V28,V28-U28))</f>
        <v>8.7041485130612273E-14</v>
      </c>
      <c r="X28" s="4016">
        <f>IF(W28="NA","NA",W28/U28*100)</f>
        <v>5.7973428199501472E-13</v>
      </c>
      <c r="Y28" s="3871">
        <f>IF(W28="NA","NA",W28/$G$35*100)</f>
        <v>1.7982398705465503E-17</v>
      </c>
      <c r="Z28" s="3872">
        <f>IF(W28="NA","NA",W28/$G$34*100)</f>
        <v>1.6600422796198348E-17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527127.98404612753</v>
      </c>
      <c r="F34" s="4523"/>
      <c r="G34" s="4522">
        <f>SUM(Table8s1!D10,Table8s1!J10,Table8s1!P10,D10,J10,P10,V10,AB10)</f>
        <v>524332.94139077945</v>
      </c>
      <c r="H34" s="4523"/>
      <c r="I34" s="3839">
        <f>G34-E34</f>
        <v>-2795.0426553480793</v>
      </c>
      <c r="J34" s="4045">
        <f>IF(I34="NA","NA",I34/E34*100)</f>
        <v>-0.53023985444557475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484115.34904482291</v>
      </c>
      <c r="F35" s="4525"/>
      <c r="G35" s="4526">
        <f>G34-SUM(Table8s1!D41,Table8s1!J41,Table8s1!P41)</f>
        <v>484037.12183379184</v>
      </c>
      <c r="H35" s="4527"/>
      <c r="I35" s="3855">
        <f>G35-E35</f>
        <v>-78.227211031073239</v>
      </c>
      <c r="J35" s="4046">
        <f>IF(I35="NA","NA",I35/E35*100)</f>
        <v>-1.615879587073997E-2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1023169.5609972988</v>
      </c>
      <c r="D10" s="1913" t="s">
        <v>1814</v>
      </c>
      <c r="E10" s="628"/>
      <c r="F10" s="628"/>
      <c r="G10" s="628"/>
      <c r="H10" s="1847">
        <f>IF(SUM(H11:H14)=0,"NO",SUM(H11:H14))</f>
        <v>69419.203221923817</v>
      </c>
      <c r="I10" s="1847">
        <f>IF(SUM(I11:I15)=0,"NO",SUM(I11:I15))</f>
        <v>29.313779273523515</v>
      </c>
      <c r="J10" s="2192">
        <f>IF(SUM(J11:J15)=0,"NO",SUM(J11:J15))</f>
        <v>5.1228691269862381</v>
      </c>
    </row>
    <row r="11" spans="2:11" ht="18" customHeight="1" x14ac:dyDescent="0.2">
      <c r="B11" s="282" t="s">
        <v>132</v>
      </c>
      <c r="C11" s="1913">
        <f>IF(SUM(C17:C18,C21:C24,C82,C89:C92,C100)=0,"NO",SUM(C17:C18,C21:C24,C82,C89:C92,C100))</f>
        <v>1009318.0694415772</v>
      </c>
      <c r="D11" s="1909" t="s">
        <v>1814</v>
      </c>
      <c r="E11" s="1913">
        <f>IFERROR(H11*1000/$C11,"NA")</f>
        <v>67.910577993273506</v>
      </c>
      <c r="F11" s="1913">
        <f t="shared" ref="F11:G15" si="0">IFERROR(I11*1000000/$C11,"NA")</f>
        <v>28.726742776786054</v>
      </c>
      <c r="G11" s="1913">
        <f t="shared" si="0"/>
        <v>5.0696299629483859</v>
      </c>
      <c r="H11" s="1913">
        <f>IF(SUM(H17:H18,H21:H24,H82,H89:H92,H100)=0,"NO",SUM(H17:H18,H21:H24,H82,H89:H92,H100))</f>
        <v>68543.373474832479</v>
      </c>
      <c r="I11" s="1913">
        <f>IF(SUM(I17:I18,I21:I24,I82,I89:I92,I100)=0,"NO",SUM(I17:I18,I21:I24,I82,I89:I92,I100))</f>
        <v>28.994420560810472</v>
      </c>
      <c r="J11" s="3085">
        <f>IF(SUM(J17:J18,J21:J24,J82,J89:J92,J100)=0,"NO",SUM(J17:J18,J21:J24,J82,J89:J92,J100))</f>
        <v>5.1168691269862387</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9600</v>
      </c>
      <c r="D13" s="1909" t="s">
        <v>1814</v>
      </c>
      <c r="E13" s="1913">
        <f t="shared" si="1"/>
        <v>51.411918339265007</v>
      </c>
      <c r="F13" s="1913">
        <f t="shared" si="0"/>
        <v>19.166532574275358</v>
      </c>
      <c r="G13" s="1913">
        <f t="shared" si="0"/>
        <v>0.18437500000000001</v>
      </c>
      <c r="H13" s="1913">
        <f>IF(SUM(H26,H84,H94,H102)=0,"NO",SUM(H26,H84,H94,H102))</f>
        <v>493.55441605694404</v>
      </c>
      <c r="I13" s="1913">
        <f>IF(SUM(I26,I84,I94,I102)=0,"NO",SUM(I26,I84,I94,I102))</f>
        <v>0.18399871271304344</v>
      </c>
      <c r="J13" s="3085">
        <f>IF(SUM(J26,J84,J94,J102)=0,"NO",SUM(J26,J84,J94,J102))</f>
        <v>1.7700000000000001E-3</v>
      </c>
    </row>
    <row r="14" spans="2:11" ht="18" customHeight="1" x14ac:dyDescent="0.2">
      <c r="B14" s="282" t="s">
        <v>175</v>
      </c>
      <c r="C14" s="1913">
        <f>IF(SUM(C28,C86,C96,C103)=0,"NO",SUM(C28,C86,C96,C103))</f>
        <v>4251.4915557215618</v>
      </c>
      <c r="D14" s="1909" t="s">
        <v>1814</v>
      </c>
      <c r="E14" s="1913">
        <f t="shared" si="1"/>
        <v>89.915580455506955</v>
      </c>
      <c r="F14" s="1913">
        <f t="shared" si="0"/>
        <v>31.83823799857619</v>
      </c>
      <c r="G14" s="1913">
        <f t="shared" si="0"/>
        <v>0.99494493745550594</v>
      </c>
      <c r="H14" s="1913">
        <f>IF(SUM(H28,H86,H96,H103)=0,"NO",SUM(H28,H86,H96,H103))</f>
        <v>382.27533103439055</v>
      </c>
      <c r="I14" s="1913">
        <f>IF(SUM(I28,I86,I96,I103)=0,"NO",SUM(I28,I86,I96,I103))</f>
        <v>0.13536000000000004</v>
      </c>
      <c r="J14" s="3085">
        <f>IF(SUM(J28,J86,J96,J103)=0,"NO",SUM(J28,J86,J96,J103))</f>
        <v>4.2300000000000011E-3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70559.728131452939</v>
      </c>
      <c r="D16" s="1909" t="s">
        <v>1814</v>
      </c>
      <c r="E16" s="628"/>
      <c r="F16" s="628"/>
      <c r="G16" s="628"/>
      <c r="H16" s="1913">
        <f>IF(SUM(H17:H18)=0,"NO",SUM(H17:H18))</f>
        <v>4902.2468790780122</v>
      </c>
      <c r="I16" s="1913">
        <f>IF(SUM(I17:I19)=0,"NO",SUM(I17:I19))</f>
        <v>3.342753936014705E-2</v>
      </c>
      <c r="J16" s="3085">
        <f>IF(SUM(J17:J19)=0,"NO",SUM(J17:J19))</f>
        <v>4.6142114427713432E-2</v>
      </c>
    </row>
    <row r="17" spans="2:10" ht="18" customHeight="1" x14ac:dyDescent="0.2">
      <c r="B17" s="282" t="s">
        <v>177</v>
      </c>
      <c r="C17" s="691">
        <v>3350.0764888891399</v>
      </c>
      <c r="D17" s="1909" t="s">
        <v>1814</v>
      </c>
      <c r="E17" s="1913">
        <f t="shared" ref="E17:E19" si="2">IFERROR(H17*1000/$C17,"NA")</f>
        <v>67.000000000000057</v>
      </c>
      <c r="F17" s="1913">
        <f t="shared" ref="F17:G19" si="3">IFERROR(I17*1000000/$C17,"NA")</f>
        <v>0.50000000000000044</v>
      </c>
      <c r="G17" s="1913">
        <f t="shared" si="3"/>
        <v>2.0000000000000027</v>
      </c>
      <c r="H17" s="691">
        <v>224.45512475557257</v>
      </c>
      <c r="I17" s="691">
        <v>1.6750382444445716E-3</v>
      </c>
      <c r="J17" s="2911">
        <v>6.700152977778288E-3</v>
      </c>
    </row>
    <row r="18" spans="2:10" ht="18" customHeight="1" x14ac:dyDescent="0.2">
      <c r="B18" s="282" t="s">
        <v>178</v>
      </c>
      <c r="C18" s="691">
        <v>67209.651642563796</v>
      </c>
      <c r="D18" s="1909" t="s">
        <v>1814</v>
      </c>
      <c r="E18" s="1913">
        <f t="shared" si="2"/>
        <v>69.599999999999994</v>
      </c>
      <c r="F18" s="1913">
        <f t="shared" si="3"/>
        <v>0.47243960264173807</v>
      </c>
      <c r="G18" s="1913">
        <f t="shared" si="3"/>
        <v>0.58684966349322054</v>
      </c>
      <c r="H18" s="691">
        <v>4677.7917543224394</v>
      </c>
      <c r="I18" s="691">
        <v>3.1752501115702478E-2</v>
      </c>
      <c r="J18" s="2911">
        <v>3.9441961449935142E-2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891637.32248763659</v>
      </c>
      <c r="D20" s="1909" t="s">
        <v>1814</v>
      </c>
      <c r="E20" s="628"/>
      <c r="F20" s="628"/>
      <c r="G20" s="628"/>
      <c r="H20" s="1913">
        <f>IF(SUM(H21:H24,H26,H28)=0,"NO",SUM(H21:H24,H26,H28))</f>
        <v>60320.285474319127</v>
      </c>
      <c r="I20" s="1913">
        <f>IF(SUM(I21:I24,I26:I28)=0,"NO",SUM(I21:I24,I26:I28))</f>
        <v>25.246649751167023</v>
      </c>
      <c r="J20" s="3085">
        <f>IF(SUM(J21:J24,J26:J28)=0,"NO",SUM(J21:J24,J26:J28))</f>
        <v>4.3602163853813796</v>
      </c>
    </row>
    <row r="21" spans="2:10" ht="18" customHeight="1" x14ac:dyDescent="0.2">
      <c r="B21" s="282" t="s">
        <v>167</v>
      </c>
      <c r="C21" s="1913">
        <f>IF(SUM(C31,C41,C51,C61,C72)=0,"NO",SUM(C31,C41,C51,C61,C72))</f>
        <v>574126.52978935617</v>
      </c>
      <c r="D21" s="1909" t="s">
        <v>1814</v>
      </c>
      <c r="E21" s="1913">
        <f t="shared" ref="E21:E23" si="4">IFERROR(H21*1000/$C21,"NA")</f>
        <v>67.400000000000063</v>
      </c>
      <c r="F21" s="1913">
        <f t="shared" ref="F21:G23" si="5">IFERROR(I21*1000000/$C21,"NA")</f>
        <v>33.919638033332134</v>
      </c>
      <c r="G21" s="1913">
        <f t="shared" si="5"/>
        <v>6.7625255122028323</v>
      </c>
      <c r="H21" s="1913">
        <f>IF(SUM(H31,H41,H51,H61,H72)=0,"NO",SUM(H31,H41,H51,H61,H72))</f>
        <v>38696.128107802644</v>
      </c>
      <c r="I21" s="1913">
        <f>IF(SUM(I31,I41,I51,I61,I72)=0,"NO",SUM(I31,I41,I51,I61,I72))</f>
        <v>19.474164075788039</v>
      </c>
      <c r="J21" s="3085">
        <f>IF(SUM(J31,J41,J51,J61,J72)=0,"NO",SUM(J31,J41,J51,J61,J72))</f>
        <v>3.8825453049330005</v>
      </c>
    </row>
    <row r="22" spans="2:10" ht="18" customHeight="1" x14ac:dyDescent="0.2">
      <c r="B22" s="282" t="s">
        <v>168</v>
      </c>
      <c r="C22" s="1913">
        <f t="shared" ref="C22:C29" si="6">IF(SUM(C32,C42,C52,C62,C73)=0,"NO",SUM(C32,C42,C52,C62,C73))</f>
        <v>259572.39499081683</v>
      </c>
      <c r="D22" s="1909" t="s">
        <v>1814</v>
      </c>
      <c r="E22" s="1913">
        <f t="shared" si="4"/>
        <v>69.899999999999963</v>
      </c>
      <c r="F22" s="1913">
        <f t="shared" si="5"/>
        <v>12.285946878508618</v>
      </c>
      <c r="G22" s="1913">
        <f t="shared" si="5"/>
        <v>1.656685631735509</v>
      </c>
      <c r="H22" s="1913">
        <f t="shared" ref="H22:J29" si="7">IF(SUM(H32,H42,H52,H62,H73)=0,"NO",SUM(H32,H42,H52,H62,H73))</f>
        <v>18144.110409858084</v>
      </c>
      <c r="I22" s="1913">
        <f t="shared" si="7"/>
        <v>3.1890926559844321</v>
      </c>
      <c r="J22" s="3085">
        <f t="shared" si="7"/>
        <v>0.43002985717646042</v>
      </c>
    </row>
    <row r="23" spans="2:10" ht="18" customHeight="1" x14ac:dyDescent="0.2">
      <c r="B23" s="282" t="s">
        <v>169</v>
      </c>
      <c r="C23" s="1913">
        <f t="shared" si="6"/>
        <v>57033.459679696236</v>
      </c>
      <c r="D23" s="1909" t="s">
        <v>1814</v>
      </c>
      <c r="E23" s="1913">
        <f t="shared" si="4"/>
        <v>60.199999999999989</v>
      </c>
      <c r="F23" s="1913">
        <f t="shared" si="5"/>
        <v>43.266595356628514</v>
      </c>
      <c r="G23" s="1913">
        <f t="shared" si="5"/>
        <v>0.81954038093464043</v>
      </c>
      <c r="H23" s="1913">
        <f t="shared" si="7"/>
        <v>3433.4142727177127</v>
      </c>
      <c r="I23" s="1913">
        <f t="shared" si="7"/>
        <v>2.4676436217500046</v>
      </c>
      <c r="J23" s="3085">
        <f t="shared" si="7"/>
        <v>4.6741223271918708E-2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900.00000000000023</v>
      </c>
      <c r="D26" s="1909" t="s">
        <v>1814</v>
      </c>
      <c r="E26" s="1913">
        <f t="shared" si="8"/>
        <v>51.411918339264993</v>
      </c>
      <c r="F26" s="1913">
        <f t="shared" si="9"/>
        <v>128.61044182727807</v>
      </c>
      <c r="G26" s="1913">
        <f t="shared" si="9"/>
        <v>0.99999999999999978</v>
      </c>
      <c r="H26" s="1913">
        <f t="shared" si="7"/>
        <v>46.270726505338509</v>
      </c>
      <c r="I26" s="1913">
        <f t="shared" si="7"/>
        <v>0.11574939764455028</v>
      </c>
      <c r="J26" s="3085">
        <f t="shared" si="7"/>
        <v>8.9999999999999998E-4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4.9380277674023993</v>
      </c>
      <c r="D28" s="1909" t="s">
        <v>1814</v>
      </c>
      <c r="E28" s="628"/>
      <c r="F28" s="628"/>
      <c r="G28" s="628"/>
      <c r="H28" s="1913">
        <f>H29</f>
        <v>0.36195743535059571</v>
      </c>
      <c r="I28" s="1913" t="str">
        <f>I29</f>
        <v>NE</v>
      </c>
      <c r="J28" s="3085" t="str">
        <f>J29</f>
        <v>NE</v>
      </c>
    </row>
    <row r="29" spans="2:10" ht="18" customHeight="1" x14ac:dyDescent="0.2">
      <c r="B29" s="3105" t="s">
        <v>252</v>
      </c>
      <c r="C29" s="1913">
        <f t="shared" si="6"/>
        <v>4.9380277674023993</v>
      </c>
      <c r="D29" s="1909" t="s">
        <v>1814</v>
      </c>
      <c r="E29" s="3103">
        <f t="shared" ref="E29" si="10">IFERROR(H29*1000/$C29,"NA")</f>
        <v>73.299999999999969</v>
      </c>
      <c r="F29" s="3103" t="str">
        <f>IFERROR(I29*1000000/$C29,"NA")</f>
        <v>NA</v>
      </c>
      <c r="G29" s="3103" t="str">
        <f>IFERROR(J29*1000000/$C29,"NA")</f>
        <v>NA</v>
      </c>
      <c r="H29" s="1913">
        <f t="shared" si="7"/>
        <v>0.36195743535059571</v>
      </c>
      <c r="I29" s="1913" t="str">
        <f>IF(SUM(I39,I49,I59,I69,I80)=0,"NE",SUM(I39,I49,I59,I69,I80))</f>
        <v>NE</v>
      </c>
      <c r="J29" s="3085" t="str">
        <f>IF(SUM(J39,J49,J59,J69,J80)=0,"NE",SUM(J39,J49,J59,J69,J80))</f>
        <v>NE</v>
      </c>
    </row>
    <row r="30" spans="2:10" ht="18" customHeight="1" x14ac:dyDescent="0.2">
      <c r="B30" s="1242" t="s">
        <v>182</v>
      </c>
      <c r="C30" s="1913">
        <f>IF(SUM(C31:C34,C36:C38)=0,"NO",SUM(C31:C34,C36:C38))</f>
        <v>547855.98540661973</v>
      </c>
      <c r="D30" s="1909" t="s">
        <v>1814</v>
      </c>
      <c r="E30" s="628"/>
      <c r="F30" s="628"/>
      <c r="G30" s="628"/>
      <c r="H30" s="1913">
        <f>IF(SUM(H31:H34,H36,H38)=0,"NO",SUM(H31:H34,H36,H38))</f>
        <v>36672.178680914112</v>
      </c>
      <c r="I30" s="1913">
        <f>IF(SUM(I31:I34,I36:I38)=0,"NO",SUM(I31:I34,I36:I38))</f>
        <v>19.15824838391551</v>
      </c>
      <c r="J30" s="3085">
        <f>IF(SUM(J31:J34,J36:J38)=0,"NO",SUM(J31:J34,J36:J38))</f>
        <v>3.7705992856562016</v>
      </c>
    </row>
    <row r="31" spans="2:10" ht="18" customHeight="1" x14ac:dyDescent="0.2">
      <c r="B31" s="282" t="s">
        <v>167</v>
      </c>
      <c r="C31" s="691">
        <v>490391.26834227104</v>
      </c>
      <c r="D31" s="1909" t="s">
        <v>1814</v>
      </c>
      <c r="E31" s="1913">
        <f t="shared" ref="E31:E33" si="11">IFERROR(H31*1000/$C31,"NA")</f>
        <v>67.400000000000063</v>
      </c>
      <c r="F31" s="1913">
        <f t="shared" ref="F31:G33" si="12">IFERROR(I31*1000000/$C31,"NA")</f>
        <v>35.003242239267053</v>
      </c>
      <c r="G31" s="1913">
        <f t="shared" si="12"/>
        <v>7.6137736587122555</v>
      </c>
      <c r="H31" s="691">
        <v>33052.371486269098</v>
      </c>
      <c r="I31" s="691">
        <v>17.165284357805927</v>
      </c>
      <c r="J31" s="2911">
        <v>3.7337281213668767</v>
      </c>
    </row>
    <row r="32" spans="2:10" ht="18" customHeight="1" x14ac:dyDescent="0.2">
      <c r="B32" s="282" t="s">
        <v>168</v>
      </c>
      <c r="C32" s="691">
        <v>16657.528436267199</v>
      </c>
      <c r="D32" s="1909" t="s">
        <v>1814</v>
      </c>
      <c r="E32" s="1913">
        <f t="shared" si="11"/>
        <v>69.900000000000105</v>
      </c>
      <c r="F32" s="1913">
        <f t="shared" si="12"/>
        <v>11.051231698283146</v>
      </c>
      <c r="G32" s="1913">
        <f t="shared" si="12"/>
        <v>0.22081936872572577</v>
      </c>
      <c r="H32" s="691">
        <v>1164.3612376950791</v>
      </c>
      <c r="I32" s="691">
        <v>0.18408620626992894</v>
      </c>
      <c r="J32" s="2911">
        <v>3.6783049138273492E-3</v>
      </c>
    </row>
    <row r="33" spans="2:10" ht="18" customHeight="1" x14ac:dyDescent="0.2">
      <c r="B33" s="282" t="s">
        <v>169</v>
      </c>
      <c r="C33" s="691">
        <v>40676.6938847645</v>
      </c>
      <c r="D33" s="1909" t="s">
        <v>1814</v>
      </c>
      <c r="E33" s="1913">
        <f t="shared" si="11"/>
        <v>60.19999999999996</v>
      </c>
      <c r="F33" s="1913">
        <f t="shared" si="12"/>
        <v>43.632324123044313</v>
      </c>
      <c r="G33" s="1913">
        <f t="shared" si="12"/>
        <v>0.81280855139911712</v>
      </c>
      <c r="H33" s="691">
        <v>2448.7369718628215</v>
      </c>
      <c r="I33" s="691">
        <v>1.7748186918338991</v>
      </c>
      <c r="J33" s="2911">
        <v>3.3062364632180763E-2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130.49474331706102</v>
      </c>
      <c r="D36" s="1909" t="s">
        <v>1814</v>
      </c>
      <c r="E36" s="1913">
        <f t="shared" si="13"/>
        <v>51.411918339264993</v>
      </c>
      <c r="F36" s="1913">
        <f t="shared" si="14"/>
        <v>261</v>
      </c>
      <c r="G36" s="1913">
        <f t="shared" si="14"/>
        <v>1.0000000000000002</v>
      </c>
      <c r="H36" s="691">
        <v>6.7089850871200882</v>
      </c>
      <c r="I36" s="691">
        <v>3.4059128005752927E-2</v>
      </c>
      <c r="J36" s="2911">
        <v>1.3049474331706105E-4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128386.28825584687</v>
      </c>
      <c r="D40" s="1909" t="s">
        <v>1814</v>
      </c>
      <c r="E40" s="628"/>
      <c r="F40" s="628"/>
      <c r="G40" s="628"/>
      <c r="H40" s="1913">
        <f>IF(SUM(H41:H44,H46,H48)=0,"NO",SUM(H41:H44,H46,H48))</f>
        <v>8634.3377101836377</v>
      </c>
      <c r="I40" s="1913">
        <f>IF(SUM(I41:I44,I46:I48)=0,"NO",SUM(I41:I44,I46:I48))</f>
        <v>4.2103873341679767</v>
      </c>
      <c r="J40" s="3085">
        <f>IF(SUM(J41:J44,J46:J48)=0,"NO",SUM(J41:J44,J46:J48))</f>
        <v>0.16249768937738945</v>
      </c>
    </row>
    <row r="41" spans="2:10" ht="18" customHeight="1" x14ac:dyDescent="0.2">
      <c r="B41" s="282" t="s">
        <v>167</v>
      </c>
      <c r="C41" s="691">
        <v>77188.820954093098</v>
      </c>
      <c r="D41" s="1909" t="s">
        <v>1814</v>
      </c>
      <c r="E41" s="1913">
        <f t="shared" ref="E41:E43" si="16">IFERROR(H41*1000/$C41,"NA")</f>
        <v>67.40000000000002</v>
      </c>
      <c r="F41" s="1913">
        <f t="shared" ref="F41:G43" si="17">IFERROR(I41*1000000/$C41,"NA")</f>
        <v>26.121947714157262</v>
      </c>
      <c r="G41" s="1913">
        <f t="shared" si="17"/>
        <v>1.849970583582099</v>
      </c>
      <c r="H41" s="691">
        <v>5202.5265323058766</v>
      </c>
      <c r="I41" s="691">
        <v>2.0163223450802663</v>
      </c>
      <c r="J41" s="2911">
        <v>0.14279704814645777</v>
      </c>
    </row>
    <row r="42" spans="2:10" ht="18" customHeight="1" x14ac:dyDescent="0.2">
      <c r="B42" s="282" t="s">
        <v>168</v>
      </c>
      <c r="C42" s="691">
        <v>36076.465329883598</v>
      </c>
      <c r="D42" s="1909" t="s">
        <v>1814</v>
      </c>
      <c r="E42" s="1913">
        <f t="shared" si="16"/>
        <v>69.899999999999963</v>
      </c>
      <c r="F42" s="1913">
        <f t="shared" si="17"/>
        <v>42.102551240195474</v>
      </c>
      <c r="G42" s="1913">
        <f t="shared" si="17"/>
        <v>0.24164833015577702</v>
      </c>
      <c r="H42" s="691">
        <v>2521.7449265588621</v>
      </c>
      <c r="I42" s="691">
        <v>1.5189112301165597</v>
      </c>
      <c r="J42" s="2911">
        <v>8.7178176048891554E-3</v>
      </c>
    </row>
    <row r="43" spans="2:10" ht="18" customHeight="1" x14ac:dyDescent="0.2">
      <c r="B43" s="282" t="s">
        <v>169</v>
      </c>
      <c r="C43" s="691">
        <v>15096.1879799088</v>
      </c>
      <c r="D43" s="1909" t="s">
        <v>1814</v>
      </c>
      <c r="E43" s="1913">
        <f t="shared" si="16"/>
        <v>60.20000000000006</v>
      </c>
      <c r="F43" s="1913">
        <f t="shared" si="17"/>
        <v>44.294447575716433</v>
      </c>
      <c r="G43" s="1913">
        <f t="shared" si="17"/>
        <v>0.72587925168028755</v>
      </c>
      <c r="H43" s="691">
        <v>908.79051639051067</v>
      </c>
      <c r="I43" s="691">
        <v>0.6686773070692309</v>
      </c>
      <c r="J43" s="2911">
        <v>1.0958009634081152E-2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24.8139919613782</v>
      </c>
      <c r="D46" s="1909" t="s">
        <v>1814</v>
      </c>
      <c r="E46" s="1913">
        <f t="shared" si="18"/>
        <v>51.411918339265057</v>
      </c>
      <c r="F46" s="1913">
        <f t="shared" si="19"/>
        <v>261.00000000000028</v>
      </c>
      <c r="G46" s="1913">
        <f t="shared" si="19"/>
        <v>1.0000000000000011</v>
      </c>
      <c r="H46" s="691">
        <v>1.2757349283895556</v>
      </c>
      <c r="I46" s="691">
        <v>6.476451901919718E-3</v>
      </c>
      <c r="J46" s="2911">
        <v>2.4813991961378226E-5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212320.31101820292</v>
      </c>
      <c r="D50" s="1909" t="s">
        <v>1814</v>
      </c>
      <c r="E50" s="628"/>
      <c r="F50" s="628"/>
      <c r="G50" s="628"/>
      <c r="H50" s="1913">
        <f>IF(SUM(H51:H54,H56,H58)=0,"NO",SUM(H51:H54,H56,H58))</f>
        <v>14806.502620667959</v>
      </c>
      <c r="I50" s="1913">
        <f>IF(SUM(I51:I54,I56:I58)=0,"NO",SUM(I51:I54,I56:I58))</f>
        <v>1.649810064959865</v>
      </c>
      <c r="J50" s="3085">
        <f>IF(SUM(J51:J54,J56:J58)=0,"NO",SUM(J51:J54,J56:J58))</f>
        <v>0.42407669077280602</v>
      </c>
    </row>
    <row r="51" spans="2:10" ht="18" customHeight="1" x14ac:dyDescent="0.2">
      <c r="B51" s="282" t="s">
        <v>167</v>
      </c>
      <c r="C51" s="691">
        <v>3476.6407137924098</v>
      </c>
      <c r="D51" s="1909" t="s">
        <v>1814</v>
      </c>
      <c r="E51" s="1913">
        <f t="shared" ref="E51:E53" si="21">IFERROR(H51*1000/$C51,"NA")</f>
        <v>67.399999999999949</v>
      </c>
      <c r="F51" s="1913">
        <f t="shared" ref="F51:G53" si="22">IFERROR(I51*1000000/$C51,"NA")</f>
        <v>18.510225840383328</v>
      </c>
      <c r="G51" s="1913">
        <f t="shared" si="22"/>
        <v>0.8564059647785528</v>
      </c>
      <c r="H51" s="691">
        <v>234.32558410960826</v>
      </c>
      <c r="I51" s="691">
        <v>6.4353404778169004E-2</v>
      </c>
      <c r="J51" s="2911">
        <v>2.9774158446837849E-3</v>
      </c>
    </row>
    <row r="52" spans="2:10" ht="18" customHeight="1" x14ac:dyDescent="0.2">
      <c r="B52" s="282" t="s">
        <v>168</v>
      </c>
      <c r="C52" s="691">
        <v>206838.40122466601</v>
      </c>
      <c r="D52" s="1909" t="s">
        <v>1814</v>
      </c>
      <c r="E52" s="1913">
        <f t="shared" si="21"/>
        <v>69.899999999999935</v>
      </c>
      <c r="F52" s="1913">
        <f t="shared" si="22"/>
        <v>7.1848129302825168</v>
      </c>
      <c r="G52" s="1913">
        <f t="shared" si="22"/>
        <v>2.019130549187111</v>
      </c>
      <c r="H52" s="691">
        <v>14458.004245604141</v>
      </c>
      <c r="I52" s="691">
        <v>1.4860952195979436</v>
      </c>
      <c r="J52" s="2911">
        <v>0.41763373465774389</v>
      </c>
    </row>
    <row r="53" spans="2:10" ht="18" customHeight="1" x14ac:dyDescent="0.2">
      <c r="B53" s="282" t="s">
        <v>169</v>
      </c>
      <c r="C53" s="691">
        <v>1260.5778150229401</v>
      </c>
      <c r="D53" s="1909" t="s">
        <v>1814</v>
      </c>
      <c r="E53" s="1913">
        <f t="shared" si="21"/>
        <v>60.199999999999783</v>
      </c>
      <c r="F53" s="1913">
        <f t="shared" si="22"/>
        <v>19.155995416622051</v>
      </c>
      <c r="G53" s="1913">
        <f t="shared" si="22"/>
        <v>2.1584141599440052</v>
      </c>
      <c r="H53" s="691">
        <v>75.886784464380725</v>
      </c>
      <c r="I53" s="691">
        <v>2.414762284687488E-2</v>
      </c>
      <c r="J53" s="2911">
        <v>2.7208490056567889E-3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744.69126472156097</v>
      </c>
      <c r="D56" s="1909" t="s">
        <v>1814</v>
      </c>
      <c r="E56" s="1913">
        <f t="shared" si="23"/>
        <v>51.411918339264993</v>
      </c>
      <c r="F56" s="1913">
        <f t="shared" si="24"/>
        <v>100.99999999999997</v>
      </c>
      <c r="G56" s="1913">
        <f t="shared" si="24"/>
        <v>0.99999999999999967</v>
      </c>
      <c r="H56" s="691">
        <v>38.286006489828864</v>
      </c>
      <c r="I56" s="691">
        <v>7.5213817736877631E-2</v>
      </c>
      <c r="J56" s="2911">
        <v>7.4469126472156077E-4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3074.7378069670822</v>
      </c>
      <c r="D60" s="1909" t="s">
        <v>1814</v>
      </c>
      <c r="E60" s="628"/>
      <c r="F60" s="628"/>
      <c r="G60" s="628"/>
      <c r="H60" s="1913">
        <f>IF(SUM(H61:H64,H66,H68)=0,"NO",SUM(H61:H64,H66,H68))</f>
        <v>207.26646255340893</v>
      </c>
      <c r="I60" s="1913">
        <f>IF(SUM(I61:I64,I66:I68)=0,"NO",SUM(I61:I64,I66:I68))</f>
        <v>0.22820396812367513</v>
      </c>
      <c r="J60" s="3085">
        <f>IF(SUM(J61:J64,J66:J68)=0,"NO",SUM(J61:J64,J66:J68))</f>
        <v>3.0427195749823358E-3</v>
      </c>
    </row>
    <row r="61" spans="2:10" ht="18" customHeight="1" x14ac:dyDescent="0.2">
      <c r="B61" s="282" t="s">
        <v>167</v>
      </c>
      <c r="C61" s="691">
        <v>3069.79977919968</v>
      </c>
      <c r="D61" s="1909" t="s">
        <v>1814</v>
      </c>
      <c r="E61" s="1913">
        <f t="shared" ref="E61:E63" si="26">IFERROR(H61*1000/$C61,"NA")</f>
        <v>67.399999999999963</v>
      </c>
      <c r="F61" s="1913">
        <f t="shared" ref="F61:G63" si="27">IFERROR(I61*1000000/$C61,"NA")</f>
        <v>74.338388343740647</v>
      </c>
      <c r="G61" s="1913">
        <f t="shared" si="27"/>
        <v>0.99117851124987566</v>
      </c>
      <c r="H61" s="691">
        <v>206.90450511805832</v>
      </c>
      <c r="I61" s="691">
        <v>0.22820396812367513</v>
      </c>
      <c r="J61" s="2911">
        <v>3.0427195749823358E-3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4.9380277674023993</v>
      </c>
      <c r="D68" s="1909" t="s">
        <v>1814</v>
      </c>
      <c r="E68" s="628"/>
      <c r="F68" s="628"/>
      <c r="G68" s="628"/>
      <c r="H68" s="1913">
        <f>H69</f>
        <v>0.36195743535059571</v>
      </c>
      <c r="I68" s="1913" t="str">
        <f>I69</f>
        <v>NE</v>
      </c>
      <c r="J68" s="3085" t="str">
        <f>J69</f>
        <v>NE</v>
      </c>
    </row>
    <row r="69" spans="2:10" ht="18" customHeight="1" x14ac:dyDescent="0.2">
      <c r="B69" s="3105" t="s">
        <v>252</v>
      </c>
      <c r="C69" s="691">
        <v>4.9380277674023993</v>
      </c>
      <c r="D69" s="1909" t="s">
        <v>1814</v>
      </c>
      <c r="E69" s="3103">
        <f t="shared" ref="E69" si="30">IFERROR(H69*1000/$C69,"NA")</f>
        <v>73.299999999999969</v>
      </c>
      <c r="F69" s="3103" t="str">
        <f>IFERROR(I69*1000000/$C69,"NA")</f>
        <v>NA</v>
      </c>
      <c r="G69" s="3103" t="str">
        <f>IFERROR(J69*1000000/$C69,"NA")</f>
        <v>NA</v>
      </c>
      <c r="H69" s="691">
        <v>0.36195743535059571</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22410</v>
      </c>
      <c r="D81" s="1909" t="s">
        <v>1814</v>
      </c>
      <c r="E81" s="628"/>
      <c r="F81" s="628"/>
      <c r="G81" s="628"/>
      <c r="H81" s="1913">
        <f>IF(SUM(H82:H84,H86)=0,"NO",SUM(H82:H84,H86))</f>
        <v>1566.4590000000001</v>
      </c>
      <c r="I81" s="1913">
        <f>IF(SUM(I82:I86)=0,"NO",SUM(I82:I86))</f>
        <v>8.9639999999999997E-2</v>
      </c>
      <c r="J81" s="3085">
        <f>IF(SUM(J82:J86)=0,"NO",SUM(J82:J86))</f>
        <v>0.6722999999999999</v>
      </c>
    </row>
    <row r="82" spans="2:10" ht="18" customHeight="1" x14ac:dyDescent="0.2">
      <c r="B82" s="282" t="s">
        <v>132</v>
      </c>
      <c r="C82" s="691">
        <v>22410</v>
      </c>
      <c r="D82" s="1909" t="s">
        <v>1814</v>
      </c>
      <c r="E82" s="1913">
        <f t="shared" ref="E82:E85" si="36">IFERROR(H82*1000/$C82,"NA")</f>
        <v>69.900000000000006</v>
      </c>
      <c r="F82" s="1913">
        <f t="shared" ref="F82:G85" si="37">IFERROR(I82*1000000/$C82,"NA")</f>
        <v>4</v>
      </c>
      <c r="G82" s="1913">
        <f t="shared" si="37"/>
        <v>29.999999999999996</v>
      </c>
      <c r="H82" s="691">
        <v>1566.4590000000001</v>
      </c>
      <c r="I82" s="691">
        <v>8.9639999999999997E-2</v>
      </c>
      <c r="J82" s="2911">
        <v>0.6722999999999999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29236.068294717523</v>
      </c>
      <c r="D88" s="1909" t="s">
        <v>1814</v>
      </c>
      <c r="E88" s="628"/>
      <c r="F88" s="628"/>
      <c r="G88" s="628"/>
      <c r="H88" s="1913">
        <f>IF(SUM(H89:H92,H94,H96)=0,"NO",SUM(H89:H92,H94,H96))</f>
        <v>2141.6170486708329</v>
      </c>
      <c r="I88" s="3334">
        <f>IF(SUM(I89:I92,I94:I96)=0,"NE",SUM(I89:I92,I94:I96))</f>
        <v>3.8459719720834959</v>
      </c>
      <c r="J88" s="3335">
        <f>IF(SUM(J89:J92,J94:J96)=0,"NE",SUM(J89:J92,J94:J96))</f>
        <v>4.3221264393767486E-2</v>
      </c>
    </row>
    <row r="89" spans="2:10" ht="18" customHeight="1" x14ac:dyDescent="0.2">
      <c r="B89" s="282" t="s">
        <v>190</v>
      </c>
      <c r="C89" s="691">
        <v>10277.43</v>
      </c>
      <c r="D89" s="1909" t="s">
        <v>1814</v>
      </c>
      <c r="E89" s="1913">
        <f t="shared" ref="E89:E91" si="39">IFERROR(H89*1000/$C89,"NA")</f>
        <v>73.599999999999994</v>
      </c>
      <c r="F89" s="1913">
        <f t="shared" ref="F89:G91" si="40">IFERROR(I89*1000000/$C89,"NA")</f>
        <v>7.0000000000000009</v>
      </c>
      <c r="G89" s="1913">
        <f t="shared" si="40"/>
        <v>2.0000000000000004</v>
      </c>
      <c r="H89" s="691">
        <v>756.41884800000003</v>
      </c>
      <c r="I89" s="3336">
        <v>7.1942010000000015E-2</v>
      </c>
      <c r="J89" s="3337">
        <v>2.0554860000000005E-2</v>
      </c>
    </row>
    <row r="90" spans="2:10" ht="18" customHeight="1" x14ac:dyDescent="0.2">
      <c r="B90" s="282" t="s">
        <v>191</v>
      </c>
      <c r="C90" s="691">
        <v>4711.0867533713699</v>
      </c>
      <c r="D90" s="1909" t="s">
        <v>1814</v>
      </c>
      <c r="E90" s="1913">
        <f t="shared" si="39"/>
        <v>69.899999999999949</v>
      </c>
      <c r="F90" s="1913">
        <f t="shared" si="40"/>
        <v>6.9999999999999938</v>
      </c>
      <c r="G90" s="1913">
        <f t="shared" si="40"/>
        <v>1.9999999999999984</v>
      </c>
      <c r="H90" s="691">
        <v>329.30496406065851</v>
      </c>
      <c r="I90" s="3336">
        <v>3.2977607273599559E-2</v>
      </c>
      <c r="J90" s="3337">
        <v>9.4221735067427318E-3</v>
      </c>
    </row>
    <row r="91" spans="2:10" ht="18" customHeight="1" x14ac:dyDescent="0.2">
      <c r="B91" s="282" t="s">
        <v>167</v>
      </c>
      <c r="C91" s="691">
        <v>10015.812096694201</v>
      </c>
      <c r="D91" s="1909" t="s">
        <v>1814</v>
      </c>
      <c r="E91" s="1913">
        <f t="shared" si="39"/>
        <v>67.399999999999707</v>
      </c>
      <c r="F91" s="1913">
        <f t="shared" si="40"/>
        <v>359.99999999999841</v>
      </c>
      <c r="G91" s="1913">
        <f t="shared" si="40"/>
        <v>0.89999999999999614</v>
      </c>
      <c r="H91" s="691">
        <v>675.06573531718618</v>
      </c>
      <c r="I91" s="3336">
        <v>3.6056923548098965</v>
      </c>
      <c r="J91" s="3337">
        <v>9.0142308870247417E-3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t="s">
        <v>2146</v>
      </c>
      <c r="D94" s="1909" t="s">
        <v>1814</v>
      </c>
      <c r="E94" s="1913" t="str">
        <f t="shared" ref="E94:E95" si="43">IFERROR(H94*1000/$C94,"NA")</f>
        <v>NA</v>
      </c>
      <c r="F94" s="1913" t="str">
        <f t="shared" si="42"/>
        <v>NA</v>
      </c>
      <c r="G94" s="1913" t="str">
        <f t="shared" si="42"/>
        <v>NA</v>
      </c>
      <c r="H94" s="691" t="s">
        <v>2146</v>
      </c>
      <c r="I94" s="3336" t="s">
        <v>2146</v>
      </c>
      <c r="J94" s="3337" t="s">
        <v>2146</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4231.739444651952</v>
      </c>
      <c r="D96" s="1909" t="s">
        <v>1814</v>
      </c>
      <c r="E96" s="628"/>
      <c r="F96" s="628"/>
      <c r="G96" s="628"/>
      <c r="H96" s="1913">
        <f>IF(SUM(H97:H98)=0,"NO",SUM(H97:H98))</f>
        <v>380.82750129298819</v>
      </c>
      <c r="I96" s="3334">
        <f>IF(SUM(I97:I98)=0,"NE",SUM(I97:I98))</f>
        <v>0.13536000000000004</v>
      </c>
      <c r="J96" s="3335">
        <f>IF(SUM(J97:J98)=0,"NE",SUM(J97:J98))</f>
        <v>4.2300000000000011E-3</v>
      </c>
    </row>
    <row r="97" spans="2:10" ht="18" customHeight="1" x14ac:dyDescent="0.2">
      <c r="B97" s="2572" t="s">
        <v>2260</v>
      </c>
      <c r="C97" s="691">
        <v>4230</v>
      </c>
      <c r="D97" s="1909" t="s">
        <v>1814</v>
      </c>
      <c r="E97" s="3103">
        <f t="shared" ref="E97" si="44">IFERROR(H97*1000/$C97,"NA")</f>
        <v>90.000000000000028</v>
      </c>
      <c r="F97" s="3103">
        <f>IFERROR(I97*1000000/$C97,"NA")</f>
        <v>32.000000000000007</v>
      </c>
      <c r="G97" s="3103">
        <f>IFERROR(J97*1000000/$C97,"NA")</f>
        <v>1.0000000000000002</v>
      </c>
      <c r="H97" s="691">
        <v>380.7000000000001</v>
      </c>
      <c r="I97" s="3336">
        <v>0.13536000000000004</v>
      </c>
      <c r="J97" s="3337">
        <v>4.2300000000000011E-3</v>
      </c>
    </row>
    <row r="98" spans="2:10" ht="18" customHeight="1" x14ac:dyDescent="0.2">
      <c r="B98" s="2572" t="s">
        <v>252</v>
      </c>
      <c r="C98" s="691">
        <v>1.7394446519520699</v>
      </c>
      <c r="D98" s="1909" t="s">
        <v>1814</v>
      </c>
      <c r="E98" s="3103">
        <f t="shared" ref="E98" si="45">IFERROR(H98*1000/$C98,"NA")</f>
        <v>73.299999999999955</v>
      </c>
      <c r="F98" s="3103" t="str">
        <f>IFERROR(I98*1000000/$C98,"NA")</f>
        <v>NA</v>
      </c>
      <c r="G98" s="3103" t="str">
        <f>IFERROR(J98*1000000/$C98,"NA")</f>
        <v>NA</v>
      </c>
      <c r="H98" s="691">
        <v>0.12750129298808663</v>
      </c>
      <c r="I98" s="3336" t="s">
        <v>2154</v>
      </c>
      <c r="J98" s="3337" t="s">
        <v>2154</v>
      </c>
    </row>
    <row r="99" spans="2:10" ht="18" customHeight="1" x14ac:dyDescent="0.2">
      <c r="B99" s="1241" t="s">
        <v>193</v>
      </c>
      <c r="C99" s="1913">
        <f>IF(SUM(C100:C104)=0,"NO",SUM(C100:C104))</f>
        <v>9326.4420834914872</v>
      </c>
      <c r="D99" s="1909" t="s">
        <v>1814</v>
      </c>
      <c r="E99" s="628"/>
      <c r="F99" s="628"/>
      <c r="G99" s="628"/>
      <c r="H99" s="1913">
        <f>IF(SUM(H100:H103)=0,"NO",SUM(H100:H103))</f>
        <v>488.59481985584591</v>
      </c>
      <c r="I99" s="1913">
        <f>IF(SUM(I100:I104)=0,"NO",SUM(I100:I104))</f>
        <v>9.8090010912846762E-2</v>
      </c>
      <c r="J99" s="3085">
        <f>IF(SUM(J100:J104)=0,"NO",SUM(J100:J104))</f>
        <v>9.8936278337741451E-4</v>
      </c>
    </row>
    <row r="100" spans="2:10" ht="18" customHeight="1" x14ac:dyDescent="0.2">
      <c r="B100" s="282" t="s">
        <v>132</v>
      </c>
      <c r="C100" s="1913">
        <f>IF(SUM(C106,C113:C116)=0,"NO",SUM(C106,C113:C116))</f>
        <v>611.62800018927896</v>
      </c>
      <c r="D100" s="1909" t="s">
        <v>1814</v>
      </c>
      <c r="E100" s="3103">
        <f t="shared" ref="E100:E104" si="46">IFERROR(H100*1000/$C100,"NA")</f>
        <v>65.767522065275372</v>
      </c>
      <c r="F100" s="3103">
        <f t="shared" ref="F100:G104" si="47">IFERROR(I100*1000000/$C100,"NA")</f>
        <v>48.788962956435732</v>
      </c>
      <c r="G100" s="3103">
        <f t="shared" si="47"/>
        <v>0.19515585182574297</v>
      </c>
      <c r="H100" s="1913">
        <f>IF(SUM(H106,H113:H116)=0,"NO",SUM(H106,H113:H116))</f>
        <v>40.225257998188653</v>
      </c>
      <c r="I100" s="1913">
        <f>IF(SUM(I106,I113:I116)=0,"NO",SUM(I106,I113:I116))</f>
        <v>2.9840695844353598E-2</v>
      </c>
      <c r="J100" s="3085">
        <f>IF(SUM(J106,J113:J116)=0,"NO",SUM(J106,J113:J116))</f>
        <v>1.1936278337741441E-4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8700</v>
      </c>
      <c r="D102" s="1909" t="s">
        <v>1814</v>
      </c>
      <c r="E102" s="3103">
        <f t="shared" si="46"/>
        <v>51.411918339265</v>
      </c>
      <c r="F102" s="3103">
        <f t="shared" si="47"/>
        <v>7.84474885844749</v>
      </c>
      <c r="G102" s="3103">
        <f t="shared" si="47"/>
        <v>0.10000000000000002</v>
      </c>
      <c r="H102" s="1913">
        <f t="shared" si="48"/>
        <v>447.28368955160551</v>
      </c>
      <c r="I102" s="1913">
        <f t="shared" si="48"/>
        <v>6.824931506849316E-2</v>
      </c>
      <c r="J102" s="3085">
        <f t="shared" si="48"/>
        <v>8.7000000000000011E-4</v>
      </c>
    </row>
    <row r="103" spans="2:10" ht="18" customHeight="1" x14ac:dyDescent="0.2">
      <c r="B103" s="282" t="s">
        <v>175</v>
      </c>
      <c r="C103" s="1913">
        <f>IF(SUM(C109,C120)=0,"NO",SUM(C109,C120))</f>
        <v>14.8140833022072</v>
      </c>
      <c r="D103" s="1909" t="s">
        <v>1814</v>
      </c>
      <c r="E103" s="3103">
        <f t="shared" si="46"/>
        <v>73.29999999999994</v>
      </c>
      <c r="F103" s="3103" t="str">
        <f t="shared" si="47"/>
        <v>NA</v>
      </c>
      <c r="G103" s="3103" t="str">
        <f t="shared" si="47"/>
        <v>NA</v>
      </c>
      <c r="H103" s="1913">
        <f t="shared" si="48"/>
        <v>1.0858723060517868</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8700</v>
      </c>
      <c r="D105" s="1909" t="s">
        <v>1814</v>
      </c>
      <c r="E105" s="628"/>
      <c r="F105" s="628"/>
      <c r="G105" s="628"/>
      <c r="H105" s="1913">
        <f>IF(SUM(H106:H109)=0,"NO",SUM(H106:H109))</f>
        <v>447.28368955160551</v>
      </c>
      <c r="I105" s="1913">
        <f>IF(SUM(I106:I110)=0,"NO",SUM(I106:I110))</f>
        <v>6.824931506849316E-2</v>
      </c>
      <c r="J105" s="3085">
        <f>IF(SUM(J106:J110)=0,"NO",SUM(J106:J110))</f>
        <v>8.7000000000000011E-4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8700</v>
      </c>
      <c r="D108" s="1909" t="s">
        <v>1814</v>
      </c>
      <c r="E108" s="3103">
        <f t="shared" si="49"/>
        <v>51.411918339265</v>
      </c>
      <c r="F108" s="3103">
        <f t="shared" si="50"/>
        <v>7.84474885844749</v>
      </c>
      <c r="G108" s="3103">
        <f t="shared" si="50"/>
        <v>0.10000000000000002</v>
      </c>
      <c r="H108" s="691">
        <v>447.28368955160551</v>
      </c>
      <c r="I108" s="691">
        <v>6.824931506849316E-2</v>
      </c>
      <c r="J108" s="2911">
        <v>8.7000000000000011E-4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626.44208349148619</v>
      </c>
      <c r="D111" s="1909" t="s">
        <v>1814</v>
      </c>
      <c r="E111" s="628"/>
      <c r="F111" s="628"/>
      <c r="G111" s="628"/>
      <c r="H111" s="1913">
        <f>H112</f>
        <v>41.311130304240436</v>
      </c>
      <c r="I111" s="1913">
        <f>I112</f>
        <v>2.9840695844353598E-2</v>
      </c>
      <c r="J111" s="3085">
        <f>J112</f>
        <v>1.1936278337741441E-4</v>
      </c>
    </row>
    <row r="112" spans="2:10" ht="18" customHeight="1" x14ac:dyDescent="0.2">
      <c r="B112" s="3089" t="s">
        <v>2148</v>
      </c>
      <c r="C112" s="3099">
        <f>IF(SUM(C113:C116,C118:C121)=0,"NO",SUM(C113:C116,C118:C121))</f>
        <v>626.44208349148619</v>
      </c>
      <c r="D112" s="3099" t="s">
        <v>1814</v>
      </c>
      <c r="E112" s="628"/>
      <c r="F112" s="628"/>
      <c r="G112" s="628"/>
      <c r="H112" s="3099">
        <f>IF(SUM(H113:H116,H118:H120)=0,"NO",SUM(H113:H116,H118:H120))</f>
        <v>41.311130304240436</v>
      </c>
      <c r="I112" s="3099">
        <f>IF(SUM(I113:I116,I118:I121)=0,"NO",SUM(I113:I116,I118:I121))</f>
        <v>2.9840695844353598E-2</v>
      </c>
      <c r="J112" s="3100">
        <f>IF(SUM(J113:J116,J118:J121)=0,"NO",SUM(J113:J116,J118:J121))</f>
        <v>1.1936278337741441E-4</v>
      </c>
    </row>
    <row r="113" spans="2:10" ht="18" customHeight="1" x14ac:dyDescent="0.2">
      <c r="B113" s="282" t="s">
        <v>167</v>
      </c>
      <c r="C113" s="691">
        <v>611.62800018927896</v>
      </c>
      <c r="D113" s="1913" t="s">
        <v>1814</v>
      </c>
      <c r="E113" s="1913">
        <f t="shared" ref="E113:E115" si="51">IFERROR(H113*1000/$C113,"NA")</f>
        <v>65.767522065275372</v>
      </c>
      <c r="F113" s="1913">
        <f t="shared" ref="F113:G115" si="52">IFERROR(I113*1000000/$C113,"NA")</f>
        <v>48.788962956435732</v>
      </c>
      <c r="G113" s="1913">
        <f t="shared" si="52"/>
        <v>0.19515585182574297</v>
      </c>
      <c r="H113" s="691">
        <v>40.225257998188653</v>
      </c>
      <c r="I113" s="691">
        <v>2.9840695844353598E-2</v>
      </c>
      <c r="J113" s="2911">
        <v>1.1936278337741441E-4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14.8140833022072</v>
      </c>
      <c r="D120" s="1909" t="s">
        <v>1814</v>
      </c>
      <c r="E120" s="3103">
        <f t="shared" si="53"/>
        <v>73.29999999999994</v>
      </c>
      <c r="F120" s="3103" t="str">
        <f t="shared" si="54"/>
        <v>NA</v>
      </c>
      <c r="G120" s="3103" t="str">
        <f t="shared" si="54"/>
        <v>NA</v>
      </c>
      <c r="H120" s="691">
        <v>1.0858723060517868</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351418.31822561211</v>
      </c>
      <c r="D10" s="3109" t="s">
        <v>1814</v>
      </c>
      <c r="E10" s="2135"/>
      <c r="F10" s="2135"/>
      <c r="G10" s="2135"/>
      <c r="H10" s="3109">
        <f>IF(SUM(H11:H15)=0,"NO",SUM(H11:H15))</f>
        <v>15631.368149487875</v>
      </c>
      <c r="I10" s="3109">
        <f>IF(SUM(I11:I16)=0,"NO",SUM(I11:I16))</f>
        <v>82.000511244687715</v>
      </c>
      <c r="J10" s="3109">
        <f>IF(SUM(J11:J16)=0,"NO",SUM(J11:J16))</f>
        <v>0.59864468082477562</v>
      </c>
      <c r="K10" s="420" t="str">
        <f>IF(SUM(K11:K16)=0,"NO",SUM(K11:K16))</f>
        <v>NO</v>
      </c>
    </row>
    <row r="11" spans="2:12" ht="18" customHeight="1" x14ac:dyDescent="0.2">
      <c r="B11" s="282" t="s">
        <v>132</v>
      </c>
      <c r="C11" s="1913">
        <f>IF(SUM(C18,C39,C60)=0,"NO",SUM(C18,C39,C60))</f>
        <v>100520.89822561212</v>
      </c>
      <c r="D11" s="3109" t="s">
        <v>1814</v>
      </c>
      <c r="E11" s="1913">
        <f t="shared" ref="E11:E16" si="0">IFERROR(H11*1000/$C11,"NA")</f>
        <v>68.16055718381439</v>
      </c>
      <c r="F11" s="1913">
        <f t="shared" ref="F11:G16" si="1">IFERROR(I11*1000000/$C11,"NA")</f>
        <v>9.5385634034789533</v>
      </c>
      <c r="G11" s="1913">
        <f t="shared" si="1"/>
        <v>2.6535177046164131</v>
      </c>
      <c r="H11" s="1913">
        <f>IF(SUM(H18,H39,H60)=0,"NO",SUM(H18,H39,H60))</f>
        <v>6851.5604316752215</v>
      </c>
      <c r="I11" s="1913">
        <f>IF(SUM(I18,I39,I60)=0,"NO",SUM(I18,I39,I60))</f>
        <v>0.9588249610996562</v>
      </c>
      <c r="J11" s="1913">
        <f>IF(SUM(J18,J39,J60)=0,"NO",SUM(J18,J39,J60))</f>
        <v>0.26673398312560637</v>
      </c>
      <c r="K11" s="3085" t="str">
        <f>IF(SUM(K18,K39,K60)=0,"NO",SUM(K18,K39,K60))</f>
        <v>NO</v>
      </c>
    </row>
    <row r="12" spans="2:12" ht="18" customHeight="1" x14ac:dyDescent="0.2">
      <c r="B12" s="282" t="s">
        <v>133</v>
      </c>
      <c r="C12" s="1913">
        <f t="shared" ref="C12:C16" si="2">IF(SUM(C19,C40,C61)=0,"NO",SUM(C19,C40,C61))</f>
        <v>2500</v>
      </c>
      <c r="D12" s="3109" t="s">
        <v>1814</v>
      </c>
      <c r="E12" s="1913">
        <f t="shared" si="0"/>
        <v>92.6</v>
      </c>
      <c r="F12" s="1913">
        <f t="shared" si="1"/>
        <v>0.95238095238095233</v>
      </c>
      <c r="G12" s="1913">
        <f t="shared" si="1"/>
        <v>0.66666666666666674</v>
      </c>
      <c r="H12" s="1913">
        <f t="shared" ref="H12:K16" si="3">IF(SUM(H19,H40,H61)=0,"NO",SUM(H19,H40,H61))</f>
        <v>231.5</v>
      </c>
      <c r="I12" s="1913">
        <f t="shared" si="3"/>
        <v>2.3809523809523807E-3</v>
      </c>
      <c r="J12" s="1913">
        <f t="shared" si="3"/>
        <v>1.6666666666666668E-3</v>
      </c>
      <c r="K12" s="3085" t="str">
        <f t="shared" si="3"/>
        <v>NO</v>
      </c>
    </row>
    <row r="13" spans="2:12" ht="18" customHeight="1" x14ac:dyDescent="0.2">
      <c r="B13" s="282" t="s">
        <v>134</v>
      </c>
      <c r="C13" s="1913">
        <f t="shared" si="2"/>
        <v>166100.00000000003</v>
      </c>
      <c r="D13" s="3109" t="s">
        <v>1814</v>
      </c>
      <c r="E13" s="1913">
        <f t="shared" si="0"/>
        <v>51.46482671771615</v>
      </c>
      <c r="F13" s="1913">
        <f t="shared" si="1"/>
        <v>0.90909090909090906</v>
      </c>
      <c r="G13" s="1913">
        <f t="shared" si="1"/>
        <v>0.90909090909090906</v>
      </c>
      <c r="H13" s="1913">
        <f t="shared" si="3"/>
        <v>8548.3077178126532</v>
      </c>
      <c r="I13" s="1913">
        <f t="shared" si="3"/>
        <v>0.15100000000000002</v>
      </c>
      <c r="J13" s="1913">
        <f t="shared" si="3"/>
        <v>0.15100000000000002</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82297.42</v>
      </c>
      <c r="D16" s="3109" t="s">
        <v>1814</v>
      </c>
      <c r="E16" s="1913">
        <f t="shared" si="0"/>
        <v>74.501586440984411</v>
      </c>
      <c r="F16" s="1913">
        <f t="shared" si="1"/>
        <v>982.87777832169115</v>
      </c>
      <c r="G16" s="1913">
        <f t="shared" si="1"/>
        <v>2.1780030410734939</v>
      </c>
      <c r="H16" s="1913">
        <f t="shared" si="3"/>
        <v>6131.2883499999998</v>
      </c>
      <c r="I16" s="1913">
        <f t="shared" si="3"/>
        <v>80.888305331207107</v>
      </c>
      <c r="J16" s="1913">
        <f t="shared" si="3"/>
        <v>0.17924403103250255</v>
      </c>
      <c r="K16" s="3085" t="str">
        <f t="shared" si="3"/>
        <v>NO</v>
      </c>
    </row>
    <row r="17" spans="2:11" ht="18" customHeight="1" x14ac:dyDescent="0.2">
      <c r="B17" s="1241" t="s">
        <v>1942</v>
      </c>
      <c r="C17" s="3109">
        <f>IF(SUM(C18:C23)=0,"NO",SUM(C18:C23))</f>
        <v>73717.42</v>
      </c>
      <c r="D17" s="3109" t="s">
        <v>1814</v>
      </c>
      <c r="E17" s="628"/>
      <c r="F17" s="628"/>
      <c r="G17" s="628"/>
      <c r="H17" s="3078">
        <f>IF(SUM(H18:H22)=0,"NO",SUM(H18:H22))</f>
        <v>4231.3636149561316</v>
      </c>
      <c r="I17" s="3078">
        <f>IF(SUM(I18:I23)=0,"NO",SUM(I18:I23))</f>
        <v>7.3021804545454566E-2</v>
      </c>
      <c r="J17" s="3110">
        <f>IF(SUM(J18:J23)=0,"NO",SUM(J18:J23))</f>
        <v>8.4889452164502166E-2</v>
      </c>
      <c r="K17" s="3085" t="str">
        <f>IF(SUM(K18:K23)=0,"NO",SUM(K18:K23))</f>
        <v>NO</v>
      </c>
    </row>
    <row r="18" spans="2:11" ht="18" customHeight="1" x14ac:dyDescent="0.2">
      <c r="B18" s="282" t="s">
        <v>132</v>
      </c>
      <c r="C18" s="3109">
        <f>IF(SUM(C26,C33)=0,"NO",SUM(C26,C33))</f>
        <v>22220</v>
      </c>
      <c r="D18" s="3109" t="s">
        <v>1814</v>
      </c>
      <c r="E18" s="1913">
        <f t="shared" ref="E18" si="4">IFERROR(H18*1000/$C18,"NA")</f>
        <v>67.390729072907277</v>
      </c>
      <c r="F18" s="1913">
        <f t="shared" ref="F18:G23" si="5">IFERROR(I18*1000000/$C18,"NA")</f>
        <v>1.1015387253011013</v>
      </c>
      <c r="G18" s="1913">
        <f t="shared" si="5"/>
        <v>1.6948266255196944</v>
      </c>
      <c r="H18" s="3109">
        <f>IF(SUM(H26,H33)=0,"NO",SUM(H26,H33))</f>
        <v>1497.4219999999998</v>
      </c>
      <c r="I18" s="3109">
        <f>IF(SUM(I26,I33)=0,"NO",SUM(I26,I33))</f>
        <v>2.4476190476190474E-2</v>
      </c>
      <c r="J18" s="3109">
        <f>IF(SUM(J26,J33)=0,"NO",SUM(J26,J33))</f>
        <v>3.7659047619047613E-2</v>
      </c>
      <c r="K18" s="3085" t="str">
        <f>IF(SUM(K26,K33)=0,"NO",SUM(K26,K33))</f>
        <v>NO</v>
      </c>
    </row>
    <row r="19" spans="2:11" ht="18" customHeight="1" x14ac:dyDescent="0.2">
      <c r="B19" s="282" t="s">
        <v>133</v>
      </c>
      <c r="C19" s="3109">
        <f t="shared" ref="C19:C21" si="6">IF(SUM(C27,C34)=0,"NO",SUM(C27,C34))</f>
        <v>2300</v>
      </c>
      <c r="D19" s="3109" t="s">
        <v>1814</v>
      </c>
      <c r="E19" s="1913">
        <f t="shared" ref="E19:E23" si="7">IFERROR(H19*1000/$C19,"NA")</f>
        <v>92.608695652173907</v>
      </c>
      <c r="F19" s="1913">
        <f t="shared" si="5"/>
        <v>0.95238095238095233</v>
      </c>
      <c r="G19" s="1913">
        <f t="shared" si="5"/>
        <v>0.66666666666666674</v>
      </c>
      <c r="H19" s="3109">
        <f t="shared" ref="H19:K21" si="8">IF(SUM(H27,H34)=0,"NO",SUM(H27,H34))</f>
        <v>213</v>
      </c>
      <c r="I19" s="3109">
        <f t="shared" si="8"/>
        <v>2.1904761904761902E-3</v>
      </c>
      <c r="J19" s="3109">
        <f t="shared" si="8"/>
        <v>1.5333333333333334E-3</v>
      </c>
      <c r="K19" s="3085" t="str">
        <f t="shared" si="8"/>
        <v>NO</v>
      </c>
    </row>
    <row r="20" spans="2:11" ht="18" customHeight="1" x14ac:dyDescent="0.2">
      <c r="B20" s="282" t="s">
        <v>134</v>
      </c>
      <c r="C20" s="3109">
        <f t="shared" si="6"/>
        <v>49000.000000000007</v>
      </c>
      <c r="D20" s="3109" t="s">
        <v>1814</v>
      </c>
      <c r="E20" s="1913">
        <f t="shared" si="7"/>
        <v>51.447788060329216</v>
      </c>
      <c r="F20" s="1913">
        <f t="shared" si="5"/>
        <v>0.90909090909090906</v>
      </c>
      <c r="G20" s="1913">
        <f t="shared" si="5"/>
        <v>0.90909090909090906</v>
      </c>
      <c r="H20" s="3109">
        <f t="shared" si="8"/>
        <v>2520.9416149561321</v>
      </c>
      <c r="I20" s="3109">
        <f t="shared" si="8"/>
        <v>4.4545454545454555E-2</v>
      </c>
      <c r="J20" s="3109">
        <f t="shared" si="8"/>
        <v>4.4545454545454555E-2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197.42000000000002</v>
      </c>
      <c r="D23" s="3109" t="s">
        <v>1814</v>
      </c>
      <c r="E23" s="1913">
        <f t="shared" si="7"/>
        <v>94.000000000000014</v>
      </c>
      <c r="F23" s="1913">
        <f t="shared" si="5"/>
        <v>9.1666666666666679</v>
      </c>
      <c r="G23" s="1913">
        <f t="shared" si="5"/>
        <v>5.833333333333333</v>
      </c>
      <c r="H23" s="3109">
        <f>IF(SUM(H31,H37)=0,"NO",SUM(H31,H37))</f>
        <v>18.557480000000002</v>
      </c>
      <c r="I23" s="3109">
        <f>IF(SUM(I31,I37)=0,"NO",SUM(I31,I37))</f>
        <v>1.8096833333333337E-3</v>
      </c>
      <c r="J23" s="3109">
        <f>IF(SUM(J31,J37)=0,"NO",SUM(J31,J37))</f>
        <v>1.1516166666666668E-3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73717.42</v>
      </c>
      <c r="D25" s="3078" t="s">
        <v>1814</v>
      </c>
      <c r="E25" s="628"/>
      <c r="F25" s="628"/>
      <c r="G25" s="628"/>
      <c r="H25" s="3078">
        <f>IF(SUM(H26:H30)=0,"NO",SUM(H26:H30))</f>
        <v>4231.3636149561316</v>
      </c>
      <c r="I25" s="3078">
        <f>IF(SUM(I26:I31)=0,"NO",SUM(I26:I31))</f>
        <v>7.3021804545454566E-2</v>
      </c>
      <c r="J25" s="3110">
        <f>IF(SUM(J26:J31)=0,"NO",SUM(J26:J31))</f>
        <v>8.4889452164502166E-2</v>
      </c>
      <c r="K25" s="3085" t="str">
        <f>IF(SUM(K26:K31)=0,"NO",SUM(K26:K31))</f>
        <v>NO</v>
      </c>
    </row>
    <row r="26" spans="2:11" ht="18" customHeight="1" x14ac:dyDescent="0.2">
      <c r="B26" s="282" t="s">
        <v>132</v>
      </c>
      <c r="C26" s="691">
        <v>22220</v>
      </c>
      <c r="D26" s="3078" t="s">
        <v>1814</v>
      </c>
      <c r="E26" s="1913">
        <f t="shared" ref="E26:E31" si="9">IFERROR(H26*1000/$C26,"NA")</f>
        <v>67.390729072907277</v>
      </c>
      <c r="F26" s="1913">
        <f t="shared" ref="F26:G31" si="10">IFERROR(I26*1000000/$C26,"NA")</f>
        <v>1.1015387253011013</v>
      </c>
      <c r="G26" s="1913">
        <f t="shared" si="10"/>
        <v>1.6948266255196944</v>
      </c>
      <c r="H26" s="691">
        <v>1497.4219999999998</v>
      </c>
      <c r="I26" s="691">
        <v>2.4476190476190474E-2</v>
      </c>
      <c r="J26" s="691">
        <v>3.7659047619047613E-2</v>
      </c>
      <c r="K26" s="2911" t="s">
        <v>2146</v>
      </c>
    </row>
    <row r="27" spans="2:11" ht="18" customHeight="1" x14ac:dyDescent="0.2">
      <c r="B27" s="282" t="s">
        <v>133</v>
      </c>
      <c r="C27" s="691">
        <v>2300</v>
      </c>
      <c r="D27" s="3078" t="s">
        <v>1814</v>
      </c>
      <c r="E27" s="1913">
        <f t="shared" si="9"/>
        <v>92.608695652173907</v>
      </c>
      <c r="F27" s="1913">
        <f t="shared" si="10"/>
        <v>0.95238095238095233</v>
      </c>
      <c r="G27" s="1913">
        <f t="shared" si="10"/>
        <v>0.66666666666666674</v>
      </c>
      <c r="H27" s="691">
        <v>213</v>
      </c>
      <c r="I27" s="691">
        <v>2.1904761904761902E-3</v>
      </c>
      <c r="J27" s="691">
        <v>1.5333333333333334E-3</v>
      </c>
      <c r="K27" s="2911" t="s">
        <v>2146</v>
      </c>
    </row>
    <row r="28" spans="2:11" ht="18" customHeight="1" x14ac:dyDescent="0.2">
      <c r="B28" s="282" t="s">
        <v>134</v>
      </c>
      <c r="C28" s="691">
        <v>49000.000000000007</v>
      </c>
      <c r="D28" s="3078" t="s">
        <v>1814</v>
      </c>
      <c r="E28" s="1913">
        <f t="shared" si="9"/>
        <v>51.447788060329216</v>
      </c>
      <c r="F28" s="1913">
        <f t="shared" si="10"/>
        <v>0.90909090909090906</v>
      </c>
      <c r="G28" s="1913">
        <f t="shared" si="10"/>
        <v>0.90909090909090906</v>
      </c>
      <c r="H28" s="691">
        <v>2520.9416149561321</v>
      </c>
      <c r="I28" s="691">
        <v>4.4545454545454555E-2</v>
      </c>
      <c r="J28" s="691">
        <v>4.4545454545454555E-2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197.42000000000002</v>
      </c>
      <c r="D31" s="3078" t="s">
        <v>1814</v>
      </c>
      <c r="E31" s="1913">
        <f t="shared" si="9"/>
        <v>94.000000000000014</v>
      </c>
      <c r="F31" s="1913">
        <f t="shared" si="10"/>
        <v>9.1666666666666679</v>
      </c>
      <c r="G31" s="1913">
        <f t="shared" si="10"/>
        <v>5.833333333333333</v>
      </c>
      <c r="H31" s="691">
        <v>18.557480000000002</v>
      </c>
      <c r="I31" s="691">
        <v>1.8096833333333337E-3</v>
      </c>
      <c r="J31" s="691">
        <v>1.1516166666666668E-3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218595.19822561217</v>
      </c>
      <c r="D38" s="3078" t="s">
        <v>1814</v>
      </c>
      <c r="E38" s="628"/>
      <c r="F38" s="628"/>
      <c r="G38" s="628"/>
      <c r="H38" s="1913">
        <f>IF(SUM(H39:H43)=0,"NO",SUM(H39:H43))</f>
        <v>7280.6114426978147</v>
      </c>
      <c r="I38" s="1913">
        <f>IF(SUM(I39:I44)=0,"NO",SUM(I39:I44))</f>
        <v>81.684212816765637</v>
      </c>
      <c r="J38" s="1913">
        <f>IF(SUM(J39:J44)=0,"NO",SUM(J39:J44))</f>
        <v>0.29551060528365009</v>
      </c>
      <c r="K38" s="3085" t="str">
        <f>IF(SUM(K39:K44)=0,"NO",SUM(K39:K44))</f>
        <v>NO</v>
      </c>
    </row>
    <row r="39" spans="2:11" ht="18" customHeight="1" x14ac:dyDescent="0.2">
      <c r="B39" s="282" t="s">
        <v>132</v>
      </c>
      <c r="C39" s="3109">
        <f>IF(SUM(C47,C54)=0,"NO",SUM(C47,C54))</f>
        <v>19295.198225612126</v>
      </c>
      <c r="D39" s="3078" t="s">
        <v>1814</v>
      </c>
      <c r="E39" s="1913">
        <f t="shared" ref="E39:E44" si="13">IFERROR(H39*1000/$C39,"NA")</f>
        <v>64.258812849583265</v>
      </c>
      <c r="F39" s="1913">
        <f t="shared" ref="F39:G44" si="14">IFERROR(I39*1000000/$C39,"NA")</f>
        <v>35.820469334194925</v>
      </c>
      <c r="G39" s="1913">
        <f t="shared" si="14"/>
        <v>0.56600720516816538</v>
      </c>
      <c r="H39" s="1913">
        <f>IF(SUM(H47,H54)=0,"NO",SUM(H47,H54))</f>
        <v>1239.8865316752208</v>
      </c>
      <c r="I39" s="1913">
        <f>IF(SUM(I47,I54)=0,"NO",SUM(I47,I54))</f>
        <v>0.69116305633775155</v>
      </c>
      <c r="J39" s="1913">
        <f>IF(SUM(J47,J54)=0,"NO",SUM(J47,J54))</f>
        <v>1.0921221220844464E-2</v>
      </c>
      <c r="K39" s="3085" t="str">
        <f>IF(SUM(K47,K54)=0,"NO",SUM(K47,K54))</f>
        <v>NO</v>
      </c>
    </row>
    <row r="40" spans="2:11" ht="18" customHeight="1" x14ac:dyDescent="0.2">
      <c r="B40" s="282" t="s">
        <v>133</v>
      </c>
      <c r="C40" s="3109">
        <f t="shared" ref="C40:C42" si="15">IF(SUM(C48,C55)=0,"NO",SUM(C48,C55))</f>
        <v>200</v>
      </c>
      <c r="D40" s="3078" t="s">
        <v>1814</v>
      </c>
      <c r="E40" s="1913">
        <f t="shared" si="13"/>
        <v>92.5</v>
      </c>
      <c r="F40" s="1913">
        <f t="shared" si="14"/>
        <v>0.95238095238095244</v>
      </c>
      <c r="G40" s="1913">
        <f t="shared" si="14"/>
        <v>0.66666666666666652</v>
      </c>
      <c r="H40" s="1913">
        <f t="shared" ref="H40:K42" si="16">IF(SUM(H48,H55)=0,"NO",SUM(H48,H55))</f>
        <v>18.5</v>
      </c>
      <c r="I40" s="1913">
        <f t="shared" si="16"/>
        <v>1.9047619047619048E-4</v>
      </c>
      <c r="J40" s="1913">
        <f t="shared" si="16"/>
        <v>1.3333333333333331E-4</v>
      </c>
      <c r="K40" s="3085" t="str">
        <f t="shared" si="16"/>
        <v>NO</v>
      </c>
    </row>
    <row r="41" spans="2:11" ht="18" customHeight="1" x14ac:dyDescent="0.2">
      <c r="B41" s="282" t="s">
        <v>134</v>
      </c>
      <c r="C41" s="3109">
        <f t="shared" si="15"/>
        <v>117000.00000000003</v>
      </c>
      <c r="D41" s="3078" t="s">
        <v>1814</v>
      </c>
      <c r="E41" s="1913">
        <f t="shared" si="13"/>
        <v>51.472007786517885</v>
      </c>
      <c r="F41" s="1913">
        <f t="shared" si="14"/>
        <v>0.90909090909090906</v>
      </c>
      <c r="G41" s="1913">
        <f t="shared" si="14"/>
        <v>0.90909090909090917</v>
      </c>
      <c r="H41" s="1913">
        <f t="shared" si="16"/>
        <v>6022.2249110225939</v>
      </c>
      <c r="I41" s="1913">
        <f t="shared" si="16"/>
        <v>0.10636363636363638</v>
      </c>
      <c r="J41" s="1913">
        <f t="shared" si="16"/>
        <v>0.1063636363636364</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82100</v>
      </c>
      <c r="D44" s="3078" t="s">
        <v>1814</v>
      </c>
      <c r="E44" s="1913">
        <f t="shared" si="13"/>
        <v>74.454699999999988</v>
      </c>
      <c r="F44" s="1913">
        <f t="shared" si="14"/>
        <v>985.21919181332248</v>
      </c>
      <c r="G44" s="1913">
        <f t="shared" si="14"/>
        <v>2.1692133296691338</v>
      </c>
      <c r="H44" s="1913">
        <f>IF(SUM(H52,H58)=0,"NO",SUM(H52,H58))</f>
        <v>6112.7308699999994</v>
      </c>
      <c r="I44" s="1913">
        <f>IF(SUM(I52,I58)=0,"NO",SUM(I52,I58))</f>
        <v>80.886495647873772</v>
      </c>
      <c r="J44" s="1913">
        <f>IF(SUM(J52,J58)=0,"NO",SUM(J52,J58))</f>
        <v>0.17809241436583589</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214802.68096514748</v>
      </c>
      <c r="D46" s="3078" t="s">
        <v>1814</v>
      </c>
      <c r="E46" s="628"/>
      <c r="F46" s="628"/>
      <c r="G46" s="628"/>
      <c r="H46" s="1913">
        <f>IF(SUM(H47:H51)=0,"NO",SUM(H47:H51))</f>
        <v>7024.5296295212538</v>
      </c>
      <c r="I46" s="1913">
        <f>IF(SUM(I47:I52)=0,"NO",SUM(I47:I52))</f>
        <v>81.015781229852109</v>
      </c>
      <c r="J46" s="1913">
        <f>IF(SUM(J47:J52)=0,"NO",SUM(J47:J52))</f>
        <v>0.29402520175717561</v>
      </c>
      <c r="K46" s="3085" t="str">
        <f>IF(SUM(K47:K52)=0,"NO",SUM(K47:K52))</f>
        <v>NO</v>
      </c>
    </row>
    <row r="47" spans="2:11" ht="18" customHeight="1" x14ac:dyDescent="0.2">
      <c r="B47" s="282" t="s">
        <v>132</v>
      </c>
      <c r="C47" s="691">
        <v>15502.680965147458</v>
      </c>
      <c r="D47" s="3078" t="s">
        <v>1814</v>
      </c>
      <c r="E47" s="1913">
        <f t="shared" ref="E47:E52" si="17">IFERROR(H47*1000/$C47,"NA")</f>
        <v>63.460295719844346</v>
      </c>
      <c r="F47" s="1913">
        <f t="shared" ref="F47:G52" si="18">IFERROR(I47*1000000/$C47,"NA")</f>
        <v>1.4662927964095276</v>
      </c>
      <c r="G47" s="1913">
        <f t="shared" si="18"/>
        <v>0.60865715520968433</v>
      </c>
      <c r="H47" s="691">
        <v>983.80471849865967</v>
      </c>
      <c r="I47" s="691">
        <v>2.2731469424230821E-2</v>
      </c>
      <c r="J47" s="691">
        <v>9.4358176943699738E-3</v>
      </c>
      <c r="K47" s="2911" t="s">
        <v>2146</v>
      </c>
    </row>
    <row r="48" spans="2:11" ht="18" customHeight="1" x14ac:dyDescent="0.2">
      <c r="B48" s="282" t="s">
        <v>133</v>
      </c>
      <c r="C48" s="691">
        <v>200</v>
      </c>
      <c r="D48" s="3078" t="s">
        <v>1814</v>
      </c>
      <c r="E48" s="1913">
        <f t="shared" si="17"/>
        <v>92.5</v>
      </c>
      <c r="F48" s="1913">
        <f t="shared" si="18"/>
        <v>0.95238095238095244</v>
      </c>
      <c r="G48" s="1913">
        <f t="shared" si="18"/>
        <v>0.66666666666666652</v>
      </c>
      <c r="H48" s="691">
        <v>18.5</v>
      </c>
      <c r="I48" s="691">
        <v>1.9047619047619048E-4</v>
      </c>
      <c r="J48" s="691">
        <v>1.3333333333333331E-4</v>
      </c>
      <c r="K48" s="2911" t="s">
        <v>2146</v>
      </c>
    </row>
    <row r="49" spans="2:11" ht="18" customHeight="1" x14ac:dyDescent="0.2">
      <c r="B49" s="282" t="s">
        <v>134</v>
      </c>
      <c r="C49" s="691">
        <v>117000.00000000003</v>
      </c>
      <c r="D49" s="3078" t="s">
        <v>1814</v>
      </c>
      <c r="E49" s="1913">
        <f t="shared" si="17"/>
        <v>51.472007786517885</v>
      </c>
      <c r="F49" s="1913">
        <f t="shared" si="18"/>
        <v>0.90909090909090906</v>
      </c>
      <c r="G49" s="1913">
        <f t="shared" si="18"/>
        <v>0.90909090909090917</v>
      </c>
      <c r="H49" s="691">
        <v>6022.2249110225939</v>
      </c>
      <c r="I49" s="691">
        <v>0.10636363636363638</v>
      </c>
      <c r="J49" s="691">
        <v>0.1063636363636364</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82100</v>
      </c>
      <c r="D52" s="3078" t="s">
        <v>1814</v>
      </c>
      <c r="E52" s="1913">
        <f t="shared" si="17"/>
        <v>74.454699999999988</v>
      </c>
      <c r="F52" s="1913">
        <f t="shared" si="18"/>
        <v>985.21919181332248</v>
      </c>
      <c r="G52" s="1913">
        <f t="shared" si="18"/>
        <v>2.1692133296691338</v>
      </c>
      <c r="H52" s="691">
        <v>6112.7308699999994</v>
      </c>
      <c r="I52" s="691">
        <v>80.886495647873772</v>
      </c>
      <c r="J52" s="691">
        <v>0.17809241436583589</v>
      </c>
      <c r="K52" s="2911" t="s">
        <v>2146</v>
      </c>
    </row>
    <row r="53" spans="2:11" ht="18" customHeight="1" x14ac:dyDescent="0.2">
      <c r="B53" s="1242" t="s">
        <v>205</v>
      </c>
      <c r="C53" s="3078">
        <f>IF(SUM(C54:C58)=0,"NO",SUM(C54:C58))</f>
        <v>3792.51726046467</v>
      </c>
      <c r="D53" s="3078" t="s">
        <v>1814</v>
      </c>
      <c r="E53" s="628"/>
      <c r="F53" s="628"/>
      <c r="G53" s="628"/>
      <c r="H53" s="3078">
        <f>IF(SUM(H54:H57)=0,"NO",SUM(H54:H57))</f>
        <v>256.08181317656124</v>
      </c>
      <c r="I53" s="3078">
        <f>IF(SUM(I54:I58)=0,"NO",SUM(I54:I58))</f>
        <v>0.66843158691352067</v>
      </c>
      <c r="J53" s="3078">
        <f>IF(SUM(J54:J58)=0,"NO",SUM(J54:J58))</f>
        <v>1.4854035264744905E-3</v>
      </c>
      <c r="K53" s="2921"/>
    </row>
    <row r="54" spans="2:11" ht="18" customHeight="1" x14ac:dyDescent="0.2">
      <c r="B54" s="282" t="s">
        <v>132</v>
      </c>
      <c r="C54" s="691">
        <v>3792.51726046467</v>
      </c>
      <c r="D54" s="3078" t="s">
        <v>1814</v>
      </c>
      <c r="E54" s="1913">
        <f t="shared" ref="E54:E58" si="19">IFERROR(H54*1000/$C54,"NA")</f>
        <v>67.522913038815105</v>
      </c>
      <c r="F54" s="1913">
        <f t="shared" ref="F54:G58" si="20">IFERROR(I54*1000000/$C54,"NA")</f>
        <v>176.25011068021416</v>
      </c>
      <c r="G54" s="1913">
        <f t="shared" si="20"/>
        <v>0.39166691262269815</v>
      </c>
      <c r="H54" s="691">
        <v>256.08181317656124</v>
      </c>
      <c r="I54" s="691">
        <v>0.66843158691352067</v>
      </c>
      <c r="J54" s="691">
        <v>1.4854035264744905E-3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59105.7</v>
      </c>
      <c r="D59" s="3078" t="s">
        <v>1814</v>
      </c>
      <c r="E59" s="628"/>
      <c r="F59" s="628"/>
      <c r="G59" s="628"/>
      <c r="H59" s="1913">
        <f>IF(SUM(H60:H64)=0,"NO",SUM(H60:H64))</f>
        <v>4119.3930918339274</v>
      </c>
      <c r="I59" s="1913">
        <f>IF(SUM(I60:I65)=0,"NO",SUM(I60:I65))</f>
        <v>0.24327662337662337</v>
      </c>
      <c r="J59" s="1913">
        <f>IF(SUM(J60:J65)=0,"NO",SUM(J60:J65))</f>
        <v>0.21824462337662337</v>
      </c>
      <c r="K59" s="3085" t="str">
        <f>IF(SUM(K60:K65)=0,"NO",SUM(K60:K65))</f>
        <v>NO</v>
      </c>
    </row>
    <row r="60" spans="2:11" ht="18" customHeight="1" x14ac:dyDescent="0.2">
      <c r="B60" s="282" t="s">
        <v>132</v>
      </c>
      <c r="C60" s="1913">
        <f>IF(SUM(C67,C74:C77,C84:C87)=0,"NO",SUM(C67,C74:C77,C84:C87))</f>
        <v>59005.7</v>
      </c>
      <c r="D60" s="3078" t="s">
        <v>1814</v>
      </c>
      <c r="E60" s="1913">
        <f t="shared" ref="E60:E65" si="21">IFERROR(H60*1000/$C60,"NA")</f>
        <v>69.72634677666737</v>
      </c>
      <c r="F60" s="1913">
        <f t="shared" ref="F60:G65" si="22">IFERROR(I60*1000000/$C60,"NA")</f>
        <v>4.1213935990203368</v>
      </c>
      <c r="G60" s="1913">
        <f t="shared" si="22"/>
        <v>3.6971633975313285</v>
      </c>
      <c r="H60" s="1913">
        <f>IF(SUM(H67,H74:H77,H84:H87)=0,"NO",SUM(H67,H74:H77,H84:H87))</f>
        <v>4114.2519000000011</v>
      </c>
      <c r="I60" s="1913">
        <f>IF(SUM(I67,I74:I77,I84:I87)=0,"NO",SUM(I67,I74:I77,I84:I87))</f>
        <v>0.24318571428571428</v>
      </c>
      <c r="J60" s="1913">
        <f>IF(SUM(J67,J74:J77,J84:J87)=0,"NO",SUM(J67,J74:J77,J84:J87))</f>
        <v>0.21815371428571428</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59105.7</v>
      </c>
      <c r="D66" s="3078" t="s">
        <v>1814</v>
      </c>
      <c r="E66" s="2108"/>
      <c r="F66" s="2108"/>
      <c r="G66" s="2108"/>
      <c r="H66" s="1913">
        <f>IF(SUM(H67:H71)=0,"NO",SUM(H67:H71))</f>
        <v>4119.3930918339274</v>
      </c>
      <c r="I66" s="1913">
        <f>IF(SUM(I67:I72)=0,"NO",SUM(I67:I72))</f>
        <v>0.24327662337662337</v>
      </c>
      <c r="J66" s="1913">
        <f>IF(SUM(J67:J72)=0,"NO",SUM(J67:J72))</f>
        <v>0.21824462337662337</v>
      </c>
      <c r="K66" s="3085" t="str">
        <f>IF(SUM(K67:K72)=0,"NO",SUM(K67:K72))</f>
        <v>NO</v>
      </c>
    </row>
    <row r="67" spans="2:11" ht="18" customHeight="1" x14ac:dyDescent="0.2">
      <c r="B67" s="282" t="s">
        <v>132</v>
      </c>
      <c r="C67" s="691">
        <v>59005.7</v>
      </c>
      <c r="D67" s="3078" t="s">
        <v>1814</v>
      </c>
      <c r="E67" s="1913">
        <f t="shared" ref="E67:E72" si="23">IFERROR(H67*1000/$C67,"NA")</f>
        <v>69.72634677666737</v>
      </c>
      <c r="F67" s="1913">
        <f t="shared" ref="F67:G72" si="24">IFERROR(I67*1000000/$C67,"NA")</f>
        <v>4.1213935990203368</v>
      </c>
      <c r="G67" s="1913">
        <f t="shared" si="24"/>
        <v>3.6971633975313285</v>
      </c>
      <c r="H67" s="691">
        <v>4114.2519000000011</v>
      </c>
      <c r="I67" s="691">
        <v>0.24318571428571428</v>
      </c>
      <c r="J67" s="691">
        <v>0.21815371428571428</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9742.1968255367447</v>
      </c>
      <c r="D93" s="3078" t="s">
        <v>1814</v>
      </c>
      <c r="E93" s="2134"/>
      <c r="F93" s="2134"/>
      <c r="G93" s="2134"/>
      <c r="H93" s="3109">
        <f>IF(SUM(H94:H98)=0,"NO",SUM(H94:H98))</f>
        <v>678.30912252252608</v>
      </c>
      <c r="I93" s="3109">
        <f>IF(SUM(I94:I99)=0,"NO",SUM(I94:I99))</f>
        <v>3.2894303394768613E-2</v>
      </c>
      <c r="J93" s="3113">
        <f>IF(SUM(J94:J99)=0,"NO",SUM(J94:J99))</f>
        <v>1.8702565754007937E-2</v>
      </c>
      <c r="K93" s="449" t="str">
        <f>IF(SUM(K94:K99)=0,"NO",SUM(K94:K99))</f>
        <v>NO</v>
      </c>
    </row>
    <row r="94" spans="2:11" ht="18" customHeight="1" x14ac:dyDescent="0.2">
      <c r="B94" s="282" t="s">
        <v>132</v>
      </c>
      <c r="C94" s="691">
        <f>IF(SUM(C102,C110)=0,"NO",SUM(C102,C110))</f>
        <v>9742.1968255367447</v>
      </c>
      <c r="D94" s="1913" t="s">
        <v>1814</v>
      </c>
      <c r="E94" s="1913">
        <f t="shared" ref="E94:E99" si="32">IFERROR(H94*1000/$C94,"NA")</f>
        <v>69.625889793614874</v>
      </c>
      <c r="F94" s="1913">
        <f t="shared" ref="F94:G99" si="33">IFERROR(I94*1000000/$C94,"NA")</f>
        <v>3.3764769880797707</v>
      </c>
      <c r="G94" s="1913">
        <f t="shared" si="33"/>
        <v>1.9197482958857714</v>
      </c>
      <c r="H94" s="691">
        <f t="shared" ref="H94:K97" si="34">IF(SUM(H102,H110)=0,"NO",SUM(H102,H110))</f>
        <v>678.30912252252608</v>
      </c>
      <c r="I94" s="691">
        <f t="shared" si="34"/>
        <v>3.2894303394768613E-2</v>
      </c>
      <c r="J94" s="691">
        <f t="shared" si="34"/>
        <v>1.8702565754007937E-2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9742.1968255367447</v>
      </c>
      <c r="D108" s="1913" t="s">
        <v>1814</v>
      </c>
      <c r="E108" s="1931"/>
      <c r="F108" s="1931"/>
      <c r="G108" s="1931"/>
      <c r="H108" s="3078">
        <f>H109</f>
        <v>678.30912252252608</v>
      </c>
      <c r="I108" s="3078">
        <f>I109</f>
        <v>3.2894303394768613E-2</v>
      </c>
      <c r="J108" s="3110">
        <f>J109</f>
        <v>1.8702565754007937E-2</v>
      </c>
      <c r="K108" s="2921"/>
    </row>
    <row r="109" spans="2:11" ht="18" customHeight="1" x14ac:dyDescent="0.2">
      <c r="B109" s="3125" t="s">
        <v>2149</v>
      </c>
      <c r="C109" s="3099">
        <f>IF(SUM(C110:C114)=0,"NO",SUM(C110:C114))</f>
        <v>9742.1968255367447</v>
      </c>
      <c r="D109" s="1913" t="s">
        <v>1814</v>
      </c>
      <c r="E109" s="628"/>
      <c r="F109" s="628"/>
      <c r="G109" s="628"/>
      <c r="H109" s="3099">
        <f>IF(SUM(H110:H113)=0,"NO",SUM(H110:H113))</f>
        <v>678.30912252252608</v>
      </c>
      <c r="I109" s="3099">
        <f>IF(SUM(I110:I114)=0,"NO",SUM(I110:I114))</f>
        <v>3.2894303394768613E-2</v>
      </c>
      <c r="J109" s="3099">
        <f>IF(SUM(J110:J114)=0,"NO",SUM(J110:J114))</f>
        <v>1.8702565754007937E-2</v>
      </c>
      <c r="K109" s="2921"/>
    </row>
    <row r="110" spans="2:11" ht="18" customHeight="1" x14ac:dyDescent="0.2">
      <c r="B110" s="282" t="s">
        <v>132</v>
      </c>
      <c r="C110" s="691">
        <v>9742.1968255367447</v>
      </c>
      <c r="D110" s="1913" t="s">
        <v>1814</v>
      </c>
      <c r="E110" s="1913">
        <f t="shared" ref="E110:E114" si="37">IFERROR(H110*1000/$C110,"NA")</f>
        <v>69.625889793614874</v>
      </c>
      <c r="F110" s="1913">
        <f t="shared" ref="F110:G114" si="38">IFERROR(I110*1000000/$C110,"NA")</f>
        <v>3.3764769880797707</v>
      </c>
      <c r="G110" s="1913">
        <f t="shared" si="38"/>
        <v>1.9197482958857714</v>
      </c>
      <c r="H110" s="691">
        <v>678.30912252252608</v>
      </c>
      <c r="I110" s="691">
        <v>3.2894303394768613E-2</v>
      </c>
      <c r="J110" s="691">
        <v>1.8702565754007937E-2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1256557</v>
      </c>
      <c r="G11" s="3361">
        <v>968141.58833700011</v>
      </c>
      <c r="H11" s="3361">
        <v>547045</v>
      </c>
      <c r="I11" s="3381"/>
      <c r="J11" s="3361">
        <v>21525.060000000005</v>
      </c>
      <c r="K11" s="3369">
        <f t="shared" ref="K11:K28" si="0">IF((SUM(F11:G11)-SUM(H11:J11))=0,"NO",(SUM(F11:G11)-SUM(H11:J11)))</f>
        <v>1656128.5283369999</v>
      </c>
      <c r="L11" s="2577">
        <f>IF(K11="NO","NA",1)</f>
        <v>1</v>
      </c>
      <c r="M11" s="5" t="s">
        <v>1814</v>
      </c>
      <c r="N11" s="3369">
        <f>K11</f>
        <v>1656128.5283369999</v>
      </c>
      <c r="O11" s="3342">
        <v>18.980716253443529</v>
      </c>
      <c r="P11" s="3369">
        <f>IFERROR(N11*O11/1000,"NA")</f>
        <v>31434.505675597604</v>
      </c>
      <c r="Q11" s="3369" t="str">
        <f>'Table1.A(d)'!G11</f>
        <v>NA</v>
      </c>
      <c r="R11" s="3369">
        <f>IF(SUM(P11,-SUM(Q11))=0,"NO",SUM(P11,-SUM(Q11)))</f>
        <v>31434.505675597604</v>
      </c>
      <c r="S11" s="2577">
        <f>IF(R11="NO","NA",1)</f>
        <v>1</v>
      </c>
      <c r="T11" s="3375">
        <f>IF(R11="NO","NO",R11*S11*44/12)</f>
        <v>115259.85414385788</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150150.75</v>
      </c>
      <c r="G13" s="3361" t="s">
        <v>2146</v>
      </c>
      <c r="H13" s="3361" t="s">
        <v>2146</v>
      </c>
      <c r="I13" s="3381"/>
      <c r="J13" s="3361" t="s">
        <v>2146</v>
      </c>
      <c r="K13" s="3369">
        <f t="shared" si="0"/>
        <v>150150.75</v>
      </c>
      <c r="L13" s="2577">
        <f t="shared" si="1"/>
        <v>1</v>
      </c>
      <c r="M13" s="5" t="s">
        <v>1814</v>
      </c>
      <c r="N13" s="3369">
        <f t="shared" si="2"/>
        <v>150150.75</v>
      </c>
      <c r="O13" s="3342">
        <v>16.199423897165168</v>
      </c>
      <c r="P13" s="3369">
        <f t="shared" si="3"/>
        <v>2432.3556477272728</v>
      </c>
      <c r="Q13" s="3369" t="str">
        <f>'Table1.A(d)'!G13</f>
        <v>NA</v>
      </c>
      <c r="R13" s="3369">
        <f>IF(SUM(P13,-SUM(Q13))=0,"NO",SUM(P13,-SUM(Q13)))</f>
        <v>2432.3556477272728</v>
      </c>
      <c r="S13" s="2577">
        <f t="shared" si="4"/>
        <v>1</v>
      </c>
      <c r="T13" s="3375">
        <f t="shared" si="5"/>
        <v>8918.6373750000002</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16518.676608000002</v>
      </c>
      <c r="H15" s="3361">
        <v>53902.580000000009</v>
      </c>
      <c r="I15" s="3361" t="s">
        <v>2146</v>
      </c>
      <c r="J15" s="3361">
        <v>1406.6799999999992</v>
      </c>
      <c r="K15" s="3369">
        <f t="shared" si="0"/>
        <v>-38790.583392000008</v>
      </c>
      <c r="L15" s="2577">
        <f>IF(K15="NO","NA",1)</f>
        <v>1</v>
      </c>
      <c r="M15" s="5" t="s">
        <v>1814</v>
      </c>
      <c r="N15" s="3369">
        <f t="shared" si="2"/>
        <v>-38790.583392000008</v>
      </c>
      <c r="O15" s="3342">
        <v>18.376355225239632</v>
      </c>
      <c r="P15" s="3369">
        <f t="shared" si="3"/>
        <v>-712.82953980567311</v>
      </c>
      <c r="Q15" s="3369" t="str">
        <f>'Table1.A(d)'!G15</f>
        <v>NA</v>
      </c>
      <c r="R15" s="3369">
        <f>IF(SUM(P15,-SUM(Q15))=0,"NO",SUM(P15,-SUM(Q15)))</f>
        <v>-712.82953980567311</v>
      </c>
      <c r="S15" s="2577">
        <f>IF(R15="NO","NA",1)</f>
        <v>1</v>
      </c>
      <c r="T15" s="3375">
        <f>IF(R15="NO","NO",R15*S15*44/12)</f>
        <v>-2613.7083126208013</v>
      </c>
    </row>
    <row r="16" spans="2:20" ht="18" customHeight="1" x14ac:dyDescent="0.2">
      <c r="B16" s="1727"/>
      <c r="C16" s="1567"/>
      <c r="D16" s="36" t="s">
        <v>178</v>
      </c>
      <c r="E16" s="2575" t="s">
        <v>2150</v>
      </c>
      <c r="F16" s="3382"/>
      <c r="G16" s="3361">
        <v>4088.4799999999996</v>
      </c>
      <c r="H16" s="3361">
        <v>24214.400000000001</v>
      </c>
      <c r="I16" s="3361">
        <v>104790</v>
      </c>
      <c r="J16" s="3361">
        <v>886.23999999999967</v>
      </c>
      <c r="K16" s="3369">
        <f t="shared" si="0"/>
        <v>-125802.16</v>
      </c>
      <c r="L16" s="2577">
        <f t="shared" ref="L16:L28" si="6">IF(K16="NO","NA",1)</f>
        <v>1</v>
      </c>
      <c r="M16" s="5" t="s">
        <v>1814</v>
      </c>
      <c r="N16" s="3369">
        <f t="shared" si="2"/>
        <v>-125802.16</v>
      </c>
      <c r="O16" s="3342">
        <v>18.981818181818181</v>
      </c>
      <c r="P16" s="3369">
        <f t="shared" si="3"/>
        <v>-2387.953728</v>
      </c>
      <c r="Q16" s="3369" t="str">
        <f>'Table1.A(d)'!G16</f>
        <v>NA</v>
      </c>
      <c r="R16" s="3369">
        <f t="shared" ref="R16:R44" si="7">IF(SUM(P16,-SUM(Q16))=0,"NO",SUM(P16,-SUM(Q16)))</f>
        <v>-2387.953728</v>
      </c>
      <c r="S16" s="2577">
        <f t="shared" ref="S16:S28" si="8">IF(R16="NO","NA",1)</f>
        <v>1</v>
      </c>
      <c r="T16" s="3375">
        <f t="shared" ref="T16:T28" si="9">IF(R16="NO","NO",R16*S16*44/12)</f>
        <v>-8755.8303360000009</v>
      </c>
    </row>
    <row r="17" spans="2:20" ht="18" customHeight="1" x14ac:dyDescent="0.2">
      <c r="B17" s="1727"/>
      <c r="C17" s="1567"/>
      <c r="D17" s="36" t="s">
        <v>247</v>
      </c>
      <c r="E17" s="2575" t="s">
        <v>2150</v>
      </c>
      <c r="F17" s="3381"/>
      <c r="G17" s="3361" t="s">
        <v>2146</v>
      </c>
      <c r="H17" s="3361">
        <v>1207.8</v>
      </c>
      <c r="I17" s="3361" t="s">
        <v>2146</v>
      </c>
      <c r="J17" s="3361">
        <v>-1116</v>
      </c>
      <c r="K17" s="3369">
        <f t="shared" si="0"/>
        <v>-91.799999999999955</v>
      </c>
      <c r="L17" s="2577">
        <f t="shared" si="6"/>
        <v>1</v>
      </c>
      <c r="M17" s="5" t="s">
        <v>1814</v>
      </c>
      <c r="N17" s="3369">
        <f t="shared" si="2"/>
        <v>-91.799999999999955</v>
      </c>
      <c r="O17" s="3342">
        <v>18.790909090909089</v>
      </c>
      <c r="P17" s="3369">
        <f t="shared" si="3"/>
        <v>-1.7250054545454536</v>
      </c>
      <c r="Q17" s="3369" t="str">
        <f>'Table1.A(d)'!G17</f>
        <v>NA</v>
      </c>
      <c r="R17" s="3369">
        <f t="shared" si="7"/>
        <v>-1.7250054545454536</v>
      </c>
      <c r="S17" s="2577">
        <f t="shared" si="8"/>
        <v>1</v>
      </c>
      <c r="T17" s="3375">
        <f t="shared" si="9"/>
        <v>-6.3250199999999959</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29705.330783000005</v>
      </c>
      <c r="H19" s="3361">
        <v>50373.000000000007</v>
      </c>
      <c r="I19" s="3361">
        <v>5580</v>
      </c>
      <c r="J19" s="3361">
        <v>-811.67999999999472</v>
      </c>
      <c r="K19" s="3369">
        <f t="shared" si="0"/>
        <v>-25435.989217000009</v>
      </c>
      <c r="L19" s="2577">
        <f t="shared" si="6"/>
        <v>1</v>
      </c>
      <c r="M19" s="5" t="s">
        <v>1814</v>
      </c>
      <c r="N19" s="3369">
        <f t="shared" si="2"/>
        <v>-25435.989217000009</v>
      </c>
      <c r="O19" s="3342">
        <v>19.06363636363637</v>
      </c>
      <c r="P19" s="3369">
        <f t="shared" si="3"/>
        <v>-484.90244898226399</v>
      </c>
      <c r="Q19" s="3369" t="str">
        <f>'Table1.A(d)'!G19</f>
        <v>NA</v>
      </c>
      <c r="R19" s="3369">
        <f t="shared" si="7"/>
        <v>-484.90244898226399</v>
      </c>
      <c r="S19" s="2577">
        <f t="shared" si="8"/>
        <v>1</v>
      </c>
      <c r="T19" s="3375">
        <f t="shared" si="9"/>
        <v>-1777.9756462683015</v>
      </c>
    </row>
    <row r="20" spans="2:20" ht="18" customHeight="1" x14ac:dyDescent="0.2">
      <c r="B20" s="1727"/>
      <c r="C20" s="1567"/>
      <c r="D20" s="36" t="s">
        <v>190</v>
      </c>
      <c r="E20" s="2575" t="s">
        <v>2150</v>
      </c>
      <c r="F20" s="3381"/>
      <c r="G20" s="3361">
        <v>32427.839999999997</v>
      </c>
      <c r="H20" s="3361">
        <v>25451.67</v>
      </c>
      <c r="I20" s="3361">
        <v>25130</v>
      </c>
      <c r="J20" s="3361">
        <v>2375.0999999999985</v>
      </c>
      <c r="K20" s="3369">
        <f t="shared" si="0"/>
        <v>-20528.93</v>
      </c>
      <c r="L20" s="2577">
        <f t="shared" si="6"/>
        <v>1</v>
      </c>
      <c r="M20" s="5" t="s">
        <v>1814</v>
      </c>
      <c r="N20" s="3369">
        <f t="shared" si="2"/>
        <v>-20528.93</v>
      </c>
      <c r="O20" s="3342">
        <v>20.072727272727271</v>
      </c>
      <c r="P20" s="3369">
        <f t="shared" si="3"/>
        <v>-412.07161309090901</v>
      </c>
      <c r="Q20" s="3369" t="str">
        <f>'Table1.A(d)'!G20</f>
        <v>NA</v>
      </c>
      <c r="R20" s="3369">
        <f t="shared" si="7"/>
        <v>-412.07161309090901</v>
      </c>
      <c r="S20" s="2577">
        <f t="shared" si="8"/>
        <v>1</v>
      </c>
      <c r="T20" s="3375">
        <f t="shared" si="9"/>
        <v>-1510.9292479999997</v>
      </c>
    </row>
    <row r="21" spans="2:20" ht="18" customHeight="1" x14ac:dyDescent="0.2">
      <c r="B21" s="1727"/>
      <c r="C21" s="1567"/>
      <c r="D21" s="36" t="s">
        <v>169</v>
      </c>
      <c r="E21" s="2575" t="s">
        <v>2150</v>
      </c>
      <c r="F21" s="3381"/>
      <c r="G21" s="3361">
        <v>13546.8</v>
      </c>
      <c r="H21" s="3361">
        <v>72584.510000000009</v>
      </c>
      <c r="I21" s="3381"/>
      <c r="J21" s="3361">
        <v>-2658.5599999999995</v>
      </c>
      <c r="K21" s="3369">
        <f t="shared" si="0"/>
        <v>-56379.150000000009</v>
      </c>
      <c r="L21" s="2577">
        <f t="shared" si="6"/>
        <v>1</v>
      </c>
      <c r="M21" s="5" t="s">
        <v>1814</v>
      </c>
      <c r="N21" s="3369">
        <f t="shared" si="2"/>
        <v>-56379.150000000009</v>
      </c>
      <c r="O21" s="3342">
        <v>16.418181818181822</v>
      </c>
      <c r="P21" s="3369">
        <f t="shared" si="3"/>
        <v>-925.64313545454581</v>
      </c>
      <c r="Q21" s="3369" t="str">
        <f>'Table1.A(d)'!G21</f>
        <v>NA</v>
      </c>
      <c r="R21" s="3369">
        <f t="shared" si="7"/>
        <v>-925.64313545454581</v>
      </c>
      <c r="S21" s="2577">
        <f t="shared" si="8"/>
        <v>1</v>
      </c>
      <c r="T21" s="3375">
        <f t="shared" si="9"/>
        <v>-3394.0248300000017</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598.4</v>
      </c>
      <c r="H24" s="3361">
        <v>39.599999999999987</v>
      </c>
      <c r="I24" s="3381"/>
      <c r="J24" s="3361">
        <v>-68.320000000000064</v>
      </c>
      <c r="K24" s="3369">
        <f t="shared" si="0"/>
        <v>627.12</v>
      </c>
      <c r="L24" s="2577">
        <f t="shared" si="6"/>
        <v>1</v>
      </c>
      <c r="M24" s="5" t="s">
        <v>1814</v>
      </c>
      <c r="N24" s="3369">
        <f t="shared" si="2"/>
        <v>627.12</v>
      </c>
      <c r="O24" s="3342">
        <v>22.009090909090911</v>
      </c>
      <c r="P24" s="3369">
        <f t="shared" si="3"/>
        <v>13.802341090909092</v>
      </c>
      <c r="Q24" s="3369">
        <f>'Table1.A(d)'!G24</f>
        <v>691.08545454545458</v>
      </c>
      <c r="R24" s="3369">
        <f t="shared" si="7"/>
        <v>-677.28311345454551</v>
      </c>
      <c r="S24" s="2577">
        <f t="shared" si="8"/>
        <v>1</v>
      </c>
      <c r="T24" s="3375">
        <f t="shared" si="9"/>
        <v>-2483.3714160000004</v>
      </c>
    </row>
    <row r="25" spans="2:20" ht="18" customHeight="1" x14ac:dyDescent="0.2">
      <c r="B25" s="1727"/>
      <c r="C25" s="1567"/>
      <c r="D25" s="36" t="s">
        <v>252</v>
      </c>
      <c r="E25" s="2575" t="s">
        <v>2150</v>
      </c>
      <c r="F25" s="3381"/>
      <c r="G25" s="3361">
        <v>1493.7999999999997</v>
      </c>
      <c r="H25" s="3361">
        <v>15558.799999999997</v>
      </c>
      <c r="I25" s="3361" t="s">
        <v>2146</v>
      </c>
      <c r="J25" s="3361">
        <v>-1293.3199999999997</v>
      </c>
      <c r="K25" s="3369">
        <f t="shared" si="0"/>
        <v>-12771.679999999998</v>
      </c>
      <c r="L25" s="2577">
        <f t="shared" si="6"/>
        <v>1</v>
      </c>
      <c r="M25" s="5" t="s">
        <v>1814</v>
      </c>
      <c r="N25" s="3369">
        <f t="shared" si="2"/>
        <v>-12771.679999999998</v>
      </c>
      <c r="O25" s="3342">
        <v>18.991363636363641</v>
      </c>
      <c r="P25" s="3369">
        <f t="shared" si="3"/>
        <v>-242.55161912727274</v>
      </c>
      <c r="Q25" s="3369">
        <f>'Table1.A(d)'!G25</f>
        <v>381.7264090909091</v>
      </c>
      <c r="R25" s="3369">
        <f t="shared" si="7"/>
        <v>-624.27802821818182</v>
      </c>
      <c r="S25" s="2577">
        <f t="shared" si="8"/>
        <v>1</v>
      </c>
      <c r="T25" s="3375">
        <f t="shared" si="9"/>
        <v>-2289.0194367999998</v>
      </c>
    </row>
    <row r="26" spans="2:20" ht="18" customHeight="1" x14ac:dyDescent="0.2">
      <c r="B26" s="1727"/>
      <c r="C26" s="1567"/>
      <c r="D26" s="36" t="s">
        <v>253</v>
      </c>
      <c r="E26" s="2575" t="s">
        <v>2150</v>
      </c>
      <c r="F26" s="3381"/>
      <c r="G26" s="3361">
        <v>12550.156976532717</v>
      </c>
      <c r="H26" s="3361" t="s">
        <v>2146</v>
      </c>
      <c r="I26" s="3381"/>
      <c r="J26" s="3361" t="s">
        <v>2146</v>
      </c>
      <c r="K26" s="3369">
        <f t="shared" si="0"/>
        <v>12550.156976532717</v>
      </c>
      <c r="L26" s="2577">
        <f t="shared" si="6"/>
        <v>1</v>
      </c>
      <c r="M26" s="5" t="s">
        <v>1814</v>
      </c>
      <c r="N26" s="3369">
        <f t="shared" si="2"/>
        <v>12550.156976532717</v>
      </c>
      <c r="O26" s="3342">
        <v>25.26136363636364</v>
      </c>
      <c r="P26" s="3369">
        <f t="shared" si="3"/>
        <v>317.03407907763903</v>
      </c>
      <c r="Q26" s="3369">
        <f>'Table1.A(d)'!G26</f>
        <v>317.03407907763903</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17914.195472799998</v>
      </c>
      <c r="H28" s="3361">
        <v>16750.96</v>
      </c>
      <c r="I28" s="3381"/>
      <c r="J28" s="3361">
        <v>3134.5800000000008</v>
      </c>
      <c r="K28" s="3369">
        <f t="shared" si="0"/>
        <v>-1971.3445272000026</v>
      </c>
      <c r="L28" s="2577">
        <f t="shared" si="6"/>
        <v>1</v>
      </c>
      <c r="M28" s="5" t="s">
        <v>1814</v>
      </c>
      <c r="N28" s="3369">
        <f t="shared" si="2"/>
        <v>-1971.3445272000026</v>
      </c>
      <c r="O28" s="3342">
        <v>19.036863756498551</v>
      </c>
      <c r="P28" s="3369">
        <f t="shared" si="3"/>
        <v>-37.528217181425504</v>
      </c>
      <c r="Q28" s="3369">
        <f>'Table1.A(d)'!G28</f>
        <v>672.48286949362603</v>
      </c>
      <c r="R28" s="3369">
        <f t="shared" si="7"/>
        <v>-710.0110866750515</v>
      </c>
      <c r="S28" s="2577">
        <f t="shared" si="8"/>
        <v>1</v>
      </c>
      <c r="T28" s="3375">
        <f t="shared" si="9"/>
        <v>-2603.373984475189</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1537684.9181773327</v>
      </c>
      <c r="O31" s="3364"/>
      <c r="P31" s="3371">
        <f>SUM(P11:P29)</f>
        <v>28992.492436396791</v>
      </c>
      <c r="Q31" s="3371">
        <f>SUM(Q11:Q29)</f>
        <v>2322.6828336647145</v>
      </c>
      <c r="R31" s="3369">
        <f t="shared" si="7"/>
        <v>26669.809602732075</v>
      </c>
      <c r="S31" s="2578"/>
      <c r="T31" s="3377">
        <f>SUM(T11:T29)</f>
        <v>97789.301876684302</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5989819.5791440085</v>
      </c>
      <c r="G35" s="3361" t="s">
        <v>2146</v>
      </c>
      <c r="H35" s="3361">
        <v>4612900</v>
      </c>
      <c r="I35" s="3361" t="s">
        <v>2146</v>
      </c>
      <c r="J35" s="3361">
        <v>22400</v>
      </c>
      <c r="K35" s="3369">
        <f t="shared" si="10"/>
        <v>1354519.5791440085</v>
      </c>
      <c r="L35" s="2577">
        <f t="shared" si="11"/>
        <v>1</v>
      </c>
      <c r="M35" s="55" t="s">
        <v>1814</v>
      </c>
      <c r="N35" s="3369">
        <f t="shared" si="12"/>
        <v>1354519.5791440085</v>
      </c>
      <c r="O35" s="3342">
        <v>23.59364726218406</v>
      </c>
      <c r="P35" s="3369">
        <f t="shared" si="13"/>
        <v>31958.057160045741</v>
      </c>
      <c r="Q35" s="3369">
        <f>'Table1.A(d)'!G35</f>
        <v>234.6030069160866</v>
      </c>
      <c r="R35" s="3369">
        <f t="shared" si="7"/>
        <v>31723.454153129653</v>
      </c>
      <c r="S35" s="2577">
        <f t="shared" si="14"/>
        <v>1</v>
      </c>
      <c r="T35" s="3375">
        <f t="shared" si="15"/>
        <v>116319.33189480873</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638240</v>
      </c>
      <c r="G37" s="3361" t="s">
        <v>2146</v>
      </c>
      <c r="H37" s="3361" t="s">
        <v>2146</v>
      </c>
      <c r="I37" s="3381"/>
      <c r="J37" s="3361" t="s">
        <v>2146</v>
      </c>
      <c r="K37" s="3369">
        <f t="shared" si="10"/>
        <v>638240</v>
      </c>
      <c r="L37" s="2577">
        <f t="shared" si="11"/>
        <v>1</v>
      </c>
      <c r="M37" s="55" t="s">
        <v>1814</v>
      </c>
      <c r="N37" s="3369">
        <f t="shared" si="12"/>
        <v>638240</v>
      </c>
      <c r="O37" s="3342">
        <v>26.88207740723028</v>
      </c>
      <c r="P37" s="3369">
        <f t="shared" si="13"/>
        <v>17157.217084390657</v>
      </c>
      <c r="Q37" s="3369" t="str">
        <f>'Table1.A(d)'!G37</f>
        <v>NO</v>
      </c>
      <c r="R37" s="3369">
        <f t="shared" si="7"/>
        <v>17157.217084390657</v>
      </c>
      <c r="S37" s="2577">
        <f t="shared" si="14"/>
        <v>1</v>
      </c>
      <c r="T37" s="3375">
        <f t="shared" si="15"/>
        <v>62909.795976099071</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700</v>
      </c>
      <c r="I40" s="3381"/>
      <c r="J40" s="3361">
        <v>-500</v>
      </c>
      <c r="K40" s="3369">
        <f t="shared" ref="K40:K42" si="16">IF((SUM(F40:G40)-SUM(H40:J40))=0,"NO",(SUM(F40:G40)-SUM(H40:J40)))</f>
        <v>-200</v>
      </c>
      <c r="L40" s="2577">
        <f t="shared" ref="L40:L42" si="17">IF(K40="NO","NA",1)</f>
        <v>1</v>
      </c>
      <c r="M40" s="55" t="s">
        <v>1814</v>
      </c>
      <c r="N40" s="3369">
        <f t="shared" ref="N40:N42" si="18">K40</f>
        <v>-200</v>
      </c>
      <c r="O40" s="3342">
        <v>25.90909090909091</v>
      </c>
      <c r="P40" s="3369">
        <f t="shared" ref="P40:P42" si="19">IFERROR(N40*O40/1000,"NA")</f>
        <v>-5.1818181818181817</v>
      </c>
      <c r="Q40" s="3369" t="str">
        <f>'Table1.A(d)'!G40</f>
        <v>NA</v>
      </c>
      <c r="R40" s="3369">
        <f t="shared" si="7"/>
        <v>-5.1818181818181817</v>
      </c>
      <c r="S40" s="2577">
        <f t="shared" ref="S40:S42" si="20">IF(R40="NO","NA",1)</f>
        <v>1</v>
      </c>
      <c r="T40" s="3375">
        <f t="shared" ref="T40:T42" si="21">IF(R40="NO","NO",R40*S40*44/12)</f>
        <v>-19</v>
      </c>
    </row>
    <row r="41" spans="2:20" ht="18" customHeight="1" x14ac:dyDescent="0.2">
      <c r="B41" s="1727"/>
      <c r="C41" s="1567"/>
      <c r="D41" s="31" t="s">
        <v>266</v>
      </c>
      <c r="E41" s="2575" t="s">
        <v>2150</v>
      </c>
      <c r="F41" s="3381"/>
      <c r="G41" s="3361" t="s">
        <v>2146</v>
      </c>
      <c r="H41" s="3361">
        <v>4800</v>
      </c>
      <c r="I41" s="3381"/>
      <c r="J41" s="3361">
        <v>12500</v>
      </c>
      <c r="K41" s="3369">
        <f t="shared" si="16"/>
        <v>-17300</v>
      </c>
      <c r="L41" s="2577">
        <f t="shared" si="17"/>
        <v>1</v>
      </c>
      <c r="M41" s="55" t="s">
        <v>1814</v>
      </c>
      <c r="N41" s="3369">
        <f t="shared" si="18"/>
        <v>-17300</v>
      </c>
      <c r="O41" s="3342">
        <v>28.907881817911399</v>
      </c>
      <c r="P41" s="3369">
        <f t="shared" si="19"/>
        <v>-500.10635544986718</v>
      </c>
      <c r="Q41" s="3369">
        <f>'Table1.A(d)'!G41</f>
        <v>2795.346797980731</v>
      </c>
      <c r="R41" s="3369">
        <f t="shared" si="7"/>
        <v>-3295.4531534305984</v>
      </c>
      <c r="S41" s="2577">
        <f t="shared" si="20"/>
        <v>1</v>
      </c>
      <c r="T41" s="3375">
        <f t="shared" si="21"/>
        <v>-12083.328229245528</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106.36238756944007</v>
      </c>
      <c r="R42" s="3369">
        <f t="shared" si="7"/>
        <v>-106.36238756944007</v>
      </c>
      <c r="S42" s="2577">
        <f t="shared" si="20"/>
        <v>1</v>
      </c>
      <c r="T42" s="3375">
        <f t="shared" si="21"/>
        <v>-389.99542108794691</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1975259.5791440085</v>
      </c>
      <c r="O45" s="3364"/>
      <c r="P45" s="3371">
        <f>SUM(P33:P43)</f>
        <v>48609.986070804713</v>
      </c>
      <c r="Q45" s="3371">
        <f>SUM(Q33:Q43)</f>
        <v>3136.3121924662578</v>
      </c>
      <c r="R45" s="3371">
        <f>SUM(R33:R43)</f>
        <v>45473.67387833845</v>
      </c>
      <c r="S45" s="41"/>
      <c r="T45" s="3377">
        <f>SUM(T33:T43)</f>
        <v>166736.80422057433</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1242971.3099999998</v>
      </c>
      <c r="G47" s="3361" t="s">
        <v>2146</v>
      </c>
      <c r="H47" s="3361">
        <v>416200</v>
      </c>
      <c r="I47" s="3361" t="s">
        <v>2146</v>
      </c>
      <c r="J47" s="3361" t="s">
        <v>2146</v>
      </c>
      <c r="K47" s="3369">
        <f t="shared" ref="K47" si="22">IF((SUM(F47:G47)-SUM(H47:J47))=0,"NO",(SUM(F47:G47)-SUM(H47:J47)))</f>
        <v>826771.30999999982</v>
      </c>
      <c r="L47" s="2577">
        <f t="shared" ref="L47" si="23">IF(K47="NO","NA",1)</f>
        <v>1</v>
      </c>
      <c r="M47" s="55" t="s">
        <v>1814</v>
      </c>
      <c r="N47" s="3369">
        <f t="shared" ref="N47" si="24">K47</f>
        <v>826771.30999999982</v>
      </c>
      <c r="O47" s="3342">
        <v>14.04634939237925</v>
      </c>
      <c r="P47" s="3369">
        <f t="shared" ref="P47" si="25">IFERROR(N47*O47/1000,"NA")</f>
        <v>11613.118687855094</v>
      </c>
      <c r="Q47" s="3369">
        <f>'Table1.A(d)'!G47</f>
        <v>308.27618386530156</v>
      </c>
      <c r="R47" s="3369">
        <f t="shared" ref="R47" si="26">IF(SUM(P47,-SUM(Q47))=0,"NO",SUM(P47,-SUM(Q47)))</f>
        <v>11304.842503989792</v>
      </c>
      <c r="S47" s="2577">
        <f t="shared" ref="S47" si="27">IF(R47="NO","NA",1)</f>
        <v>1</v>
      </c>
      <c r="T47" s="3375">
        <f t="shared" ref="T47" si="28">IF(R47="NO","NO",R47*S47*44/12)</f>
        <v>41451.089181295909</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826771.30999999982</v>
      </c>
      <c r="O50" s="3366"/>
      <c r="P50" s="3371">
        <f>SUM(P47:P48)</f>
        <v>11613.118687855094</v>
      </c>
      <c r="Q50" s="3371">
        <f>SUM(Q47:Q48)</f>
        <v>308.27618386530156</v>
      </c>
      <c r="R50" s="3371">
        <f>SUM(R47:R48)</f>
        <v>11304.842503989792</v>
      </c>
      <c r="S50" s="2354"/>
      <c r="T50" s="3377">
        <f>SUM(T47:T48)</f>
        <v>41451.089181295909</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4339715.8073213408</v>
      </c>
      <c r="O55" s="3367"/>
      <c r="P55" s="3373">
        <f>SUM(P31,P45,P50,P54)</f>
        <v>89215.597195056602</v>
      </c>
      <c r="Q55" s="3373">
        <f>SUM(Q31,Q45,Q50,Q54)</f>
        <v>5767.2712099962737</v>
      </c>
      <c r="R55" s="3373">
        <f>SUM(R31,R45,R50,R54)</f>
        <v>83448.325985060306</v>
      </c>
      <c r="S55" s="2374"/>
      <c r="T55" s="3379">
        <f>SUM(T31,T45,T50,T54)</f>
        <v>305977.19527855451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1537.6849181773327</v>
      </c>
      <c r="D10" s="4136">
        <f>C10-'Table1.A(d)'!E31/1000</f>
        <v>1418.2496621337539</v>
      </c>
      <c r="E10" s="4135">
        <f>'Table1.A(b)'!T31</f>
        <v>97789.301876684302</v>
      </c>
      <c r="F10" s="4135">
        <f>'Table1.A(a)s1'!C11/1000</f>
        <v>1412.4982424874513</v>
      </c>
      <c r="G10" s="4135">
        <f>'Table1.A(a)s1'!H11</f>
        <v>95975.940957982253</v>
      </c>
      <c r="H10" s="4135">
        <f>100*((D10-F10)/F10)</f>
        <v>0.40718065858787506</v>
      </c>
      <c r="I10" s="4137">
        <f>100*((E10-G10)/G10)</f>
        <v>1.8893911334465874</v>
      </c>
      <c r="L10"/>
    </row>
    <row r="11" spans="2:12" ht="18" customHeight="1" x14ac:dyDescent="0.2">
      <c r="B11" s="50" t="s">
        <v>299</v>
      </c>
      <c r="C11" s="4135">
        <f>'Table1.A(b)'!N45/1000</f>
        <v>1975.2595791440085</v>
      </c>
      <c r="D11" s="4135">
        <f>C11-'Table1.A(d)'!E45/1000</f>
        <v>1864.2587310777928</v>
      </c>
      <c r="E11" s="4135">
        <f>'Table1.A(b)'!T45</f>
        <v>166736.80422057433</v>
      </c>
      <c r="F11" s="4135">
        <f>'Table1.A(a)s1'!C12/1000</f>
        <v>1847.1020817120836</v>
      </c>
      <c r="G11" s="4135">
        <f>'Table1.A(a)s1'!H12</f>
        <v>166273.26082547772</v>
      </c>
      <c r="H11" s="4135">
        <f t="shared" ref="H11:H13" si="0">100*((D11-F11)/F11)</f>
        <v>0.92884142872096465</v>
      </c>
      <c r="I11" s="4137">
        <f t="shared" ref="I11:I13" si="1">100*((E11-G11)/G11)</f>
        <v>0.27878408879173372</v>
      </c>
      <c r="L11"/>
    </row>
    <row r="12" spans="2:12" ht="18" customHeight="1" x14ac:dyDescent="0.2">
      <c r="B12" s="50" t="s">
        <v>300</v>
      </c>
      <c r="C12" s="4135">
        <f>'Table1.A(b)'!N50/1000</f>
        <v>826.77130999999986</v>
      </c>
      <c r="D12" s="4135">
        <f>C12-'Table1.A(d)'!E50/1000</f>
        <v>804.7852405433614</v>
      </c>
      <c r="E12" s="4135">
        <f>'Table1.A(b)'!T50</f>
        <v>41451.089181295909</v>
      </c>
      <c r="F12" s="4135">
        <f>'Table1.A(a)s1'!C13/1000</f>
        <v>810.51335265985483</v>
      </c>
      <c r="G12" s="4135">
        <f>'Table1.A(a)s1'!H13</f>
        <v>41752.908453758406</v>
      </c>
      <c r="H12" s="4135">
        <f t="shared" si="0"/>
        <v>-0.70672643426484427</v>
      </c>
      <c r="I12" s="4137">
        <f t="shared" si="1"/>
        <v>-0.7228700553801265</v>
      </c>
      <c r="L12"/>
    </row>
    <row r="13" spans="2:12" ht="18" customHeight="1" x14ac:dyDescent="0.2">
      <c r="B13" s="50" t="s">
        <v>275</v>
      </c>
      <c r="C13" s="4135">
        <f>'Table1.A(b)'!N54/1000</f>
        <v>0</v>
      </c>
      <c r="D13" s="4135">
        <f>C13-SUM('Table1.A(d)'!E54)/1000</f>
        <v>0</v>
      </c>
      <c r="E13" s="4135">
        <f>'Table1.A(b)'!T54</f>
        <v>0</v>
      </c>
      <c r="F13" s="4135">
        <f>'Table1.A(a)s1'!C14/1000</f>
        <v>4.2514915557215618</v>
      </c>
      <c r="G13" s="4135">
        <f>'Table1.A(a)s1'!H14</f>
        <v>382.27533103439055</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4339.7158073213413</v>
      </c>
      <c r="D15" s="4138">
        <f>SUM(D10:D14)</f>
        <v>4087.2936337549081</v>
      </c>
      <c r="E15" s="4138">
        <f>SUM(E10:E14)</f>
        <v>305977.19527855451</v>
      </c>
      <c r="F15" s="4138">
        <f>SUM(F10:F14)</f>
        <v>4074.3651684151114</v>
      </c>
      <c r="G15" s="4138">
        <f>SUM(G10:G14)</f>
        <v>304384.38556825276</v>
      </c>
      <c r="H15" s="4139">
        <f t="shared" ref="H15" si="2">100*((D15-F15)/F15)</f>
        <v>0.31731238623428981</v>
      </c>
      <c r="I15" s="4140">
        <f t="shared" ref="I15" si="3">100*((E15-G15)/G15)</f>
        <v>0.52328890239495895</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20" ma:contentTypeDescription="Create a new document." ma:contentTypeScope="" ma:versionID="6dbdf366bfa24aecf9d02aac05f6fe43">
  <xsd:schema xmlns:xsd="http://www.w3.org/2001/XMLSchema" xmlns:xs="http://www.w3.org/2001/XMLSchema" xmlns:p="http://schemas.microsoft.com/office/2006/metadata/properties" xmlns:ns1="http://schemas.microsoft.com/sharepoint/v3" xmlns:ns2="a36bd50b-1532-4c22-b385-5c082c960938" xmlns:ns3="8c4c6479-bb6a-4263-8159-fbb0afc5d491" xmlns:ns4="http://schemas.microsoft.com/sharepoint/v4" targetNamespace="http://schemas.microsoft.com/office/2006/metadata/properties" ma:root="true" ma:fieldsID="b3717b32c84f129fe1b1fd8f6913ad39" ns1:_="" ns2:_="" ns3:_="" ns4:_="">
    <xsd:import namespace="http://schemas.microsoft.com/sharepoint/v3"/>
    <xsd:import namespace="a36bd50b-1532-4c22-b385-5c082c960938"/>
    <xsd:import namespace="8c4c6479-bb6a-4263-8159-fbb0afc5d491"/>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dda5f9ba198b4d32811e63843ea27095" minOccurs="0"/>
                <xsd:element ref="ns3:cf9693a743254cad909e3410e83b7628" minOccurs="0"/>
                <xsd:element ref="ns3:a0220e2538854741b223cc5e865e5461" minOccurs="0"/>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0fbe3fec-c611-4c3e-9ea6-f54bcd1bbf7a}" ma:internalName="TaxCatchAll" ma:showField="CatchAllData" ma:web="8c4c6479-bb6a-4263-8159-fbb0afc5d491">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ea9d8bf4-53b1-4391-9742-58425172aa62"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4c6479-bb6a-4263-8159-fbb0afc5d491" elementFormDefault="qualified">
    <xsd:import namespace="http://schemas.microsoft.com/office/2006/documentManagement/types"/>
    <xsd:import namespace="http://schemas.microsoft.com/office/infopath/2007/PartnerControls"/>
    <xsd:element name="dda5f9ba198b4d32811e63843ea27095" ma:index="24" nillable="true" ma:taxonomy="true" ma:internalName="dda5f9ba198b4d32811e63843ea27095" ma:taxonomyFieldName="DocHub_GreenhouseReportingYear" ma:displayName="Reporting Year" ma:indexed="true" ma:default="" ma:fieldId="{dda5f9ba-198b-4d32-811e-63843ea27095}"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cf9693a743254cad909e3410e83b7628" ma:index="26" nillable="true" ma:taxonomy="true" ma:internalName="cf9693a743254cad909e3410e83b7628" ma:taxonomyFieldName="DocHub_DETCategory" ma:displayName="DET Category" ma:indexed="true" ma:default="" ma:fieldId="{cf9693a7-4325-4cad-909e-3410e83b7628}" ma:sspId="fb0313f7-9433-48c0-866e-9e0bbee59a50" ma:termSetId="6233cde8-094b-42f6-b662-60a75a1619d4" ma:anchorId="00000000-0000-0000-0000-000000000000" ma:open="false" ma:isKeyword="false">
      <xsd:complexType>
        <xsd:sequence>
          <xsd:element ref="pc:Terms" minOccurs="0" maxOccurs="1"/>
        </xsd:sequence>
      </xsd:complexType>
    </xsd:element>
    <xsd:element name="a0220e2538854741b223cc5e865e5461" ma:index="28" nillable="true" ma:taxonomy="true" ma:internalName="a0220e2538854741b223cc5e865e5461" ma:taxonomyFieldName="DocHub_IPCCSector" ma:displayName="IPCC Sector" ma:indexed="true" ma:default="" ma:fieldId="{a0220e25-3885-4741-b223-cc5e865e5461}" ma:sspId="fb0313f7-9433-48c0-866e-9e0bbee59a50" ma:termSetId="4b91d4e9-82d8-434f-af1d-ded37fcd83a6" ma:anchorId="00000000-0000-0000-0000-000000000000" ma:open="false" ma:isKeyword="false">
      <xsd:complexType>
        <xsd:sequence>
          <xsd:element ref="pc:Terms" minOccurs="0" maxOccurs="1"/>
        </xsd:sequence>
      </xsd:complexType>
    </xsd:element>
    <xsd:element name="SharedWithUsers" ma:index="2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F9BB66-26BC-4FB5-8B4E-F270C2DFD009}">
  <ds:schemaRefs>
    <ds:schemaRef ds:uri="http://schemas.microsoft.com/PowerBIAddIn"/>
  </ds:schemaRefs>
</ds:datastoreItem>
</file>

<file path=customXml/itemProps2.xml><?xml version="1.0" encoding="utf-8"?>
<ds:datastoreItem xmlns:ds="http://schemas.openxmlformats.org/officeDocument/2006/customXml" ds:itemID="{4B5316D4-D862-412E-BA38-259C356C75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8c4c6479-bb6a-4263-8159-fbb0afc5d4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4.xml><?xml version="1.0" encoding="utf-8"?>
<ds:datastoreItem xmlns:ds="http://schemas.openxmlformats.org/officeDocument/2006/customXml" ds:itemID="{5CA97B59-72AF-4329-8AC1-ED2C170F6650}"/>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