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C2280ACE-9DE8-4E81-8996-05F213BA9B70}" xr6:coauthVersionLast="47" xr6:coauthVersionMax="47" xr10:uidLastSave="{00000000-0000-0000-0000-000000000000}"/>
  <bookViews>
    <workbookView xWindow="390" yWindow="39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78" i="34"/>
  <c r="I86" i="34"/>
  <c r="I87" i="34"/>
  <c r="I79" i="34"/>
  <c r="I82" i="34"/>
  <c r="I83" i="34"/>
  <c r="I33" i="34"/>
  <c r="G37" i="34"/>
  <c r="G59" i="34"/>
  <c r="I72" i="34"/>
  <c r="G36" i="34"/>
  <c r="H37" i="34"/>
  <c r="H36" i="34"/>
  <c r="I37" i="34"/>
  <c r="G88" i="34"/>
  <c r="G26" i="34"/>
  <c r="H27" i="34"/>
  <c r="I28" i="34"/>
  <c r="G34" i="34"/>
  <c r="H35" i="34"/>
  <c r="I36" i="34"/>
  <c r="G62" i="34"/>
  <c r="I75" i="34"/>
  <c r="I80" i="34"/>
  <c r="I84" i="34"/>
  <c r="I88" i="34"/>
  <c r="H26" i="34"/>
  <c r="I27" i="34"/>
  <c r="G33" i="34"/>
  <c r="H34" i="34"/>
  <c r="I35" i="34"/>
  <c r="I76" i="34"/>
  <c r="G85" i="34"/>
  <c r="G89" i="34"/>
  <c r="I26" i="34"/>
  <c r="G32" i="34"/>
  <c r="H33" i="34"/>
  <c r="I34" i="34"/>
  <c r="I81"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2" i="34"/>
  <c r="I53" i="34"/>
  <c r="I54" i="34"/>
  <c r="I55" i="34"/>
  <c r="I56" i="34"/>
  <c r="I57" i="34"/>
  <c r="I58" i="34"/>
  <c r="I59" i="34"/>
  <c r="I60" i="34"/>
  <c r="I61" i="34"/>
  <c r="I62" i="34"/>
  <c r="I63" i="34"/>
  <c r="G63" i="34"/>
  <c r="M51" i="34" l="1"/>
  <c r="L51" i="34"/>
  <c r="K51" i="34"/>
  <c r="J51"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68" i="34"/>
  <c r="I66" i="34"/>
  <c r="G81" i="34"/>
  <c r="H70" i="34"/>
  <c r="H68" i="34"/>
  <c r="H66" i="34"/>
  <c r="G55" i="34"/>
  <c r="M64" i="34"/>
  <c r="G54" i="34"/>
  <c r="G84" i="34"/>
  <c r="G80" i="34"/>
  <c r="I74" i="34"/>
  <c r="J64" i="34"/>
  <c r="G61" i="34"/>
  <c r="G53" i="34"/>
  <c r="G35" i="34"/>
  <c r="I29" i="34"/>
  <c r="H28" i="34"/>
  <c r="G27" i="34"/>
  <c r="I73" i="34"/>
  <c r="I69" i="34"/>
  <c r="I67" i="34"/>
  <c r="I65" i="34"/>
  <c r="I30" i="34"/>
  <c r="H29" i="34"/>
  <c r="G28" i="34"/>
  <c r="M25" i="34"/>
  <c r="G87" i="34"/>
  <c r="G83" i="34"/>
  <c r="G79" i="34"/>
  <c r="H69" i="34"/>
  <c r="H67" i="34"/>
  <c r="H65" i="34"/>
  <c r="I31" i="34"/>
  <c r="H30" i="34"/>
  <c r="G29" i="34"/>
  <c r="L25" i="34"/>
  <c r="I71" i="34"/>
  <c r="I32" i="34"/>
  <c r="H31" i="34"/>
  <c r="G30" i="34"/>
  <c r="K25" i="34"/>
  <c r="H71" i="34"/>
  <c r="H32" i="34"/>
  <c r="G31" i="34"/>
  <c r="J25" i="34"/>
  <c r="G60" i="34"/>
  <c r="G58" i="34"/>
  <c r="G82" i="34"/>
  <c r="G57" i="34"/>
  <c r="G56" i="34"/>
  <c r="G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F28" i="33"/>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Z14" i="73"/>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Y14" i="73" l="1"/>
  <c r="I35" i="73"/>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<sst xmlns="http://schemas.openxmlformats.org/spreadsheetml/2006/main" count="19392" uniqueCount="2523">
  <si>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</si>
  <si>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</si>
  <si>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</si>
  <si>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</si>
  <si>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</si>
  <si>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</si>
  <si>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</si>
  <si>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</si>
  <si>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</si>
  <si>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</si>
  <si>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</si>
  <si>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</si>
  <si>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</si>
  <si>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</si>
  <si>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</si>
  <si>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</si>
  <si>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</si>
  <si>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</si>
  <si>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</si>
  <si>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</si>
  <si>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</si>
  <si>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</si>
  <si>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</si>
  <si>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</si>
  <si>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</si>
  <si>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</si>
  <si>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</si>
  <si>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</si>
  <si>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</si>
  <si>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</si>
  <si>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</si>
  <si>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</si>
  <si>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</si>
  <si>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</si>
  <si>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</si>
  <si>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</si>
  <si>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</si>
  <si>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</si>
  <si>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</si>
  <si>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</si>
  <si>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</si>
  <si>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</si>
  <si>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</si>
  <si>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</si>
  <si>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</si>
  <si>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</si>
  <si>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</si>
  <si>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</si>
  <si>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</si>
  <si>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</si>
  <si>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</si>
  <si>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</si>
  <si>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</si>
  <si>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</si>
  <si>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</si>
  <si>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</si>
  <si>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</si>
  <si>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</si>
  <si>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</si>
  <si>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</si>
  <si>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</si>
  <si>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</si>
  <si>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</si>
  <si>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</si>
  <si>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</si>
  <si>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</si>
  <si>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</si>
  <si>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</si>
  <si>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</si>
  <si>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</si>
  <si>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</si>
  <si>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</si>
  <si>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</si>
  <si>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</si>
  <si>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</si>
  <si>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</si>
  <si>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</si>
  <si>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</si>
  <si>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</si>
  <si>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</si>
  <si>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</si>
  <si>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</si>
  <si>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</si>
  <si>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</si>
  <si>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</si>
  <si>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</si>
  <si>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</si>
  <si>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</si>
  <si>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</si>
  <si>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</si>
  <si>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</si>
  <si>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</si>
  <si>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</si>
  <si>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</si>
  <si>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</si>
  <si>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</si>
  <si>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</si>
  <si>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</si>
  <si>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</si>
  <si>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</si>
  <si>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</si>
  <si>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</si>
  <si>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</si>
  <si>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</si>
  <si>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</si>
  <si>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</si>
  <si>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</si>
  <si>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</si>
  <si>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</si>
  <si>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</si>
  <si>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</si>
  <si>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</si>
  <si>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</si>
  <si>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</si>
  <si>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</si>
  <si>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</si>
  <si>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</si>
  <si>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</si>
  <si>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</si>
  <si>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</si>
  <si>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</si>
  <si>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</si>
  <si>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</si>
  <si>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</si>
  <si>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</si>
  <si>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</si>
  <si>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</si>
  <si>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</si>
  <si>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</si>
  <si>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</si>
  <si>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</si>
  <si>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</si>
  <si>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</si>
  <si>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</si>
  <si>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</si>
  <si>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</si>
  <si>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</si>
  <si>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</si>
  <si>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</si>
  <si>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</si>
  <si>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</si>
  <si>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</si>
  <si>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</si>
  <si>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</si>
  <si>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</si>
  <si>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</si>
  <si>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</si>
  <si>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</si>
  <si>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</si>
  <si>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</si>
  <si>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</si>
  <si>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</si>
  <si>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</si>
  <si>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</si>
  <si>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</si>
  <si>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</si>
  <si>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</si>
  <si>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</si>
  <si>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</si>
  <si>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</si>
  <si>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</si>
  <si>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</si>
  <si>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</si>
  <si>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</si>
  <si>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</si>
  <si>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</si>
  <si>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</si>
  <si>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</si>
  <si>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</si>
  <si>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</si>
  <si>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</si>
  <si>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</si>
  <si>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</si>
  <si>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</si>
  <si>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</si>
  <si>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</si>
  <si>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</si>
  <si>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</si>
  <si>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</si>
  <si>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</si>
  <si>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</si>
  <si>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</si>
  <si>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</si>
  <si>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</si>
  <si>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</si>
  <si>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</si>
  <si>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</si>
  <si>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</si>
  <si>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</si>
  <si>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</si>
  <si>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</si>
  <si>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</si>
  <si>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</si>
  <si>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</si>
  <si>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</si>
  <si>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</si>
  <si>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</si>
  <si>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</si>
  <si>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</si>
  <si>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</si>
  <si>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</si>
  <si>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</si>
  <si>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</si>
  <si>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</si>
  <si>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</si>
  <si>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</si>
  <si>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</si>
  <si>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</si>
  <si>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</si>
  <si>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</si>
  <si>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</si>
  <si>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</si>
  <si>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</si>
  <si>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</si>
  <si>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</si>
  <si>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</si>
  <si>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</si>
  <si>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</si>
  <si>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</si>
  <si>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</si>
  <si>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</si>
  <si>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</si>
  <si>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</si>
  <si>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</si>
  <si>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</si>
  <si>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</si>
  <si>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</si>
  <si>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</si>
  <si>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</si>
  <si>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</si>
  <si>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</si>
  <si>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</si>
  <si>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</si>
  <si>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</si>
  <si>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</si>
  <si>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</si>
  <si>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</si>
  <si>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</si>
  <si>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</si>
  <si>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</si>
  <si>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</si>
  <si>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</si>
  <si>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</si>
  <si>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</si>
  <si>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</si>
  <si>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</si>
  <si>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</si>
  <si>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</si>
  <si>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</si>
  <si>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</si>
  <si>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</si>
  <si>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</si>
  <si>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</si>
  <si>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</si>
  <si>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</si>
  <si>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</si>
  <si>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</si>
  <si>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</si>
  <si>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</si>
  <si>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</si>
  <si>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</si>
  <si>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</si>
  <si>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</si>
  <si>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</si>
  <si>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</si>
  <si>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</si>
  <si>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</si>
  <si>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</si>
  <si>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</si>
  <si>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</si>
  <si>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</si>
  <si>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</si>
  <si>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</si>
  <si>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</si>
  <si>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</si>
  <si>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</si>
  <si>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</si>
  <si>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</si>
  <si>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</si>
  <si>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</si>
  <si>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</si>
  <si>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</si>
  <si>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</si>
  <si>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</si>
  <si>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</si>
  <si>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</si>
  <si>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</si>
  <si>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</si>
  <si>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</si>
  <si>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</si>
  <si>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</si>
  <si>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</si>
  <si>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</si>
  <si>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</si>
  <si>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</si>
  <si>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</si>
  <si>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</si>
  <si>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</si>
  <si>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</si>
  <si>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</si>
  <si>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</si>
  <si>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</si>
  <si>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</si>
  <si>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</si>
  <si>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</si>
  <si>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</si>
  <si>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</si>
  <si>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</si>
  <si>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</si>
  <si>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</si>
  <si>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</si>
  <si>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</si>
  <si>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</si>
  <si>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</si>
  <si>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</si>
  <si>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</si>
  <si>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</si>
  <si>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</si>
  <si>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</si>
  <si>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</si>
  <si>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</si>
  <si>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</si>
  <si>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</si>
  <si>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</si>
  <si>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</si>
  <si>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</si>
  <si>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</si>
  <si>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</si>
  <si>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</si>
  <si>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</si>
  <si>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</si>
  <si>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</si>
  <si>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</si>
  <si>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</si>
  <si>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</si>
  <si>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</si>
  <si>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</si>
  <si>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</si>
  <si>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</si>
  <si>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</si>
  <si>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</si>
  <si>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</si>
  <si>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</si>
  <si>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</si>
  <si>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</si>
  <si>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</si>
  <si>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</si>
  <si>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</si>
  <si>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</si>
  <si>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</si>
  <si>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</si>
  <si>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</si>
  <si>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</si>
  <si>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</si>
  <si>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</si>
  <si>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</si>
  <si>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</si>
  <si>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</si>
  <si>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</si>
  <si>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</si>
  <si>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</si>
  <si>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</si>
  <si>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</si>
  <si>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</si>
  <si>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</si>
  <si>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</si>
  <si>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</si>
  <si>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</si>
  <si>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</si>
  <si>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</si>
  <si>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</si>
  <si>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</si>
  <si>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</si>
  <si>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</si>
  <si>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</si>
  <si>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</si>
  <si>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</si>
  <si>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</si>
  <si>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</si>
  <si>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</si>
  <si>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</si>
  <si>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</si>
  <si>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</si>
  <si>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</si>
  <si>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</si>
  <si>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</si>
  <si>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</si>
  <si>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</si>
  <si>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</si>
  <si>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</si>
  <si>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</si>
  <si>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</si>
  <si>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</si>
  <si>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</si>
  <si>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</si>
  <si>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</si>
  <si>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</si>
  <si>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</si>
  <si>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</si>
  <si>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</si>
  <si>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</si>
  <si>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</si>
  <si>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</si>
  <si>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</si>
  <si>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</si>
  <si>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</si>
  <si>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</si>
  <si>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</si>
  <si>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</si>
  <si>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</si>
  <si>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</si>
  <si>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</si>
  <si>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</si>
  <si>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</si>
  <si>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</si>
  <si>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</si>
  <si>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</si>
  <si>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</si>
  <si>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</si>
  <si>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</si>
  <si>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</si>
  <si>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</si>
  <si>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</si>
  <si>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</si>
  <si>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</si>
  <si>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</si>
  <si>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</si>
  <si>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</si>
  <si>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</si>
  <si>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</si>
  <si>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</si>
  <si>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</si>
  <si>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</si>
  <si>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</si>
  <si>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</si>
  <si>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</si>
  <si>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</si>
  <si>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</si>
  <si>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</si>
  <si>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</si>
  <si>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</si>
  <si>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</si>
  <si>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</si>
  <si>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</si>
  <si>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</si>
  <si>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</si>
  <si>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</si>
  <si>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</si>
  <si>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</si>
  <si>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</si>
  <si>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</si>
  <si>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</si>
  <si>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</si>
  <si>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</si>
  <si>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</si>
  <si>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</si>
  <si>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</si>
  <si>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</si>
  <si>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</si>
  <si>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</si>
  <si>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</si>
  <si>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</si>
  <si>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</si>
  <si>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</si>
  <si>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</si>
  <si>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</si>
  <si>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</si>
  <si>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</si>
  <si>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</si>
  <si>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</si>
  <si>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</si>
  <si>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</si>
  <si>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</si>
  <si>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</si>
  <si>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</si>
  <si>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</si>
  <si>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</si>
  <si>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</si>
  <si>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</si>
  <si>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</si>
  <si>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</si>
  <si>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</si>
  <si>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</si>
  <si>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</si>
  <si>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</si>
  <si>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</si>
  <si>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</si>
  <si>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</si>
  <si>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</si>
  <si>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</si>
  <si>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</si>
  <si>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</si>
  <si>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</si>
  <si>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</si>
  <si>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</si>
  <si>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</si>
  <si>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</si>
  <si>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</si>
  <si>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</si>
  <si>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</si>
  <si>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</si>
  <si>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</si>
  <si>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</si>
  <si>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</si>
  <si>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</si>
  <si>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</si>
  <si>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</si>
  <si>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</si>
  <si>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</si>
  <si>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</si>
  <si>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</si>
  <si>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</si>
  <si>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</si>
  <si>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</si>
  <si>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</si>
  <si>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</si>
  <si>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</si>
  <si>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</si>
  <si>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</si>
  <si>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</si>
  <si>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</si>
  <si>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</si>
  <si>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</si>
  <si>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</si>
  <si>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</si>
  <si>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</si>
  <si>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</si>
  <si>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</si>
  <si>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</si>
  <si>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</si>
  <si>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</si>
  <si>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</si>
  <si>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</si>
  <si>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</si>
  <si>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</si>
  <si>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</si>
  <si>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</si>
  <si>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</si>
  <si>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</si>
  <si>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</si>
  <si>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</si>
  <si>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</si>
  <si>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</si>
  <si>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</si>
  <si>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</si>
  <si>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</si>
  <si>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</si>
  <si>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</si>
  <si>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</si>
  <si>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</si>
  <si>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</si>
  <si>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</si>
  <si>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</si>
  <si>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</si>
  <si>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</si>
  <si>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</si>
  <si>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</si>
  <si>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</si>
  <si>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</si>
  <si>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</si>
  <si>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</si>
  <si>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</si>
  <si>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</si>
  <si>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</si>
  <si>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</si>
  <si>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</si>
  <si>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</si>
  <si>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</si>
  <si>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</si>
  <si>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</si>
  <si>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</si>
  <si>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</si>
  <si>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</si>
  <si>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</si>
  <si>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</si>
  <si>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</si>
  <si>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</si>
  <si>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</si>
  <si>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</si>
  <si>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</si>
  <si>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</si>
  <si>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</si>
  <si>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</si>
  <si>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</si>
  <si>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</si>
  <si>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</si>
  <si>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</si>
  <si>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</si>
  <si>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</si>
  <si>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</si>
  <si>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</si>
  <si>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</si>
  <si>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</si>
  <si>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</si>
  <si>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</si>
  <si>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</si>
  <si>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</si>
  <si>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</si>
  <si>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</si>
  <si>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</si>
  <si>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</si>
  <si>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</si>
  <si>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</si>
  <si>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</si>
  <si>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</si>
  <si>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</si>
  <si>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</si>
  <si>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</si>
  <si>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</si>
  <si>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</si>
  <si>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</si>
  <si>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</si>
  <si>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</si>
  <si>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</si>
  <si>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</si>
  <si>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</si>
  <si>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</si>
  <si>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</si>
  <si>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</si>
  <si>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</si>
  <si>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</si>
  <si>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</si>
  <si>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</si>
  <si>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</si>
  <si>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</si>
  <si>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</si>
  <si>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</si>
  <si>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</si>
  <si>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</si>
  <si>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</si>
  <si>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</si>
  <si>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</si>
  <si>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</si>
  <si>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</si>
  <si>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</si>
  <si>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</si>
  <si>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</si>
  <si>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</si>
  <si>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</si>
  <si>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</si>
  <si>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</si>
  <si>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</si>
  <si>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</si>
  <si>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</si>
  <si>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</si>
  <si>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</si>
  <si>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</si>
  <si>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</si>
  <si>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</si>
  <si>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</si>
  <si>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</si>
  <si>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</si>
  <si>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</si>
  <si>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</si>
  <si>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</si>
  <si>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</si>
  <si>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</si>
  <si>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</si>
  <si>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</si>
  <si>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</si>
  <si>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</si>
  <si>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</si>
  <si>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</si>
  <si>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</si>
  <si>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</si>
  <si>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</si>
  <si>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</si>
  <si>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</si>
  <si>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</si>
  <si>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</si>
  <si>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</si>
  <si>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</si>
  <si>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</si>
  <si>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</si>
  <si>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</si>
  <si>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</si>
  <si>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</si>
  <si>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</si>
  <si>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</si>
  <si>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</si>
  <si>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</si>
  <si>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</si>
  <si>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</si>
  <si>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</si>
  <si>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</si>
  <si>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</si>
  <si>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</si>
  <si>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</si>
  <si>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</si>
  <si>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</si>
  <si>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</si>
  <si>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</si>
  <si>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</si>
  <si>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</si>
  <si>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</si>
  <si>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</si>
  <si>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</si>
  <si>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</si>
  <si>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</si>
  <si>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</si>
  <si>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</si>
  <si>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</si>
  <si>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</si>
  <si>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</si>
  <si>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</si>
  <si>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</si>
  <si>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</si>
  <si>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</si>
  <si>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</si>
  <si>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</si>
  <si>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</si>
  <si>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</si>
  <si>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</si>
  <si>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</si>
  <si>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</si>
  <si>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</si>
  <si>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</si>
  <si>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</si>
  <si>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</si>
  <si>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</si>
  <si>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</si>
  <si>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</si>
  <si>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</si>
  <si>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</si>
  <si>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</si>
  <si>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</si>
  <si>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</si>
  <si>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</si>
  <si>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</si>
  <si>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</si>
  <si>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</si>
  <si>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</si>
  <si>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</si>
  <si>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</si>
  <si>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</si>
  <si>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</si>
  <si>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</si>
  <si>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</si>
  <si>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</si>
  <si>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</si>
  <si>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</si>
  <si>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</si>
  <si>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</si>
  <si>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</si>
  <si>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</si>
  <si>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</si>
  <si>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</si>
  <si>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</si>
  <si>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</si>
  <si>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</si>
  <si>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</si>
  <si>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</si>
  <si>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</si>
  <si>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</si>
  <si>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</si>
  <si>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</si>
  <si>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</si>
  <si>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</si>
  <si>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</si>
  <si>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</si>
  <si>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</si>
  <si>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</si>
  <si>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</si>
  <si>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</si>
  <si>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</si>
  <si>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</si>
  <si>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</si>
  <si>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</si>
  <si>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</si>
  <si>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</si>
  <si>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</si>
  <si>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</si>
  <si>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</si>
  <si>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</si>
  <si>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</si>
  <si>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</si>
  <si>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</si>
  <si>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</si>
  <si>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</si>
  <si>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</si>
  <si>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</si>
  <si>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</si>
  <si>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</si>
  <si>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</si>
  <si>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</si>
  <si>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</si>
  <si>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</si>
  <si>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</si>
  <si>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</si>
  <si>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</si>
  <si>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</si>
  <si>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</si>
  <si>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</si>
  <si>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</si>
  <si>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</si>
  <si>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</si>
  <si>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</si>
  <si>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</si>
  <si>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</si>
  <si>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</si>
  <si>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</si>
  <si>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</si>
  <si>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</si>
  <si>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</si>
  <si>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</si>
  <si>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</si>
  <si>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</si>
  <si>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</si>
  <si>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</si>
  <si>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</si>
  <si>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</si>
  <si>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</si>
  <si>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</si>
  <si>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</si>
  <si>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</si>
  <si>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</si>
  <si>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</si>
  <si>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</si>
  <si>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</si>
  <si>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</si>
  <si>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</si>
  <si>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</si>
  <si>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</si>
  <si>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</si>
  <si>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</si>
  <si>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</si>
  <si>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</si>
  <si>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</si>
  <si>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</si>
  <si>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</si>
  <si>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</si>
  <si>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</si>
  <si>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</si>
  <si>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</si>
  <si>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</si>
  <si>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</si>
  <si>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</si>
  <si>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</si>
  <si>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</si>
  <si>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</si>
  <si>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</si>
  <si>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</si>
  <si>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</si>
  <si>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</si>
  <si>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</si>
  <si>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</si>
  <si>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</si>
  <si>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</si>
  <si>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</si>
  <si>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</si>
  <si>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</si>
  <si>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</si>
  <si>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</si>
  <si>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</si>
  <si>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</si>
  <si>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</si>
  <si>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</si>
  <si>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</si>
  <si>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</si>
  <si>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</si>
  <si>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</si>
  <si>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</si>
  <si>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</si>
  <si>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</si>
  <si>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</si>
  <si>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</si>
  <si>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</si>
  <si>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</si>
  <si>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</si>
  <si>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</si>
  <si>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</si>
  <si>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</si>
  <si>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</si>
  <si>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</si>
  <si>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</si>
  <si>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</si>
  <si>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</si>
  <si>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</si>
  <si>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</si>
  <si>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</si>
  <si>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</si>
  <si>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</si>
  <si>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</si>
  <si>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</si>
  <si>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</si>
  <si>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</si>
  <si>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</si>
  <si>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</si>
  <si>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</si>
  <si>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</si>
  <si>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</si>
  <si>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</si>
  <si>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</si>
  <si>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</si>
  <si>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</si>
  <si>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</si>
  <si>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</si>
  <si>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</si>
  <si>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</si>
  <si>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</si>
  <si>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</si>
  <si>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</si>
  <si>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</si>
  <si>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</si>
  <si>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</si>
  <si>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</si>
  <si>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</si>
  <si>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</si>
  <si>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</si>
  <si>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</si>
  <si>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</si>
  <si>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</si>
  <si>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</si>
  <si>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</si>
  <si>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</si>
  <si>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</si>
  <si>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</si>
  <si>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</si>
  <si>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</si>
  <si>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</si>
  <si>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</si>
  <si>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</si>
  <si>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</si>
  <si>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</si>
  <si>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</si>
  <si>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</si>
  <si>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</si>
  <si>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</si>
  <si>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</si>
  <si>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</si>
  <si>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</si>
  <si>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</si>
  <si>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</si>
  <si>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</si>
  <si>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</si>
  <si>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</si>
  <si>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</si>
  <si>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</si>
  <si>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</si>
  <si>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</si>
  <si>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</si>
  <si>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</si>
  <si>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</si>
  <si>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</si>
  <si>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</si>
  <si>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</si>
  <si>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</si>
  <si>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</si>
  <si>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</si>
  <si>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</si>
  <si>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</si>
  <si>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</si>
  <si>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</si>
  <si>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</si>
  <si>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</si>
  <si>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</si>
  <si>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</si>
  <si>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</si>
  <si>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</si>
  <si>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</si>
  <si>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</si>
  <si>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</si>
  <si>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</si>
  <si>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</si>
  <si>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</si>
  <si>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</si>
  <si>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</si>
  <si>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</si>
  <si>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</si>
  <si>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</si>
  <si>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</si>
  <si>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</si>
  <si>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</si>
  <si>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</si>
  <si>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</si>
  <si>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</si>
  <si>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</si>
  <si>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</si>
  <si>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</si>
  <si>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</si>
  <si>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</si>
  <si>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</si>
  <si>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</si>
  <si>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</si>
  <si>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</si>
  <si>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</si>
  <si>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</si>
  <si>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</si>
  <si>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</si>
  <si>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</si>
  <si>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</si>
  <si>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</si>
  <si>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</si>
  <si>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</si>
  <si>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</si>
  <si>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</si>
  <si>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</si>
  <si>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</si>
  <si>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</si>
  <si>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</si>
  <si>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</si>
  <si>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</si>
  <si>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</si>
  <si>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</si>
  <si>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</si>
  <si>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</si>
  <si>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</si>
  <si>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</si>
  <si>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</si>
  <si>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</si>
  <si>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</si>
  <si>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</si>
  <si>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</si>
  <si>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</si>
  <si>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</si>
  <si>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</si>
  <si>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</si>
  <si>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</si>
  <si>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</si>
  <si>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</si>
  <si>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</si>
  <si>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</si>
  <si>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</si>
  <si>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</si>
  <si>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</si>
  <si>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</si>
  <si>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</si>
  <si>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</si>
  <si>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</si>
  <si>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</si>
  <si>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</si>
  <si>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</si>
  <si>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</si>
  <si>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</si>
  <si>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</si>
  <si>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</si>
  <si>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</si>
  <si>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</si>
  <si>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</si>
  <si>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</si>
  <si>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</si>
  <si>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</si>
  <si>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</si>
  <si>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</si>
  <si>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</si>
  <si>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</si>
  <si>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</si>
  <si>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</si>
  <si>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</si>
  <si>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</si>
  <si>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</si>
  <si>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</si>
  <si>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</si>
  <si>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</si>
  <si>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</si>
  <si>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</si>
  <si>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</si>
  <si>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</si>
  <si>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</si>
  <si>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</si>
  <si>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</si>
  <si>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</si>
  <si>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</si>
  <si>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</si>
  <si>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</si>
  <si>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</si>
  <si>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</si>
  <si>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</si>
  <si>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</si>
  <si>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</si>
  <si>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</si>
  <si>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</si>
  <si>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</si>
  <si>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</si>
  <si>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</si>
  <si>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</si>
  <si>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</si>
  <si>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</si>
  <si>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</si>
  <si>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</si>
  <si>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</si>
  <si>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</si>
  <si>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</si>
  <si>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</si>
  <si>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</si>
  <si>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</si>
  <si>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</si>
  <si>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</si>
  <si>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</si>
  <si>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</si>
  <si>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</si>
  <si>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</si>
  <si>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</si>
  <si>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</si>
  <si>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</si>
  <si>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</si>
  <si>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</si>
  <si>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</si>
  <si>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</si>
  <si>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</si>
  <si>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</si>
  <si>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</si>
  <si>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</si>
  <si>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</si>
  <si>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</si>
  <si>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</si>
  <si>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</si>
  <si>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</si>
  <si>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</si>
  <si>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</si>
  <si>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</si>
  <si>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</si>
  <si>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</si>
  <si>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</si>
  <si>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</si>
  <si>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</si>
  <si>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</si>
  <si>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</si>
  <si>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</si>
  <si>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</si>
  <si>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</si>
  <si>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</si>
  <si>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</si>
  <si>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</si>
  <si>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</si>
  <si>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</si>
  <si>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</si>
  <si>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</si>
  <si>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</si>
  <si>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</si>
  <si>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</si>
  <si>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</si>
  <si>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</si>
  <si>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</si>
  <si>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</si>
  <si>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</si>
  <si>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</si>
  <si>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</si>
  <si>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</si>
  <si>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</si>
  <si>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</si>
  <si>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</si>
  <si>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</si>
  <si>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</si>
  <si>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</si>
  <si>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</si>
  <si>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</si>
  <si>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</si>
  <si>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</si>
  <si>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</si>
  <si>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</si>
  <si>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</si>
  <si>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</si>
  <si>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</si>
  <si>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</si>
  <si>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</si>
  <si>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</si>
  <si>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</si>
  <si>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</si>
  <si>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</si>
  <si>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</si>
  <si>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</si>
  <si>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</si>
  <si>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</si>
  <si>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</si>
  <si>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</si>
  <si>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</si>
  <si>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</si>
  <si>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</si>
  <si>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</si>
  <si>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</si>
  <si>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</si>
  <si>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</si>
  <si>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</si>
  <si>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</si>
  <si>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</si>
  <si>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</si>
  <si>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</si>
  <si>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</si>
  <si>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</si>
  <si>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</si>
  <si>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</si>
  <si>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</si>
  <si>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</si>
  <si>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</si>
  <si>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</si>
  <si>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</si>
  <si>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</si>
  <si>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</si>
  <si>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</si>
  <si>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</si>
  <si>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</si>
  <si>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</si>
  <si>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</si>
  <si>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</si>
  <si>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</si>
  <si>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</si>
  <si>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</si>
  <si>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</si>
  <si>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</si>
  <si>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</si>
  <si>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</si>
  <si>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</si>
  <si>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</si>
  <si>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</si>
  <si>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</si>
  <si>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</si>
  <si>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</si>
  <si>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</si>
  <si>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</si>
  <si>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</si>
  <si>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</si>
  <si>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</si>
  <si>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</si>
  <si>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</si>
  <si>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</si>
  <si>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</si>
  <si>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</si>
  <si>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</si>
  <si>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</si>
  <si>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</si>
  <si>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</si>
  <si>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</si>
  <si>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</si>
  <si>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</si>
  <si>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</si>
  <si>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</si>
  <si>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</si>
  <si>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</si>
  <si>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</si>
  <si>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</si>
  <si>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</si>
  <si>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</si>
  <si>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</si>
  <si>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</si>
  <si>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</si>
  <si>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</si>
  <si>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</si>
  <si>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</si>
  <si>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</si>
  <si>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</si>
  <si>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</si>
  <si>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</si>
  <si>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</si>
  <si>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</si>
  <si>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</si>
  <si>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</si>
  <si>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</si>
  <si>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</si>
  <si>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</si>
  <si>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</si>
  <si>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</si>
  <si>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</si>
  <si>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</si>
  <si>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</si>
  <si>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</si>
  <si>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</si>
  <si>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</si>
  <si>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</si>
  <si>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</si>
  <si>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</si>
  <si>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</si>
  <si>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</si>
  <si>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</si>
  <si>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</si>
  <si>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</si>
  <si>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</si>
  <si>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</si>
  <si>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</si>
  <si>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</si>
  <si>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</si>
  <si>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</si>
  <si>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</si>
  <si>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</si>
  <si>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</si>
  <si>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</si>
  <si>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</si>
  <si>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</si>
  <si>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</si>
  <si>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</si>
  <si>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</si>
  <si>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</si>
  <si>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</si>
  <si>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</si>
  <si>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</si>
  <si>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</si>
  <si>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</si>
  <si>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</si>
  <si>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</si>
  <si>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</si>
  <si>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</si>
  <si>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</si>
  <si>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</si>
  <si>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</si>
  <si>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</si>
  <si>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</si>
  <si>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</si>
  <si>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</si>
  <si>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</si>
  <si>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</si>
  <si>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</si>
  <si>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</si>
  <si>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</si>
  <si>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</si>
  <si>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</si>
  <si>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</si>
  <si>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</si>
  <si>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</si>
  <si>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</si>
  <si>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</si>
  <si>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</si>
  <si>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</si>
  <si>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</si>
  <si>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</si>
  <si>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</si>
  <si>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</si>
  <si>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</si>
  <si>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</si>
  <si>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</si>
  <si>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</si>
  <si>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</si>
  <si>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</si>
  <si>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</si>
  <si>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</si>
  <si>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</si>
  <si>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</si>
  <si>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</si>
  <si>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</si>
  <si>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</si>
  <si>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</si>
  <si>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</si>
  <si>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</si>
  <si>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</si>
  <si>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</si>
  <si>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</si>
  <si>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</si>
  <si>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</si>
  <si>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</si>
  <si>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</si>
  <si>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</si>
  <si>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</si>
  <si>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</si>
  <si>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</si>
  <si>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</si>
  <si>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</si>
  <si>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</si>
  <si>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</si>
  <si>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</si>
  <si>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</si>
  <si>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</si>
  <si>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</si>
  <si>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</si>
  <si>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</si>
  <si>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</si>
  <si>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</si>
  <si>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</si>
  <si>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</si>
  <si>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</si>
  <si>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</si>
  <si>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</si>
  <si>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</si>
  <si>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</si>
  <si>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</si>
  <si>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</si>
  <si>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</si>
  <si>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</si>
  <si>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</si>
  <si>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</si>
  <si>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</si>
  <si>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</si>
  <si>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</si>
  <si>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</si>
  <si>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</si>
  <si>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</si>
  <si>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</si>
  <si>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</si>
  <si>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</si>
  <si>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</si>
  <si>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</si>
  <si>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</si>
  <si>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</si>
  <si>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</si>
  <si>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</si>
  <si>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</si>
  <si>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</si>
  <si>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</si>
  <si>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</si>
  <si>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</si>
  <si>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</si>
  <si>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</si>
  <si>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</si>
  <si>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</si>
  <si>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</si>
  <si>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</si>
  <si>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</si>
  <si>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</si>
  <si>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</si>
  <si>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</si>
  <si>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</si>
  <si>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</si>
  <si>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</si>
  <si>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</si>
  <si>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</si>
  <si>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</si>
  <si>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</si>
  <si>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</si>
  <si>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</si>
  <si>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</si>
  <si>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</si>
  <si>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</si>
  <si>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</si>
  <si>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</si>
  <si>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</si>
  <si>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</si>
  <si>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</si>
  <si>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</si>
  <si>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</si>
  <si>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</si>
  <si>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</si>
  <si>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</si>
  <si>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</si>
  <si>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</si>
  <si>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</si>
  <si>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</si>
  <si>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</si>
  <si>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</si>
  <si>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</si>
  <si>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</si>
  <si>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</si>
  <si>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</si>
  <si>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</si>
  <si>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</si>
  <si>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</si>
  <si>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</si>
  <si>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</si>
  <si>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</si>
  <si>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</si>
  <si>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</si>
  <si>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</si>
  <si>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</si>
  <si>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</si>
  <si>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</si>
  <si>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</si>
  <si>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</si>
  <si>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</si>
  <si>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</si>
  <si>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</si>
  <si>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</si>
  <si>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</si>
  <si>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</si>
  <si>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</si>
  <si>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</si>
  <si>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</si>
  <si>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</si>
  <si>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</si>
  <si>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</si>
  <si>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</si>
  <si>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</si>
  <si>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</si>
  <si>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</si>
  <si>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</si>
  <si>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</si>
  <si>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</si>
  <si>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</si>
  <si>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</si>
  <si>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</si>
  <si>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</si>
  <si>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</si>
  <si>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</si>
  <si>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</si>
  <si>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</si>
  <si>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</si>
  <si>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</si>
  <si>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</si>
  <si>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</si>
  <si>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</si>
  <si>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</si>
  <si>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</si>
  <si>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</si>
  <si>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</si>
  <si>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</si>
  <si>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</si>
  <si>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</si>
  <si>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</si>
  <si>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</si>
  <si>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</si>
  <si>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</si>
  <si>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</si>
  <si>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</si>
  <si>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</si>
  <si>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</si>
  <si>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</si>
  <si>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</si>
  <si>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</si>
  <si>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</si>
  <si>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</si>
  <si>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</si>
  <si>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</si>
  <si>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</si>
  <si>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</si>
  <si>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</si>
  <si>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</si>
  <si>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</si>
  <si>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</si>
  <si>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</si>
  <si>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</si>
  <si>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</si>
  <si>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</si>
  <si>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</si>
  <si>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</si>
  <si>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</si>
  <si>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</si>
  <si>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</si>
  <si>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</si>
  <si>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</si>
  <si>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</si>
  <si>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</si>
  <si>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</si>
  <si>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</si>
  <si>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</si>
  <si>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</si>
  <si>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</si>
  <si>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</si>
  <si>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</si>
  <si>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</si>
  <si>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</si>
  <si>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</si>
  <si>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</si>
  <si>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</si>
  <si>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</si>
  <si>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</si>
  <si>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</si>
  <si>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</si>
  <si>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</si>
  <si>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</si>
  <si>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</si>
  <si>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</si>
  <si>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</si>
  <si>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</si>
  <si>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</si>
  <si>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</si>
  <si>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</si>
  <si>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</si>
  <si>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</si>
  <si>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</si>
  <si>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</si>
  <si>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</si>
  <si>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</si>
  <si>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</si>
  <si>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</si>
  <si>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</si>
  <si>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</si>
  <si>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</si>
  <si>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</si>
  <si>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</si>
  <si>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</si>
  <si>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</si>
  <si>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</si>
  <si>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</si>
  <si>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</si>
  <si>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</si>
  <si>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</si>
  <si>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</si>
  <si>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</si>
  <si>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</si>
  <si>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</si>
  <si>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</si>
  <si>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</si>
  <si>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</si>
  <si>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</si>
  <si>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</si>
  <si>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</si>
  <si>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</si>
  <si>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</si>
  <si>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</si>
  <si>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</si>
  <si>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</si>
  <si>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</si>
  <si>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</si>
  <si>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</si>
  <si>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</si>
  <si>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</si>
  <si>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</si>
  <si>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</si>
  <si>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</si>
  <si>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</si>
  <si>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</si>
  <si>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</si>
  <si>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</si>
  <si>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</si>
  <si>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</si>
  <si>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</si>
  <si>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</si>
  <si>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</si>
  <si>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</si>
  <si>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</si>
  <si>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</si>
  <si>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</si>
  <si>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</si>
  <si>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</si>
  <si>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</si>
  <si>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</si>
  <si>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</si>
  <si>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</si>
  <si>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</si>
  <si>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</si>
  <si>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</si>
  <si>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</si>
  <si>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</si>
  <si>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</si>
  <si>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</si>
  <si>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</si>
  <si>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</si>
  <si>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</si>
  <si>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</si>
  <si>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</si>
  <si>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</si>
  <si>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</si>
  <si>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</si>
  <si>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</si>
  <si>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</si>
  <si>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</si>
  <si>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</si>
  <si>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</si>
  <si>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</si>
  <si>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</si>
  <si>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</si>
  <si>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</si>
  <si>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</si>
  <si>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</si>
  <si>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</si>
  <si>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</si>
  <si>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</si>
  <si>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</si>
  <si>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</si>
  <si>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</si>
  <si>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</si>
  <si>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</si>
  <si>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</si>
  <si>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</si>
  <si>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</si>
  <si>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</si>
  <si>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</si>
  <si>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</si>
  <si>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</si>
  <si>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</si>
  <si>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</si>
  <si>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</si>
  <si>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</si>
  <si>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</si>
  <si>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</si>
  <si>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</si>
  <si>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</si>
  <si>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</si>
  <si>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</si>
  <si>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</si>
  <si>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</si>
  <si>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</si>
  <si>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</si>
  <si>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</si>
  <si>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</si>
  <si>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</si>
  <si>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</si>
  <si>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</si>
  <si>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</si>
  <si>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</si>
  <si>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</si>
  <si>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</si>
  <si>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</si>
  <si>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</si>
  <si>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</si>
  <si>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</si>
  <si>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</si>
  <si>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</si>
  <si>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</si>
  <si>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</si>
  <si>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</si>
  <si>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</si>
  <si>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</si>
  <si>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</si>
  <si>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</si>
  <si>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</si>
  <si>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</si>
  <si>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</si>
  <si>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</si>
  <si>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</si>
  <si>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</si>
  <si>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</si>
  <si>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</si>
  <si>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</si>
  <si>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</si>
  <si>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</si>
  <si>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</si>
  <si>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</si>
  <si>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</si>
  <si>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</si>
  <si>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</si>
  <si>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</si>
  <si>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</si>
  <si>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</si>
  <si>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</si>
  <si>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</si>
  <si>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</si>
  <si>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</si>
  <si>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</si>
  <si>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</si>
  <si>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</si>
  <si>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</si>
  <si>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</si>
  <si>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</si>
  <si>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</si>
  <si>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</si>
  <si>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</si>
  <si>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</si>
  <si>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</si>
  <si>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</si>
  <si>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</si>
  <si>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</si>
  <si>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</si>
  <si>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</si>
  <si>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</si>
  <si>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</si>
  <si>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</si>
  <si>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</si>
  <si>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</si>
  <si>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</si>
  <si>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</si>
  <si>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</si>
  <si>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</si>
  <si>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</si>
  <si>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</si>
  <si>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</si>
  <si>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</si>
  <si>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</si>
  <si>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</si>
  <si>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</si>
  <si>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</si>
  <si>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</si>
  <si>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</si>
  <si>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</si>
  <si>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</si>
  <si>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</si>
  <si>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</si>
  <si>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</si>
  <si>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</si>
  <si>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</si>
  <si>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</si>
  <si>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</si>
  <si>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</si>
  <si>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</si>
  <si>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</si>
  <si>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</si>
  <si>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</si>
  <si>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</si>
  <si>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</si>
  <si>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</si>
  <si>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</si>
  <si>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</si>
  <si>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</si>
  <si>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</si>
  <si>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</si>
  <si>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</si>
  <si>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</si>
  <si>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</si>
  <si>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</si>
  <si>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</si>
  <si>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</si>
  <si>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</si>
  <si>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</si>
  <si>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</si>
  <si>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</si>
  <si>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</si>
  <si>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</si>
  <si>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</si>
  <si>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</si>
  <si>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</si>
  <si>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</si>
  <si>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</si>
  <si>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</si>
  <si>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</si>
  <si>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</si>
  <si>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</si>
  <si>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</si>
  <si>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</si>
  <si>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</si>
  <si>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</si>
  <si>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</si>
  <si>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</si>
  <si>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</si>
  <si>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</si>
  <si>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</si>
  <si>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</si>
  <si>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</si>
  <si>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</si>
  <si>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</si>
  <si>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</si>
  <si>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</si>
  <si>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</si>
  <si>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</si>
  <si>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</si>
  <si>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</si>
  <si>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</si>
  <si>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</si>
  <si>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</si>
  <si>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</si>
  <si>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</si>
  <si>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</si>
  <si>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</si>
  <si>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</si>
  <si>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</si>
  <si>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</si>
  <si>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</si>
  <si>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</si>
  <si>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</si>
  <si>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</si>
  <si>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</si>
  <si>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</si>
  <si>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</si>
  <si>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</si>
  <si>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</si>
  <si>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</si>
  <si>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</si>
  <si>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</si>
  <si>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</si>
  <si>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</si>
  <si>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</si>
  <si>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</si>
  <si>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</si>
  <si>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</si>
  <si>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</si>
  <si>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</si>
  <si>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</si>
  <si>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</si>
  <si>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</si>
  <si>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</si>
  <si>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</si>
  <si>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</si>
  <si>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</si>
  <si>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</si>
  <si>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</si>
  <si>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</si>
  <si>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</si>
  <si>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</si>
  <si>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</si>
  <si>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</si>
  <si>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</si>
  <si>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</si>
  <si>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</si>
  <si>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</si>
  <si>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</si>
  <si>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</si>
  <si>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</si>
  <si>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</si>
  <si>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</si>
  <si>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</si>
  <si>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</si>
  <si>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</si>
  <si>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</si>
  <si>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</si>
  <si>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</si>
  <si>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</si>
  <si>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</si>
  <si>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</si>
  <si>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</si>
  <si>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</si>
  <si>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</si>
  <si>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</si>
  <si>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</si>
  <si>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</si>
  <si>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</si>
  <si>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</si>
  <si>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</si>
  <si>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</si>
  <si>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</si>
  <si>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</si>
  <si>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</si>
  <si>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</si>
  <si>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</si>
  <si>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</si>
  <si>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</si>
  <si>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</si>
  <si>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</si>
  <si>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</si>
  <si>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</si>
  <si>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</si>
  <si>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</si>
  <si>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</si>
  <si>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</si>
  <si>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</si>
  <si>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</si>
  <si>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</si>
  <si>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</si>
  <si>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</si>
  <si>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</si>
  <si>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</si>
  <si>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</si>
  <si>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</si>
  <si>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</si>
  <si>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</si>
  <si>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</si>
  <si>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</si>
  <si>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</si>
  <si>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</si>
  <si>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</si>
  <si>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</si>
  <si>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</si>
  <si>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</si>
  <si>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</si>
  <si>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</si>
  <si>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</si>
  <si>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</si>
  <si>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</si>
  <si>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</si>
  <si>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</si>
  <si>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</si>
  <si>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</si>
  <si>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</si>
  <si>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</si>
  <si>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</si>
  <si>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</si>
  <si>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</si>
  <si>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</si>
  <si>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</si>
  <si>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</si>
  <si>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</si>
  <si>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</si>
  <si>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</si>
  <si>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</si>
  <si>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</si>
  <si>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</si>
  <si>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</si>
  <si>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</si>
  <si>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</si>
  <si>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</si>
  <si>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</si>
  <si>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</si>
  <si>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</si>
  <si>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</si>
  <si>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</si>
  <si>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</si>
  <si>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</si>
  <si>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</si>
  <si>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</si>
  <si>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</si>
  <si>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</si>
  <si>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</si>
  <si>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</si>
  <si>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</si>
  <si>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</si>
  <si>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</si>
  <si>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</si>
  <si>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</si>
  <si>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</si>
  <si>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</si>
  <si>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</si>
  <si>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</si>
  <si>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</si>
  <si>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</si>
  <si>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</si>
  <si>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</si>
  <si>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</si>
  <si>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</si>
  <si>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</si>
  <si>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</si>
  <si>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</si>
  <si>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</si>
  <si>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</si>
  <si>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</si>
  <si>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</si>
  <si>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</si>
  <si>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</si>
  <si>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</si>
  <si>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</si>
  <si>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</si>
  <si>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</si>
  <si>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</si>
  <si>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</si>
  <si>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</si>
  <si>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</si>
  <si>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</si>
  <si>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</si>
  <si>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</si>
  <si>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</si>
  <si>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</si>
  <si>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</si>
  <si>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</si>
  <si>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</si>
  <si>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</si>
  <si>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</si>
  <si>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</si>
  <si>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</si>
  <si>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</si>
  <si>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</si>
  <si>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</si>
  <si>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</si>
  <si>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</si>
  <si>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</si>
  <si>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</si>
  <si>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</si>
  <si>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</si>
  <si>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</si>
  <si>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</si>
  <si>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</si>
  <si>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</si>
  <si>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</si>
  <si>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</si>
  <si>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</si>
  <si>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</si>
  <si>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</si>
  <si>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</si>
  <si>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</si>
  <si>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</si>
  <si>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</si>
  <si>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</si>
  <si>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</si>
  <si>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</si>
  <si>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</si>
  <si>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</si>
  <si>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</si>
  <si>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</si>
  <si>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</si>
  <si>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</si>
  <si>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</si>
  <si>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</si>
  <si>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</si>
  <si>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</si>
  <si>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</si>
  <si>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</si>
  <si>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</si>
  <si>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</si>
  <si>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</si>
  <si>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</si>
  <si>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</si>
  <si>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</si>
  <si>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</si>
  <si>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</si>
  <si>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</si>
  <si>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</si>
  <si>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</si>
  <si>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</si>
  <si>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</si>
  <si>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</si>
  <si>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</si>
  <si>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</si>
  <si>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</si>
  <si>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</si>
  <si>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</si>
  <si>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</si>
  <si>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</si>
  <si>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</si>
  <si>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</si>
  <si>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</si>
  <si>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</si>
  <si>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</si>
  <si>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</si>
  <si>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</si>
  <si>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</si>
  <si>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</si>
  <si>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</si>
  <si>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</si>
  <si>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</si>
  <si>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</si>
  <si>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</si>
  <si>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</si>
  <si>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</si>
  <si>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</si>
  <si>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</si>
  <si>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</si>
  <si>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</si>
  <si>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</si>
  <si>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</si>
  <si>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</si>
  <si>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</si>
  <si>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</si>
  <si>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</si>
  <si>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</si>
  <si>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</si>
  <si>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</si>
  <si>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</si>
  <si>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</si>
  <si>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</si>
  <si>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</si>
  <si>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</si>
  <si>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</si>
  <si>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</si>
  <si>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</si>
  <si>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</si>
  <si>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</si>
  <si>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</si>
  <si>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</si>
  <si>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</si>
  <si>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</si>
  <si>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</si>
  <si>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</si>
  <si>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</si>
  <si>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</si>
  <si>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</si>
  <si>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</si>
  <si>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</si>
  <si>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</si>
  <si>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</si>
  <si>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</si>
  <si>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</si>
  <si>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</si>
  <si>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</si>
  <si>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</si>
  <si>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</si>
  <si>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</si>
  <si>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</si>
  <si>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</si>
  <si>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</si>
  <si>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</si>
  <si>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</si>
  <si>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</si>
  <si>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</si>
  <si>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</si>
  <si>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</si>
  <si>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</si>
  <si>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</si>
  <si>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</si>
  <si>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</si>
  <si>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</si>
  <si>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</si>
  <si>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</si>
  <si>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</si>
  <si>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</si>
  <si>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</si>
  <si>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</si>
  <si>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</si>
  <si>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</si>
  <si>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</si>
  <si>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</si>
  <si>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</si>
  <si>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</si>
  <si>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</si>
  <si>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</si>
  <si>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</si>
  <si>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</si>
  <si>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</si>
  <si>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</si>
  <si>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</si>
  <si>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</si>
  <si>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</si>
  <si>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</si>
  <si>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</si>
  <si>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</si>
  <si>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</si>
  <si>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</si>
  <si>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</si>
  <si>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</si>
  <si>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</si>
  <si>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</si>
  <si>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</si>
  <si>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</si>
  <si>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</si>
  <si>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</si>
  <si>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</si>
  <si>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</si>
  <si>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</si>
  <si>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</si>
  <si>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</si>
  <si>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</si>
  <si>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</si>
  <si>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</si>
  <si>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</si>
  <si>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</si>
  <si>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</si>
  <si>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</si>
  <si>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</si>
  <si>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</si>
  <si>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</si>
  <si>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</si>
  <si>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</si>
  <si>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</si>
  <si>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</si>
  <si>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</si>
  <si>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</si>
  <si>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</si>
  <si>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</si>
  <si>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</si>
  <si>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</si>
  <si>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</si>
  <si>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</si>
  <si>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</si>
  <si>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</si>
  <si>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</si>
  <si>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</si>
  <si>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</si>
  <si>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</si>
  <si>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</si>
  <si>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</si>
  <si>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</si>
  <si>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</si>
  <si>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</si>
  <si>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</si>
  <si>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</si>
  <si>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</si>
  <si>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</si>
  <si>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</si>
  <si>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</si>
  <si>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</si>
  <si>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</si>
  <si>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</si>
  <si>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</si>
  <si>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</si>
  <si>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</si>
  <si>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</si>
  <si>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</si>
  <si>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</si>
  <si>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</si>
  <si>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</si>
  <si>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</si>
  <si>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</si>
  <si>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</si>
  <si>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</si>
  <si>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</si>
  <si>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</si>
  <si>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</si>
  <si>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</si>
  <si>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</si>
  <si>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</si>
  <si>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</si>
  <si>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</si>
  <si>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</si>
  <si>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</si>
  <si>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</si>
  <si>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</si>
  <si>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</si>
  <si>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</si>
  <si>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</si>
  <si>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</si>
  <si>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</si>
  <si>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</si>
  <si>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</si>
  <si>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</si>
  <si>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</si>
  <si>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</si>
  <si>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</si>
  <si>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</si>
  <si>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</si>
  <si>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</si>
  <si>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</si>
  <si>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</si>
  <si>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</si>
  <si>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</si>
  <si>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</si>
  <si>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</si>
  <si>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</si>
  <si>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</si>
  <si>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</si>
  <si>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</si>
  <si>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</si>
  <si>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</si>
  <si>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</si>
  <si>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</si>
  <si>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</si>
  <si>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</si>
  <si>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</si>
  <si>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</si>
  <si>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</si>
  <si>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</si>
  <si>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</si>
  <si>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</si>
  <si>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</si>
  <si>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</si>
  <si>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</si>
  <si>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</si>
  <si>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</si>
  <si>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</si>
  <si>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</si>
  <si>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</si>
  <si>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</si>
  <si>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</si>
  <si>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</si>
  <si>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</si>
  <si>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</si>
  <si>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</si>
  <si>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</si>
  <si>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</si>
  <si>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</si>
  <si>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</si>
  <si>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</si>
  <si>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</si>
  <si>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</si>
  <si>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</si>
  <si>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</si>
  <si>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</si>
  <si>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</si>
  <si>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</si>
  <si>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</si>
  <si>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</si>
  <si>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</si>
  <si>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</si>
  <si>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</si>
  <si>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</si>
  <si>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</si>
  <si>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</si>
  <si>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</si>
  <si>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</si>
  <si>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</si>
  <si>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</si>
  <si>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</si>
  <si>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</si>
  <si>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</si>
  <si>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</si>
  <si>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</si>
  <si>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</si>
  <si>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</si>
  <si>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</si>
  <si>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</si>
  <si>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</si>
  <si>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</si>
  <si>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</si>
  <si>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</si>
  <si>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</si>
  <si>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</si>
  <si>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</si>
  <si>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</si>
  <si>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</si>
  <si>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</si>
  <si>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</si>
  <si>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</si>
  <si>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</si>
  <si>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</si>
  <si>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</si>
  <si>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</si>
  <si>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</si>
  <si>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</si>
  <si>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</si>
  <si>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</si>
  <si>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</si>
  <si>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</si>
  <si>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</si>
  <si>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</si>
  <si>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</si>
  <si>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</si>
  <si>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</si>
  <si>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</si>
  <si>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</si>
  <si>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</si>
  <si>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</si>
  <si>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</si>
  <si>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</si>
  <si>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</si>
  <si>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</si>
  <si>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</si>
  <si>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</si>
  <si>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</si>
  <si>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</si>
  <si>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</si>
  <si>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</si>
  <si>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</si>
  <si>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</si>
  <si>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</si>
  <si>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</si>
  <si>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</si>
  <si>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</si>
  <si>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</si>
  <si>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</si>
  <si>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</si>
  <si>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</si>
  <si>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</si>
  <si>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</si>
  <si>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</si>
  <si>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</si>
  <si>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</si>
  <si>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</si>
  <si>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</si>
  <si>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</si>
  <si>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</si>
  <si>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</si>
  <si>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</si>
  <si>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</si>
  <si>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</si>
  <si>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</si>
  <si>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</si>
  <si>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</si>
  <si>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</si>
  <si>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</si>
  <si>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</si>
  <si>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</si>
  <si>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</si>
  <si>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</si>
  <si>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</si>
  <si>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</si>
  <si>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</si>
  <si>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</si>
  <si>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</si>
  <si>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</si>
  <si>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</si>
  <si>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</si>
  <si>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</si>
  <si>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</si>
  <si>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</si>
  <si>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</si>
  <si>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</si>
  <si>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</si>
  <si>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</si>
  <si>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</si>
  <si>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</si>
  <si>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</si>
  <si>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</si>
  <si>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</si>
  <si>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</si>
  <si>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</si>
  <si>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</si>
  <si>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</si>
  <si>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</si>
  <si>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</si>
  <si>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</si>
  <si>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</si>
  <si>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</si>
  <si>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</si>
  <si>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</si>
  <si>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</si>
  <si>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</si>
  <si>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</si>
  <si>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</si>
  <si>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</si>
  <si>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</si>
  <si>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</si>
  <si>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</si>
  <si>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</si>
  <si>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</si>
  <si>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</si>
  <si>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</si>
  <si>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</si>
  <si>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</si>
  <si>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</si>
  <si>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</si>
  <si>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</si>
  <si>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</si>
  <si>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</si>
  <si>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</si>
  <si>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</si>
  <si>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</si>
  <si>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</si>
  <si>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</si>
  <si>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</si>
  <si>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</si>
  <si>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</si>
  <si>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</si>
  <si>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</si>
  <si>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</si>
  <si>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</si>
  <si>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</si>
  <si>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</si>
  <si>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</si>
  <si>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</si>
  <si>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</si>
  <si>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</si>
  <si>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</si>
  <si>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</si>
  <si>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</si>
  <si>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</si>
  <si>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</si>
  <si>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</si>
  <si>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</si>
  <si>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</si>
  <si>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</si>
  <si>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</si>
  <si>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</si>
  <si>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</si>
  <si>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</si>
  <si>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</si>
  <si>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</si>
  <si>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</si>
  <si>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</si>
  <si>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</si>
  <si>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</si>
  <si>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</si>
  <si>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</si>
  <si>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</si>
  <si>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</si>
  <si>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</si>
  <si>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</si>
  <si>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</si>
  <si>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</si>
  <si>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</si>
  <si>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</si>
  <si>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</si>
  <si>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</si>
  <si>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</si>
  <si>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</si>
  <si>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</si>
  <si>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</si>
  <si>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</si>
  <si>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</si>
  <si>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</si>
  <si>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</si>
  <si>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</si>
  <si>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</si>
  <si>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</si>
  <si>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</si>
  <si>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</si>
  <si>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</si>
  <si>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</si>
  <si>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</si>
  <si>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</si>
  <si>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</si>
  <si>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</si>
  <si>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</si>
  <si>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</si>
  <si>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</si>
  <si>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</si>
  <si>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</si>
  <si>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</si>
  <si>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</si>
  <si>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</si>
  <si>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</si>
  <si>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</si>
  <si>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</si>
  <si>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</si>
  <si>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</si>
  <si>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</si>
  <si>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</si>
  <si>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</si>
  <si>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</si>
  <si>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</si>
  <si>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</si>
  <si>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</si>
  <si>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1999</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</si>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</sst>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35427.300000000003</v>
      </c>
      <c r="F24" s="3419" t="str">
        <f t="shared" si="0"/>
        <v>NA</v>
      </c>
      <c r="G24" s="3395">
        <v>779.72266636363634</v>
      </c>
      <c r="H24" s="3374">
        <f t="shared" si="1"/>
        <v>2858.9831099999997</v>
      </c>
      <c r="I24" s="2579" t="s">
        <v>2147</v>
      </c>
      <c r="J24" s="2580"/>
      <c r="M24" s="125"/>
    </row>
    <row r="25" spans="2:13" ht="18" customHeight="1" x14ac:dyDescent="0.2">
      <c r="B25" s="165"/>
      <c r="C25" s="1563"/>
      <c r="D25" s="1452" t="s">
        <v>1789</v>
      </c>
      <c r="E25" s="3414">
        <v>17501.8</v>
      </c>
      <c r="F25" s="3419" t="str">
        <f t="shared" si="0"/>
        <v>NA</v>
      </c>
      <c r="G25" s="3395">
        <v>332.38304809090914</v>
      </c>
      <c r="H25" s="3374">
        <f t="shared" si="1"/>
        <v>1218.7378430000001</v>
      </c>
      <c r="I25" s="2579" t="s">
        <v>2147</v>
      </c>
      <c r="J25" s="2580"/>
      <c r="M25" s="125"/>
    </row>
    <row r="26" spans="2:13" ht="18" customHeight="1" x14ac:dyDescent="0.2">
      <c r="B26" s="165"/>
      <c r="C26" s="1563"/>
      <c r="D26" s="1452" t="s">
        <v>1790</v>
      </c>
      <c r="E26" s="3418">
        <v>13012.751077605384</v>
      </c>
      <c r="F26" s="3419">
        <f t="shared" si="0"/>
        <v>25.26136363636364</v>
      </c>
      <c r="G26" s="3395">
        <v>328.71983688087238</v>
      </c>
      <c r="H26" s="3374">
        <f t="shared" si="1"/>
        <v>1205.3060685631988</v>
      </c>
      <c r="I26" s="3395">
        <v>1205.3060685631988</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40116.068728498147</v>
      </c>
      <c r="F28" s="3419">
        <f>IF(I28="NA","NA",I28/(44/12)*1000/E28)</f>
        <v>0.88959371807022747</v>
      </c>
      <c r="G28" s="3395">
        <v>703.25425403908048</v>
      </c>
      <c r="H28" s="3374">
        <f>IF(G28="NA","NA",IF(G28="NO","NO",G28*44/12))</f>
        <v>2578.5989314766284</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122954.05099210911</v>
      </c>
      <c r="F31" s="3359">
        <f t="shared" ref="F31" si="3">IF(I31="NA","NA",I31/(44/12)*1000/E31)</f>
        <v>2.9637644036535615</v>
      </c>
      <c r="G31" s="3423">
        <f>SUM(G11:G29)</f>
        <v>2404.4338268315842</v>
      </c>
      <c r="H31" s="3371">
        <f t="shared" ref="H31" si="4">IF(G31="NA","NA",IF(G31="NO","NO",G31*44/12))</f>
        <v>8816.2573650491413</v>
      </c>
      <c r="I31" s="3423">
        <f>SUM(I11:I29)</f>
        <v>1336.1584119231989</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9669.1874760469727</v>
      </c>
      <c r="F35" s="3419">
        <f>IF(I35="NA","NA",I35/(44/12)*1000/E35)</f>
        <v>24.604228460161217</v>
      </c>
      <c r="G35" s="3399">
        <v>237.90289768478928</v>
      </c>
      <c r="H35" s="3396">
        <f t="shared" si="5"/>
        <v>872.31062484422739</v>
      </c>
      <c r="I35" s="3395">
        <v>872.31062484422739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101293.96569919999</v>
      </c>
      <c r="F41" s="3419">
        <f t="shared" ref="F41" si="8">IF(I41="NA","NA",I41/(44/12)*1000/E41)</f>
        <v>28.650465288120621</v>
      </c>
      <c r="G41" s="3395">
        <v>2927.9598364363496</v>
      </c>
      <c r="H41" s="3396">
        <f t="shared" si="5"/>
        <v>10735.852733599948</v>
      </c>
      <c r="I41" s="3395">
        <v>10641.103909923704</v>
      </c>
      <c r="J41" s="3416" t="s">
        <v>2274</v>
      </c>
      <c r="M41" s="125"/>
    </row>
    <row r="42" spans="2:13" ht="18" customHeight="1" x14ac:dyDescent="0.2">
      <c r="B42" s="1434"/>
      <c r="C42" s="1564"/>
      <c r="D42" s="1452" t="s">
        <v>1792</v>
      </c>
      <c r="E42" s="3414">
        <v>4933.8369422797878</v>
      </c>
      <c r="F42" s="3419">
        <f>IF(I42="NA","NA",I42/(44/12)*1000/E42)</f>
        <v>22.309090909090909</v>
      </c>
      <c r="G42" s="3395">
        <v>110.06941687595091</v>
      </c>
      <c r="H42" s="3396">
        <f t="shared" si="5"/>
        <v>403.58786187848665</v>
      </c>
      <c r="I42" s="3395">
        <v>403.58786187848665</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115896.99011752674</v>
      </c>
      <c r="F45" s="3343">
        <f>IF(I45="NA","NA",I45/(44/12)*1000/E45)</f>
        <v>28.042933292969526</v>
      </c>
      <c r="G45" s="3423">
        <f>SUM(G33:G43)</f>
        <v>3275.93215099709</v>
      </c>
      <c r="H45" s="3371">
        <f t="shared" ref="H45" si="9">IF(G45="NA","NA",IF(G45="NO","NO",G45*44/12))</f>
        <v>12011.751220322663</v>
      </c>
      <c r="I45" s="3423">
        <f>SUM(I33:I43)</f>
        <v>11917.002396646418</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19413.07857919957</v>
      </c>
      <c r="F47" s="3419">
        <f t="shared" ref="F47" si="10">IF(I47="NA","NA",I47/(44/12)*1000/E47)</f>
        <v>14.021432274344994</v>
      </c>
      <c r="G47" s="3395">
        <v>272.1991665347843</v>
      </c>
      <c r="H47" s="3374">
        <f t="shared" ref="H47" si="11">IF(G47="NA","NA",IF(G47="NO","NO",G47*44/12))</f>
        <v>998.0636106275424</v>
      </c>
      <c r="I47" s="3395">
        <v>998.0636106275424</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19413.07857919957</v>
      </c>
      <c r="F50" s="3343">
        <f>IF(I50="NA","NA",I50/(44/12)*1000/E50)</f>
        <v>14.021432274344994</v>
      </c>
      <c r="G50" s="3423">
        <f>SUM(G47:G48)</f>
        <v>272.1991665347843</v>
      </c>
      <c r="H50" s="3397">
        <f t="shared" ref="H50" si="13">IF(G50="NA","NA",IF(G50="NO","NO",G50*44/12))</f>
        <v>998.0636106275424</v>
      </c>
      <c r="I50" s="3423">
        <f>SUM(I47:I48)</f>
        <v>998.0636106275424</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258264.1196888354</v>
      </c>
      <c r="F55" s="3354">
        <f t="shared" si="14"/>
        <v>15.049312980660131</v>
      </c>
      <c r="G55" s="3423">
        <f>SUM(G31,G45,G50,G54)</f>
        <v>5952.5651443634588</v>
      </c>
      <c r="H55" s="3398">
        <f t="shared" si="15"/>
        <v>21826.07219599935</v>
      </c>
      <c r="I55" s="3423">
        <f>SUM(I31,I45,I50,I54)</f>
        <v>14251.224419197159</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351.23133100000001</v>
      </c>
      <c r="D10" s="3127"/>
      <c r="E10" s="3127"/>
      <c r="F10" s="3078">
        <f>SUM(F11,F18)</f>
        <v>947.65951697994683</v>
      </c>
      <c r="G10" s="3078">
        <f>SUM(G11,G18)</f>
        <v>1127.8534806311106</v>
      </c>
      <c r="H10" s="3078">
        <f>H11</f>
        <v>-3.6544108508399997</v>
      </c>
      <c r="I10" s="3128" t="s">
        <v>2146</v>
      </c>
      <c r="L10" s="3750"/>
    </row>
    <row r="11" spans="2:12" ht="18" customHeight="1" x14ac:dyDescent="0.2">
      <c r="B11" s="1252" t="s">
        <v>334</v>
      </c>
      <c r="C11" s="3033">
        <v>79.007411000000005</v>
      </c>
      <c r="D11" s="3078">
        <f>IFERROR(SUM(F11,H11)/$C$11,"NA")</f>
        <v>9.1652134246834329</v>
      </c>
      <c r="E11" s="3078">
        <f>IFERROR(SUM(G11,I11)/$C$11,"NA")</f>
        <v>13.359296681596675</v>
      </c>
      <c r="F11" s="3078">
        <f>SUM(F12:F16)</f>
        <v>727.77419479752155</v>
      </c>
      <c r="G11" s="3078">
        <f>SUM(G12:G16)</f>
        <v>1055.4834435938446</v>
      </c>
      <c r="H11" s="3078">
        <f>H12</f>
        <v>-3.6544108508399997</v>
      </c>
      <c r="I11" s="3128" t="s">
        <v>2146</v>
      </c>
    </row>
    <row r="12" spans="2:12" ht="18" customHeight="1" x14ac:dyDescent="0.2">
      <c r="B12" s="160" t="s">
        <v>335</v>
      </c>
      <c r="C12" s="3046"/>
      <c r="D12" s="3078">
        <f t="shared" ref="D12:D14" si="0">IFERROR(SUM(F12,H12)/$C$11,"NA")</f>
        <v>8.4622966890085323</v>
      </c>
      <c r="E12" s="3078">
        <f>IFERROR(SUM(G12,I12)/$C$11,"NA")</f>
        <v>13.228661831807687</v>
      </c>
      <c r="F12" s="3126">
        <v>672.23856336327628</v>
      </c>
      <c r="G12" s="3126">
        <v>1045.1623223256429</v>
      </c>
      <c r="H12" s="3126">
        <v>-3.6544108508399997</v>
      </c>
      <c r="I12" s="3034" t="s">
        <v>2146</v>
      </c>
    </row>
    <row r="13" spans="2:12" ht="18" customHeight="1" x14ac:dyDescent="0.2">
      <c r="B13" s="160" t="s">
        <v>336</v>
      </c>
      <c r="C13" s="3046"/>
      <c r="D13" s="3078">
        <f t="shared" si="0"/>
        <v>0.37463066162763831</v>
      </c>
      <c r="E13" s="3078" t="s">
        <v>2147</v>
      </c>
      <c r="F13" s="3126">
        <v>29.598598656416751</v>
      </c>
      <c r="G13" s="3126" t="s">
        <v>2154</v>
      </c>
      <c r="H13" s="3126" t="s">
        <v>2146</v>
      </c>
      <c r="I13" s="3034" t="s">
        <v>2146</v>
      </c>
    </row>
    <row r="14" spans="2:12" ht="18" customHeight="1" x14ac:dyDescent="0.2">
      <c r="B14" s="160" t="s">
        <v>337</v>
      </c>
      <c r="C14" s="3046"/>
      <c r="D14" s="3078">
        <f t="shared" si="0"/>
        <v>0.32787087801304959</v>
      </c>
      <c r="E14" s="3078" t="s">
        <v>2147</v>
      </c>
      <c r="F14" s="3126">
        <v>25.904229214107875</v>
      </c>
      <c r="G14" s="3126" t="s">
        <v>2147</v>
      </c>
      <c r="H14" s="3126" t="s">
        <v>2146</v>
      </c>
      <c r="I14" s="3034" t="s">
        <v>2146</v>
      </c>
    </row>
    <row r="15" spans="2:12" ht="18" customHeight="1" x14ac:dyDescent="0.2">
      <c r="B15" s="160" t="s">
        <v>338</v>
      </c>
      <c r="C15" s="3033">
        <v>3.6544108508399999E-3</v>
      </c>
      <c r="D15" s="3078">
        <f>IFERROR(SUM(F15,H15)/$C15,"NA")</f>
        <v>8.9764301441641834</v>
      </c>
      <c r="E15" s="3078">
        <f>IFERROR(SUM(G15,I15)/$C15,"NA")</f>
        <v>2824.2914356028778</v>
      </c>
      <c r="F15" s="3126">
        <v>3.2803563720640853E-2</v>
      </c>
      <c r="G15" s="3126">
        <v>10.321121268201637</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272.22392000000002</v>
      </c>
      <c r="D18" s="3078">
        <f>IFERROR(SUM(F18,H18)/$C$18,"NA")</f>
        <v>0.80773696221267155</v>
      </c>
      <c r="E18" s="3078">
        <f>IFERROR(SUM(G18,I18)/$C$18,"NA")</f>
        <v>0.26584745762703738</v>
      </c>
      <c r="F18" s="3078">
        <f>SUM(F19:F21)</f>
        <v>219.88532218242534</v>
      </c>
      <c r="G18" s="3131">
        <f t="shared" ref="G18" si="2">SUM(G19:G21)</f>
        <v>72.370037037266016</v>
      </c>
      <c r="H18" s="3078" t="s">
        <v>2146</v>
      </c>
      <c r="I18" s="3128" t="s">
        <v>2146</v>
      </c>
    </row>
    <row r="19" spans="2:9" ht="18" customHeight="1" x14ac:dyDescent="0.2">
      <c r="B19" s="160" t="s">
        <v>341</v>
      </c>
      <c r="C19" s="3046"/>
      <c r="D19" s="3078">
        <f>IFERROR(SUM(F19,H19)/$C$18,"NA")</f>
        <v>0.80773696221267155</v>
      </c>
      <c r="E19" s="3078">
        <f>IFERROR(SUM(G19,I19)/$C$18,"NA")</f>
        <v>0.26584745762703738</v>
      </c>
      <c r="F19" s="3126">
        <v>219.88532218242534</v>
      </c>
      <c r="G19" s="3126">
        <v>72.370037037266016</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474.91275171054713</v>
      </c>
      <c r="J10" s="3145">
        <f>IF(SUM(J11:J16)=0,"NO",SUM(J11:J16))</f>
        <v>3.0470857411365153</v>
      </c>
      <c r="K10" s="1913">
        <f>IF(SUM(K11:K16)=0,"NO",SUM(K11:K16))</f>
        <v>1.4322630973123284E-2</v>
      </c>
      <c r="L10" s="3146" t="s">
        <v>2146</v>
      </c>
    </row>
    <row r="11" spans="2:12" ht="18" customHeight="1" x14ac:dyDescent="0.2">
      <c r="B11" s="1252" t="s">
        <v>363</v>
      </c>
      <c r="C11" s="2165" t="s">
        <v>2159</v>
      </c>
      <c r="D11" s="2165" t="s">
        <v>2275</v>
      </c>
      <c r="E11" s="691">
        <v>376.57990954596301</v>
      </c>
      <c r="F11" s="1913">
        <f>I11*1000000/$E11</f>
        <v>3199.9999999999964</v>
      </c>
      <c r="G11" s="1913">
        <f>J11*1000000/$E11</f>
        <v>0.33333333333333287</v>
      </c>
      <c r="H11" s="1913">
        <f>K11*1000000/$E11</f>
        <v>0.22580645161290297</v>
      </c>
      <c r="I11" s="3141">
        <v>1.2050557105470803</v>
      </c>
      <c r="J11" s="691">
        <v>1.2552663651532083E-4</v>
      </c>
      <c r="K11" s="3142">
        <v>8.5034173123281877E-5</v>
      </c>
      <c r="L11" s="3093" t="s">
        <v>2146</v>
      </c>
    </row>
    <row r="12" spans="2:12" ht="18" customHeight="1" x14ac:dyDescent="0.2">
      <c r="B12" s="1252" t="s">
        <v>364</v>
      </c>
      <c r="C12" s="2165" t="s">
        <v>2160</v>
      </c>
      <c r="D12" s="2165" t="s">
        <v>2161</v>
      </c>
      <c r="E12" s="691">
        <v>1032.2</v>
      </c>
      <c r="F12" s="1913" t="s">
        <v>2147</v>
      </c>
      <c r="G12" s="1913">
        <f>J12*1000000/$E12</f>
        <v>210.71497771749659</v>
      </c>
      <c r="H12" s="3096"/>
      <c r="I12" s="3147" t="s">
        <v>2147</v>
      </c>
      <c r="J12" s="691">
        <v>0.2175</v>
      </c>
      <c r="K12" s="3046"/>
      <c r="L12" s="3093" t="s">
        <v>2146</v>
      </c>
    </row>
    <row r="13" spans="2:12" ht="18" customHeight="1" x14ac:dyDescent="0.2">
      <c r="B13" s="1252" t="s">
        <v>365</v>
      </c>
      <c r="C13" s="2165" t="s">
        <v>2162</v>
      </c>
      <c r="D13" s="2165" t="s">
        <v>2161</v>
      </c>
      <c r="E13" s="691">
        <v>672.11599999999999</v>
      </c>
      <c r="F13" s="1913" t="s">
        <v>2147</v>
      </c>
      <c r="G13" s="1913">
        <f>J13*1000000/$E13</f>
        <v>159.18966368900604</v>
      </c>
      <c r="H13" s="3096"/>
      <c r="I13" s="3147" t="s">
        <v>2147</v>
      </c>
      <c r="J13" s="691">
        <v>0.10699391999999998</v>
      </c>
      <c r="K13" s="3046"/>
      <c r="L13" s="3093" t="s">
        <v>2146</v>
      </c>
    </row>
    <row r="14" spans="2:12" ht="18" customHeight="1" x14ac:dyDescent="0.2">
      <c r="B14" s="1252" t="s">
        <v>366</v>
      </c>
      <c r="C14" s="2165" t="s">
        <v>2163</v>
      </c>
      <c r="D14" s="2165" t="s">
        <v>2161</v>
      </c>
      <c r="E14" s="691">
        <v>1675.1</v>
      </c>
      <c r="F14" s="1913">
        <f>I14*1000000/$E14</f>
        <v>282793.6815712495</v>
      </c>
      <c r="G14" s="1913">
        <f>J14*1000000/$E14</f>
        <v>1595.5838696197245</v>
      </c>
      <c r="H14" s="1913">
        <f>K14*1000000/$E14</f>
        <v>8.4995503552026754</v>
      </c>
      <c r="I14" s="3147">
        <v>473.70769600000006</v>
      </c>
      <c r="J14" s="691">
        <v>2.6727625400000004</v>
      </c>
      <c r="K14" s="3142">
        <v>1.4237596800000002E-2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4.9703754499999996E-2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1963</v>
      </c>
      <c r="F18" s="1913" t="s">
        <v>2147</v>
      </c>
      <c r="G18" s="1913">
        <f>J18*1000000/$E18</f>
        <v>25.320302852776361</v>
      </c>
      <c r="H18" s="3148"/>
      <c r="I18" s="3150" t="s">
        <v>2147</v>
      </c>
      <c r="J18" s="2190">
        <v>4.9703754499999996E-2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51.233695117059362</v>
      </c>
      <c r="J21" s="3155">
        <f>IF(SUM(J22:J27)=0,"NO",SUM(J22:J27))</f>
        <v>116.01239848170076</v>
      </c>
      <c r="K21" s="3067">
        <f>IF(SUM(K22:K27)=0,"NO",SUM(K22:K27))</f>
        <v>1.2947813099905734E-3</v>
      </c>
      <c r="L21" s="3068" t="str">
        <f>IF(SUM(L22:L27)=0,"NO",SUM(L22:L27))</f>
        <v>NO</v>
      </c>
    </row>
    <row r="22" spans="2:12" ht="18" customHeight="1" x14ac:dyDescent="0.2">
      <c r="B22" s="1469" t="s">
        <v>371</v>
      </c>
      <c r="C22" s="2165" t="s">
        <v>2164</v>
      </c>
      <c r="D22" s="2165" t="s">
        <v>2147</v>
      </c>
      <c r="E22" s="691">
        <v>136.22091514053301</v>
      </c>
      <c r="F22" s="1913">
        <f>I22*1000000/$E22</f>
        <v>322781.95115629176</v>
      </c>
      <c r="G22" s="1913">
        <f>J22*1000000/$E22</f>
        <v>6775.9346343784691</v>
      </c>
      <c r="H22" s="1913">
        <f>K22*1000000/$E22</f>
        <v>9.5050110965324635</v>
      </c>
      <c r="I22" s="3141">
        <v>43.969652777356892</v>
      </c>
      <c r="J22" s="692">
        <v>0.92302401682746804</v>
      </c>
      <c r="K22" s="4141">
        <v>1.2947813099905734E-3</v>
      </c>
      <c r="L22" s="3156" t="s">
        <v>2146</v>
      </c>
    </row>
    <row r="23" spans="2:12" ht="18" customHeight="1" x14ac:dyDescent="0.2">
      <c r="B23" s="1252" t="s">
        <v>372</v>
      </c>
      <c r="C23" s="2165" t="s">
        <v>2165</v>
      </c>
      <c r="D23" s="2165" t="s">
        <v>2161</v>
      </c>
      <c r="E23" s="691">
        <v>2465.3678492304798</v>
      </c>
      <c r="F23" s="1913">
        <f>I23*1000000/$E23</f>
        <v>213.77342216172624</v>
      </c>
      <c r="G23" s="1913">
        <f>J23*1000000/$E23</f>
        <v>2751.2902441145052</v>
      </c>
      <c r="H23" s="3096"/>
      <c r="I23" s="3147">
        <v>0.52703012201749444</v>
      </c>
      <c r="J23" s="691">
        <v>6.7829425117413793</v>
      </c>
      <c r="K23" s="3046"/>
      <c r="L23" s="3156" t="s">
        <v>2146</v>
      </c>
    </row>
    <row r="24" spans="2:12" ht="18" customHeight="1" x14ac:dyDescent="0.2">
      <c r="B24" s="1252" t="s">
        <v>373</v>
      </c>
      <c r="C24" s="2165" t="s">
        <v>2165</v>
      </c>
      <c r="D24" s="2165" t="s">
        <v>2161</v>
      </c>
      <c r="E24" s="691">
        <v>2465.3678492304798</v>
      </c>
      <c r="F24" s="1913">
        <f t="shared" ref="F24:F26" si="0">I24*1000000/$E24</f>
        <v>847.82402935364848</v>
      </c>
      <c r="G24" s="1913">
        <f t="shared" ref="G24:G26" si="1">J24*1000000/$E24</f>
        <v>4764.5038457265955</v>
      </c>
      <c r="H24" s="1879"/>
      <c r="I24" s="691">
        <v>2.0901981037735236</v>
      </c>
      <c r="J24" s="691">
        <v>11.746254598789326</v>
      </c>
      <c r="K24" s="1914"/>
      <c r="L24" s="3093" t="str">
        <f>IF(Table1.C!E21="NO","NO",-Table1.C!E21)</f>
        <v>NO</v>
      </c>
    </row>
    <row r="25" spans="2:12" ht="18" customHeight="1" x14ac:dyDescent="0.2">
      <c r="B25" s="1252" t="s">
        <v>374</v>
      </c>
      <c r="C25" s="2165" t="s">
        <v>2276</v>
      </c>
      <c r="D25" s="2165" t="s">
        <v>2171</v>
      </c>
      <c r="E25" s="691">
        <v>17377</v>
      </c>
      <c r="F25" s="1913">
        <f t="shared" si="0"/>
        <v>20</v>
      </c>
      <c r="G25" s="1913">
        <f t="shared" si="1"/>
        <v>414.28571428571422</v>
      </c>
      <c r="H25" s="3096"/>
      <c r="I25" s="3147">
        <v>0.34754000000000002</v>
      </c>
      <c r="J25" s="691">
        <v>7.1990428571428566</v>
      </c>
      <c r="K25" s="3046"/>
      <c r="L25" s="3093" t="s">
        <v>2146</v>
      </c>
    </row>
    <row r="26" spans="2:12" ht="18" customHeight="1" x14ac:dyDescent="0.2">
      <c r="B26" s="1252" t="s">
        <v>375</v>
      </c>
      <c r="C26" s="2165" t="s">
        <v>2166</v>
      </c>
      <c r="D26" s="2165" t="s">
        <v>2161</v>
      </c>
      <c r="E26" s="691">
        <v>299.67488292717098</v>
      </c>
      <c r="F26" s="1913">
        <f t="shared" si="0"/>
        <v>12911.18028191671</v>
      </c>
      <c r="G26" s="1913">
        <f t="shared" si="1"/>
        <v>255753.42284107624</v>
      </c>
      <c r="H26" s="3096"/>
      <c r="I26" s="3147">
        <v>3.8691564394349882</v>
      </c>
      <c r="J26" s="691">
        <v>76.642877048122784</v>
      </c>
      <c r="K26" s="3046"/>
      <c r="L26" s="3093" t="s">
        <v>2146</v>
      </c>
    </row>
    <row r="27" spans="2:12" ht="18" customHeight="1" x14ac:dyDescent="0.2">
      <c r="B27" s="2414" t="s">
        <v>376</v>
      </c>
      <c r="C27" s="621"/>
      <c r="D27" s="621"/>
      <c r="E27" s="628"/>
      <c r="F27" s="628"/>
      <c r="G27" s="628"/>
      <c r="H27" s="3148"/>
      <c r="I27" s="1913">
        <f>IF(SUM(I29:I31)=0,"NO",SUM(I29:I31))</f>
        <v>0.43011767447646049</v>
      </c>
      <c r="J27" s="1913">
        <f>IF(SUM(J29:J31)=0,"NO",SUM(J29:J31))</f>
        <v>12.71825744907694</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0.43011767447646049</v>
      </c>
      <c r="J29" s="3150">
        <v>7.761162475226941</v>
      </c>
      <c r="K29" s="3132"/>
      <c r="L29" s="3102" t="s">
        <v>2146</v>
      </c>
    </row>
    <row r="30" spans="2:12" ht="18" customHeight="1" x14ac:dyDescent="0.2">
      <c r="B30" s="2415" t="s">
        <v>378</v>
      </c>
      <c r="C30" s="2165" t="s">
        <v>2156</v>
      </c>
      <c r="D30" s="2165" t="s">
        <v>2155</v>
      </c>
      <c r="E30" s="691">
        <v>6655</v>
      </c>
      <c r="F30" s="1913" t="s">
        <v>2147</v>
      </c>
      <c r="G30" s="1913">
        <f t="shared" ref="G30" si="2">J30*1000000/$E30</f>
        <v>23.455292839969946</v>
      </c>
      <c r="H30" s="3148"/>
      <c r="I30" s="3150" t="s">
        <v>2147</v>
      </c>
      <c r="J30" s="3150">
        <v>0.15609497384999999</v>
      </c>
      <c r="K30" s="3132"/>
      <c r="L30" s="3102" t="s">
        <v>2146</v>
      </c>
    </row>
    <row r="31" spans="2:12" ht="18" customHeight="1" x14ac:dyDescent="0.2">
      <c r="B31" s="1242" t="s">
        <v>379</v>
      </c>
      <c r="C31" s="621"/>
      <c r="D31" s="621"/>
      <c r="E31" s="628"/>
      <c r="F31" s="628"/>
      <c r="G31" s="628"/>
      <c r="H31" s="3148"/>
      <c r="I31" s="1913" t="s">
        <v>2147</v>
      </c>
      <c r="J31" s="1913">
        <f>IF(SUM(J32:J34)=0,"NO",SUM(J32:J34))</f>
        <v>4.8010000000000002</v>
      </c>
      <c r="K31" s="3132"/>
      <c r="L31" s="3149" t="str">
        <f>IF(SUM(L32:L34)=0,"NO",SUM(L32:L34))</f>
        <v>NO</v>
      </c>
    </row>
    <row r="32" spans="2:12" ht="18" customHeight="1" x14ac:dyDescent="0.2">
      <c r="B32" s="2592" t="s">
        <v>2173</v>
      </c>
      <c r="C32" s="310" t="s">
        <v>2172</v>
      </c>
      <c r="D32" s="310" t="s">
        <v>2172</v>
      </c>
      <c r="E32" s="2190">
        <v>4</v>
      </c>
      <c r="F32" s="3095" t="s">
        <v>2147</v>
      </c>
      <c r="G32" s="3095">
        <f t="shared" ref="G32:G33" si="3">J32*1000000/$E32</f>
        <v>277250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1850000</v>
      </c>
      <c r="H34" s="3158"/>
      <c r="I34" s="3159" t="s">
        <v>2147</v>
      </c>
      <c r="J34" s="3159">
        <v>1.85</v>
      </c>
      <c r="K34" s="3160"/>
      <c r="L34" s="3161" t="s">
        <v>2146</v>
      </c>
    </row>
    <row r="35" spans="2:12" ht="18" customHeight="1" x14ac:dyDescent="0.2">
      <c r="B35" s="1255" t="s">
        <v>380</v>
      </c>
      <c r="C35" s="2167"/>
      <c r="D35" s="2167"/>
      <c r="E35" s="3216"/>
      <c r="F35" s="3216"/>
      <c r="G35" s="3216"/>
      <c r="H35" s="3216"/>
      <c r="I35" s="3155">
        <f>IF(SUM(I36,I40)=0,"NO",SUM(I36,I40))</f>
        <v>5511.138864602478</v>
      </c>
      <c r="J35" s="3067">
        <f>IF(SUM(J36,J40)=0,"NO",SUM(J36,J40))</f>
        <v>128.4762340716826</v>
      </c>
      <c r="K35" s="3067">
        <f>IF(SUM(K36,K40)=0,"NO",SUM(K36,K40))</f>
        <v>7.6269587326269414E-2</v>
      </c>
      <c r="L35" s="3068" t="str">
        <f>IF(SUM(L36,L40)=0,"NO",SUM(L36,L40))</f>
        <v>NO</v>
      </c>
    </row>
    <row r="36" spans="2:12" ht="18" customHeight="1" x14ac:dyDescent="0.2">
      <c r="B36" s="1468" t="s">
        <v>381</v>
      </c>
      <c r="C36" s="2170"/>
      <c r="D36" s="2170"/>
      <c r="E36" s="3025"/>
      <c r="F36" s="3025"/>
      <c r="G36" s="3025"/>
      <c r="H36" s="3025"/>
      <c r="I36" s="3162">
        <f>IF(SUM(I37:I39)=0,"NO",SUM(I37:I39))</f>
        <v>3149.6447825840319</v>
      </c>
      <c r="J36" s="1913">
        <f>IF(SUM(J37:J39)=0,"NO",SUM(J37:J39))</f>
        <v>113.40616814942908</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3497.5678492304796</v>
      </c>
      <c r="F39" s="1913">
        <f t="shared" ref="F39" si="5">SUM(I39,L39)*1000000/$E39</f>
        <v>900524.28383255063</v>
      </c>
      <c r="G39" s="1913">
        <f t="shared" ref="G39" si="6">J39*1000000/$E39</f>
        <v>32424.293977422123</v>
      </c>
      <c r="H39" s="1913">
        <f t="shared" ref="H39" si="7">K39*1000000/$E39</f>
        <v>0</v>
      </c>
      <c r="I39" s="691">
        <v>3149.6447825840319</v>
      </c>
      <c r="J39" s="691">
        <v>113.40616814942908</v>
      </c>
      <c r="K39" s="3132"/>
      <c r="L39" s="3093" t="s">
        <v>2146</v>
      </c>
    </row>
    <row r="40" spans="2:12" ht="18" customHeight="1" x14ac:dyDescent="0.2">
      <c r="B40" s="1468" t="s">
        <v>385</v>
      </c>
      <c r="C40" s="2170"/>
      <c r="D40" s="2170"/>
      <c r="E40" s="3025"/>
      <c r="F40" s="3025"/>
      <c r="G40" s="3025"/>
      <c r="H40" s="3025"/>
      <c r="I40" s="3162">
        <f>IF(SUM(I41:I43)=0,"NO",SUM(I41:I43))</f>
        <v>2361.4940820184461</v>
      </c>
      <c r="J40" s="3162">
        <f>IF(SUM(J41:J43)=0,"NO",SUM(J41:J43))</f>
        <v>15.070065922253518</v>
      </c>
      <c r="K40" s="1913">
        <f>IF(SUM(K41:K43)=0,"NO",SUM(K41:K43))</f>
        <v>7.6269587326269414E-2</v>
      </c>
      <c r="L40" s="3065" t="str">
        <f>IF(SUM(L41:L43)=0,"NO",SUM(L41:L43))</f>
        <v>NO</v>
      </c>
    </row>
    <row r="41" spans="2:12" ht="18" customHeight="1" x14ac:dyDescent="0.2">
      <c r="B41" s="1470" t="s">
        <v>386</v>
      </c>
      <c r="C41" s="277" t="s">
        <v>2169</v>
      </c>
      <c r="D41" s="277" t="s">
        <v>2170</v>
      </c>
      <c r="E41" s="691">
        <v>364.90016499848326</v>
      </c>
      <c r="F41" s="1913">
        <f t="shared" ref="F41:F42" si="8">SUM(I41,L41)*1000000/$E41</f>
        <v>2900000</v>
      </c>
      <c r="G41" s="1913">
        <f t="shared" ref="G41:H42" si="9">J41*1000000/$E41</f>
        <v>35000</v>
      </c>
      <c r="H41" s="1913">
        <f t="shared" si="9"/>
        <v>81</v>
      </c>
      <c r="I41" s="692">
        <v>1058.2104784956014</v>
      </c>
      <c r="J41" s="692">
        <v>12.771505774946913</v>
      </c>
      <c r="K41" s="692">
        <v>2.9556913364877143E-2</v>
      </c>
      <c r="L41" s="3156" t="s">
        <v>2146</v>
      </c>
    </row>
    <row r="42" spans="2:12" ht="18" customHeight="1" x14ac:dyDescent="0.2">
      <c r="B42" s="1470" t="s">
        <v>387</v>
      </c>
      <c r="C42" s="277" t="s">
        <v>2169</v>
      </c>
      <c r="D42" s="277" t="s">
        <v>2170</v>
      </c>
      <c r="E42" s="691">
        <v>27962.878678834601</v>
      </c>
      <c r="F42" s="1913">
        <f t="shared" si="8"/>
        <v>46607.633587786295</v>
      </c>
      <c r="G42" s="1913">
        <f t="shared" si="9"/>
        <v>82.200411971404378</v>
      </c>
      <c r="H42" s="1913">
        <f t="shared" si="9"/>
        <v>1.670524501354347</v>
      </c>
      <c r="I42" s="691">
        <v>1303.2836035228447</v>
      </c>
      <c r="J42" s="691">
        <v>2.298560147306604</v>
      </c>
      <c r="K42" s="691">
        <v>4.6712673961392275E-2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39.362715011848479</v>
      </c>
      <c r="M9" s="3358">
        <f>100*C10/SUM(C10,'Table1.A(a)s3'!C16)</f>
        <v>60.637284988151521</v>
      </c>
    </row>
    <row r="10" spans="1:13" ht="18" customHeight="1" thickTop="1" thickBot="1" x14ac:dyDescent="0.25">
      <c r="B10" s="223" t="s">
        <v>430</v>
      </c>
      <c r="C10" s="3338">
        <f>IF(SUM(C11:C13)=0,"NO",SUM(C11:C13))</f>
        <v>105300</v>
      </c>
      <c r="D10" s="3339"/>
      <c r="E10" s="3340"/>
      <c r="F10" s="3340"/>
      <c r="G10" s="3338">
        <f>IF(SUM(G11:G13)=0,"NO",SUM(G11:G13))</f>
        <v>7328.88</v>
      </c>
      <c r="H10" s="3338">
        <f>IF(SUM(H11:H13)=0,"NO",SUM(H11:H13))</f>
        <v>1.2036134999999998E-2</v>
      </c>
      <c r="I10" s="1154">
        <f>IF(SUM(I11:I13)=0,"NO",SUM(I11:I13))</f>
        <v>3.7129249002631572E-2</v>
      </c>
      <c r="J10" s="4"/>
      <c r="K10" s="68" t="s">
        <v>431</v>
      </c>
      <c r="L10" s="3359">
        <f>100-M10</f>
        <v>42.7620847899951</v>
      </c>
      <c r="M10" s="3360">
        <f>100*C14/SUM(C14,'Table1.A(a)s3'!C88)</f>
        <v>57.2379152100049</v>
      </c>
    </row>
    <row r="11" spans="1:13" ht="18" customHeight="1" x14ac:dyDescent="0.2">
      <c r="B11" s="1258" t="s">
        <v>178</v>
      </c>
      <c r="C11" s="3341">
        <v>105300</v>
      </c>
      <c r="D11" s="116">
        <f>IF(G11="NO","NA",G11*1000/$C11)</f>
        <v>69.599999999999994</v>
      </c>
      <c r="E11" s="116">
        <f t="shared" ref="E11:F13" si="0">IF(H11="NO","NA",H11*1000000/$C11)</f>
        <v>0.11430327635327633</v>
      </c>
      <c r="F11" s="116">
        <f t="shared" si="0"/>
        <v>0.35260445396611179</v>
      </c>
      <c r="G11" s="3062">
        <v>7328.88</v>
      </c>
      <c r="H11" s="3062">
        <v>1.2036134999999998E-2</v>
      </c>
      <c r="I11" s="3063">
        <v>3.7129249002631572E-2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33850</v>
      </c>
      <c r="D14" s="3348"/>
      <c r="E14" s="3349"/>
      <c r="F14" s="3350"/>
      <c r="G14" s="3347">
        <f>IF(SUM(G15:G18,G20:G22)=0,"NO",SUM(G15:G18,G20:G22))</f>
        <v>2475.8199999999997</v>
      </c>
      <c r="H14" s="3347">
        <f>IF(SUM(H15:H18,H20:H22)=0,"NO",SUM(H15:H18,H20:H22))</f>
        <v>0.23694999999999997</v>
      </c>
      <c r="I14" s="1155">
        <f>IF(SUM(I15:I18,I20:I22)=0,"NO",SUM(I15:I18,I20:I22))</f>
        <v>6.7699999999999996E-2</v>
      </c>
      <c r="J14" s="4"/>
      <c r="K14" s="1047"/>
      <c r="L14" s="1047"/>
      <c r="M14" s="1047"/>
    </row>
    <row r="15" spans="1:13" ht="18" customHeight="1" x14ac:dyDescent="0.2">
      <c r="B15" s="1260" t="s">
        <v>190</v>
      </c>
      <c r="C15" s="143">
        <v>29650</v>
      </c>
      <c r="D15" s="116">
        <f>IF(G15="NO","NA",G15*1000/$C15)</f>
        <v>73.599999999999994</v>
      </c>
      <c r="E15" s="116">
        <f t="shared" ref="E15:F17" si="1">IF(H15="NO","NA",H15*1000000/$C15)</f>
        <v>6.9999999999999991</v>
      </c>
      <c r="F15" s="116">
        <f t="shared" si="1"/>
        <v>1.9999999999999998</v>
      </c>
      <c r="G15" s="3064">
        <v>2182.2399999999998</v>
      </c>
      <c r="H15" s="3064">
        <v>0.20754999999999996</v>
      </c>
      <c r="I15" s="135">
        <v>5.9299999999999992E-2</v>
      </c>
      <c r="J15" s="4"/>
      <c r="K15" s="1047"/>
      <c r="L15" s="1047"/>
      <c r="M15" s="1047"/>
    </row>
    <row r="16" spans="1:13" ht="18" customHeight="1" x14ac:dyDescent="0.2">
      <c r="B16" s="1260" t="s">
        <v>191</v>
      </c>
      <c r="C16" s="3351">
        <v>4200</v>
      </c>
      <c r="D16" s="116">
        <f>IF(G16="NO","NA",G16*1000/$C16)</f>
        <v>69.90000000000002</v>
      </c>
      <c r="E16" s="116">
        <f t="shared" si="1"/>
        <v>7.0000000000000009</v>
      </c>
      <c r="F16" s="116">
        <f t="shared" si="1"/>
        <v>2.0000000000000004</v>
      </c>
      <c r="G16" s="3064">
        <v>293.58000000000004</v>
      </c>
      <c r="H16" s="3064">
        <v>2.9400000000000003E-2</v>
      </c>
      <c r="I16" s="135">
        <v>8.4000000000000012E-3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22189.035610987365</v>
      </c>
      <c r="D10" s="2913">
        <f t="shared" ref="D10:N10" si="0">IF(SUM(D11,D16,D27,D35,D39,D45,D52,D57)=0,"NO",SUM(D11,D16,D27,D35,D39,D45,D52,D57))</f>
        <v>3.8379454129081627</v>
      </c>
      <c r="E10" s="2913">
        <f t="shared" si="0"/>
        <v>5.5516658037421696</v>
      </c>
      <c r="F10" s="2913">
        <f t="shared" si="0"/>
        <v>904.91759376843311</v>
      </c>
      <c r="G10" s="2913">
        <f t="shared" si="0"/>
        <v>1024.4655200863303</v>
      </c>
      <c r="H10" s="2913" t="str">
        <f t="shared" si="0"/>
        <v>NO</v>
      </c>
      <c r="I10" s="2913">
        <f t="shared" si="0"/>
        <v>9.2670624922224099E-3</v>
      </c>
      <c r="J10" s="2913" t="str">
        <f t="shared" si="0"/>
        <v>NO</v>
      </c>
      <c r="K10" s="2913">
        <f t="shared" si="0"/>
        <v>44.116079006676699</v>
      </c>
      <c r="L10" s="2914">
        <f t="shared" si="0"/>
        <v>11.715225831893719</v>
      </c>
      <c r="M10" s="2915">
        <f t="shared" si="0"/>
        <v>224.19392816905832</v>
      </c>
      <c r="N10" s="2916">
        <f t="shared" si="0"/>
        <v>1193.8514082124984</v>
      </c>
      <c r="O10" s="3020">
        <f t="shared" ref="O10:O58" si="1">IF(SUM(C10:J10)=0,"NO",SUM(C10,F10:H10)+28*SUM(D10)+265*SUM(E10)+23500*SUM(I10)+16100*SUM(J10))</f>
        <v>25914.848602962462</v>
      </c>
    </row>
    <row r="11" spans="1:15" ht="18" customHeight="1" x14ac:dyDescent="0.2">
      <c r="B11" s="1263" t="s">
        <v>444</v>
      </c>
      <c r="C11" s="2137">
        <f>IF(SUM(C12:C15)=0,"NO",SUM(C12:C15))</f>
        <v>6439.3317149694603</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6439.3317149694603</v>
      </c>
    </row>
    <row r="12" spans="1:15" ht="18" customHeight="1" x14ac:dyDescent="0.2">
      <c r="B12" s="1264" t="s">
        <v>445</v>
      </c>
      <c r="C12" s="2920">
        <f>'Table2(I).A-H'!H11</f>
        <v>3519.9911680000005</v>
      </c>
      <c r="D12" s="2136"/>
      <c r="E12" s="2136"/>
      <c r="F12" s="628"/>
      <c r="G12" s="628"/>
      <c r="H12" s="2135"/>
      <c r="I12" s="628"/>
      <c r="J12" s="2135"/>
      <c r="K12" s="2135"/>
      <c r="L12" s="2135"/>
      <c r="M12" s="2135"/>
      <c r="N12" s="2919" t="s">
        <v>2146</v>
      </c>
      <c r="O12" s="2934">
        <f t="shared" si="1"/>
        <v>3519.9911680000005</v>
      </c>
    </row>
    <row r="13" spans="1:15" ht="18" customHeight="1" x14ac:dyDescent="0.2">
      <c r="B13" s="1264" t="s">
        <v>446</v>
      </c>
      <c r="C13" s="1878">
        <f>'Table2(I).A-H'!H12</f>
        <v>1149.6760037153488</v>
      </c>
      <c r="D13" s="2108"/>
      <c r="E13" s="2108"/>
      <c r="F13" s="628"/>
      <c r="G13" s="628"/>
      <c r="H13" s="2135"/>
      <c r="I13" s="628"/>
      <c r="J13" s="2135"/>
      <c r="K13" s="628"/>
      <c r="L13" s="628"/>
      <c r="M13" s="628"/>
      <c r="N13" s="1838"/>
      <c r="O13" s="1880">
        <f t="shared" si="1"/>
        <v>1149.6760037153488</v>
      </c>
    </row>
    <row r="14" spans="1:15" ht="18" customHeight="1" x14ac:dyDescent="0.2">
      <c r="B14" s="1264" t="s">
        <v>447</v>
      </c>
      <c r="C14" s="1878">
        <f>'Table2(I).A-H'!H13</f>
        <v>115.93093106564748</v>
      </c>
      <c r="D14" s="2108"/>
      <c r="E14" s="2108"/>
      <c r="F14" s="628"/>
      <c r="G14" s="628"/>
      <c r="H14" s="2135"/>
      <c r="I14" s="628"/>
      <c r="J14" s="2135"/>
      <c r="K14" s="628"/>
      <c r="L14" s="628"/>
      <c r="M14" s="628"/>
      <c r="N14" s="1838"/>
      <c r="O14" s="1880">
        <f t="shared" si="1"/>
        <v>115.93093106564748</v>
      </c>
    </row>
    <row r="15" spans="1:15" ht="18" customHeight="1" thickBot="1" x14ac:dyDescent="0.25">
      <c r="B15" s="1264" t="s">
        <v>448</v>
      </c>
      <c r="C15" s="1878">
        <f>'Table2(I).A-H'!H14</f>
        <v>1653.7336121884637</v>
      </c>
      <c r="D15" s="1879"/>
      <c r="E15" s="1879"/>
      <c r="F15" s="3021"/>
      <c r="G15" s="3021"/>
      <c r="H15" s="3021"/>
      <c r="I15" s="3021"/>
      <c r="J15" s="3021"/>
      <c r="K15" s="2606" t="s">
        <v>2146</v>
      </c>
      <c r="L15" s="2606" t="s">
        <v>2146</v>
      </c>
      <c r="M15" s="2606" t="s">
        <v>2146</v>
      </c>
      <c r="N15" s="2607" t="s">
        <v>2146</v>
      </c>
      <c r="O15" s="1880">
        <f t="shared" si="1"/>
        <v>1653.7336121884637</v>
      </c>
    </row>
    <row r="16" spans="1:15" ht="18" customHeight="1" x14ac:dyDescent="0.2">
      <c r="B16" s="1265" t="s">
        <v>449</v>
      </c>
      <c r="C16" s="2137">
        <f>IF(SUM(C17:C26)=0,"NO",SUM(C17:C26))</f>
        <v>1591.5349229289993</v>
      </c>
      <c r="D16" s="2137">
        <f t="shared" ref="D16:N16" si="3">IF(SUM(D17:D26)=0,"NO",SUM(D17:D26))</f>
        <v>0.48208379999999995</v>
      </c>
      <c r="E16" s="2137">
        <f t="shared" si="3"/>
        <v>5.4660888764516145</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5.9225438330000006</v>
      </c>
      <c r="N16" s="2918" t="str">
        <f t="shared" si="3"/>
        <v>NO</v>
      </c>
      <c r="O16" s="2941">
        <f t="shared" si="1"/>
        <v>3053.5468215886772</v>
      </c>
    </row>
    <row r="17" spans="2:15" ht="18" customHeight="1" x14ac:dyDescent="0.2">
      <c r="B17" s="1266" t="s">
        <v>450</v>
      </c>
      <c r="C17" s="2920">
        <f>SUM('Table2(I).A-H'!H23,'Table2(I).A-H'!K23:L23)</f>
        <v>618.99655139270249</v>
      </c>
      <c r="D17" s="2139" t="str">
        <f>'Table2(I).A-H'!I23</f>
        <v>NO</v>
      </c>
      <c r="E17" s="2139" t="str">
        <f>'Table2(I).A-H'!J23</f>
        <v>NO</v>
      </c>
      <c r="F17" s="2135"/>
      <c r="G17" s="2135"/>
      <c r="H17" s="2135"/>
      <c r="I17" s="2135"/>
      <c r="J17" s="2135"/>
      <c r="K17" s="692" t="s">
        <v>2146</v>
      </c>
      <c r="L17" s="692" t="s">
        <v>2146</v>
      </c>
      <c r="M17" s="692" t="s">
        <v>2146</v>
      </c>
      <c r="N17" s="692" t="s">
        <v>2146</v>
      </c>
      <c r="O17" s="2934">
        <f t="shared" si="1"/>
        <v>618.99655139270249</v>
      </c>
    </row>
    <row r="18" spans="2:15" ht="18" customHeight="1" x14ac:dyDescent="0.2">
      <c r="B18" s="1264" t="s">
        <v>451</v>
      </c>
      <c r="C18" s="1910"/>
      <c r="D18" s="2136"/>
      <c r="E18" s="2139">
        <f>'Table2(I).A-H'!J24</f>
        <v>5.4660888764516145</v>
      </c>
      <c r="F18" s="628"/>
      <c r="G18" s="628"/>
      <c r="H18" s="2135"/>
      <c r="I18" s="628"/>
      <c r="J18" s="2135"/>
      <c r="K18" s="692" t="s">
        <v>2146</v>
      </c>
      <c r="L18" s="628"/>
      <c r="M18" s="628"/>
      <c r="N18" s="1838"/>
      <c r="O18" s="2934">
        <f t="shared" si="1"/>
        <v>1448.5135522596779</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802.11872141388608</v>
      </c>
      <c r="D22" s="1914"/>
      <c r="E22" s="628"/>
      <c r="F22" s="628"/>
      <c r="G22" s="628"/>
      <c r="H22" s="2135"/>
      <c r="I22" s="628"/>
      <c r="J22" s="2135"/>
      <c r="K22" s="1914"/>
      <c r="L22" s="1914"/>
      <c r="M22" s="1914"/>
      <c r="N22" s="2921"/>
      <c r="O22" s="1880">
        <f t="shared" si="1"/>
        <v>802.11872141388608</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0.48208379999999995</v>
      </c>
      <c r="E24" s="628"/>
      <c r="F24" s="628"/>
      <c r="G24" s="628"/>
      <c r="H24" s="2135"/>
      <c r="I24" s="628"/>
      <c r="J24" s="2135"/>
      <c r="K24" s="692" t="s">
        <v>2146</v>
      </c>
      <c r="L24" s="692" t="s">
        <v>2146</v>
      </c>
      <c r="M24" s="691">
        <v>5.9225438330000006</v>
      </c>
      <c r="N24" s="692" t="s">
        <v>2146</v>
      </c>
      <c r="O24" s="1880">
        <f t="shared" si="1"/>
        <v>60.359419399999993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123.5585771224107</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123.5585771224107</v>
      </c>
    </row>
    <row r="27" spans="2:15" ht="18" customHeight="1" x14ac:dyDescent="0.2">
      <c r="B27" s="1263" t="s">
        <v>459</v>
      </c>
      <c r="C27" s="2137">
        <f>IF(SUM(C28:C34)=0,"NO",SUM(C28:C34))</f>
        <v>13745.157397730105</v>
      </c>
      <c r="D27" s="2137">
        <f t="shared" ref="D27:N27" si="4">IF(SUM(D28:D34)=0,"NO",SUM(D28:D34))</f>
        <v>3.3558616129081629</v>
      </c>
      <c r="E27" s="2137">
        <f t="shared" si="4"/>
        <v>8.5576927290555119E-2</v>
      </c>
      <c r="F27" s="2138" t="str">
        <f t="shared" si="4"/>
        <v>NO</v>
      </c>
      <c r="G27" s="2138">
        <f t="shared" si="4"/>
        <v>1024.4655200863303</v>
      </c>
      <c r="H27" s="2138" t="str">
        <f t="shared" si="4"/>
        <v>NO</v>
      </c>
      <c r="I27" s="2138">
        <f t="shared" si="4"/>
        <v>1.4999999999999999E-4</v>
      </c>
      <c r="J27" s="2138" t="str">
        <f t="shared" si="4"/>
        <v>NO</v>
      </c>
      <c r="K27" s="2137">
        <f t="shared" si="4"/>
        <v>44.116079006676699</v>
      </c>
      <c r="L27" s="2137">
        <f t="shared" si="4"/>
        <v>11.715225831893719</v>
      </c>
      <c r="M27" s="2917">
        <f t="shared" si="4"/>
        <v>0.10661109063144732</v>
      </c>
      <c r="N27" s="2918">
        <f t="shared" si="4"/>
        <v>1193.8514082124984</v>
      </c>
      <c r="O27" s="2941">
        <f t="shared" si="1"/>
        <v>14889.789928709861</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2765.3465324306294</v>
      </c>
      <c r="D30" s="1879"/>
      <c r="E30" s="628"/>
      <c r="F30" s="628"/>
      <c r="G30" s="2140">
        <f>SUM('Table2(II)'!X41:Y41)</f>
        <v>1024.4655200863303</v>
      </c>
      <c r="H30" s="2136"/>
      <c r="I30" s="2142" t="s">
        <v>2146</v>
      </c>
      <c r="J30" s="2135"/>
      <c r="K30" s="691" t="s">
        <v>2147</v>
      </c>
      <c r="L30" s="691" t="s">
        <v>2147</v>
      </c>
      <c r="M30" s="691" t="s">
        <v>2147</v>
      </c>
      <c r="N30" s="2911">
        <v>43.060439999999993</v>
      </c>
      <c r="O30" s="1880">
        <f t="shared" si="1"/>
        <v>3789.8120525169597</v>
      </c>
    </row>
    <row r="31" spans="2:15" ht="18" customHeight="1" x14ac:dyDescent="0.2">
      <c r="B31" s="1267" t="s">
        <v>463</v>
      </c>
      <c r="C31" s="1878" t="str">
        <f>'Table2(I).A-H'!H64</f>
        <v>NA</v>
      </c>
      <c r="D31" s="2143"/>
      <c r="E31" s="2108"/>
      <c r="F31" s="2139" t="s">
        <v>2146</v>
      </c>
      <c r="G31" s="2139" t="s">
        <v>2146</v>
      </c>
      <c r="H31" s="2139" t="s">
        <v>2146</v>
      </c>
      <c r="I31" s="3022">
        <f>IFERROR('Table2(II).B-Hs1'!G28/1000,'Table2(II).B-Hs1'!G28)</f>
        <v>1.4999999999999999E-4</v>
      </c>
      <c r="J31" s="2135"/>
      <c r="K31" s="691" t="s">
        <v>2147</v>
      </c>
      <c r="L31" s="691" t="s">
        <v>2147</v>
      </c>
      <c r="M31" s="691" t="s">
        <v>2147</v>
      </c>
      <c r="N31" s="2911" t="s">
        <v>2147</v>
      </c>
      <c r="O31" s="2145">
        <f t="shared" si="1"/>
        <v>3.5249999999999999</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10979.810865299476</v>
      </c>
      <c r="D34" s="1881">
        <f>'Table2(I).A-H'!I67</f>
        <v>3.3558616129081629</v>
      </c>
      <c r="E34" s="1881">
        <f>'Table2(I).A-H'!J67</f>
        <v>8.5576927290555119E-2</v>
      </c>
      <c r="F34" s="2146" t="s">
        <v>2146</v>
      </c>
      <c r="G34" s="2146" t="s">
        <v>2146</v>
      </c>
      <c r="H34" s="2146" t="s">
        <v>2146</v>
      </c>
      <c r="I34" s="2146" t="s">
        <v>2146</v>
      </c>
      <c r="J34" s="2146" t="s">
        <v>2146</v>
      </c>
      <c r="K34" s="2606">
        <v>44.116079006676699</v>
      </c>
      <c r="L34" s="2606">
        <v>11.715225831893719</v>
      </c>
      <c r="M34" s="2606">
        <v>0.10661109063144732</v>
      </c>
      <c r="N34" s="2607">
        <v>1150.7909682124985</v>
      </c>
      <c r="O34" s="1882">
        <f t="shared" si="1"/>
        <v>11096.452876192901</v>
      </c>
    </row>
    <row r="35" spans="2:15" ht="18" customHeight="1" x14ac:dyDescent="0.2">
      <c r="B35" s="2470" t="s">
        <v>2014</v>
      </c>
      <c r="C35" s="2920">
        <f>IF(SUM(C36:C38)=0,"NO",SUM(C36:C38))</f>
        <v>270.21861749999999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164.52772874542688</v>
      </c>
      <c r="N35" s="2048" t="str">
        <f t="shared" ref="N35" si="7">IF(SUM(N36:N38)=0,"NO",SUM(N36:N38))</f>
        <v>NO</v>
      </c>
      <c r="O35" s="2934">
        <f t="shared" si="1"/>
        <v>270.21861749999999</v>
      </c>
    </row>
    <row r="36" spans="2:15" ht="18" customHeight="1" x14ac:dyDescent="0.2">
      <c r="B36" s="1270" t="s">
        <v>466</v>
      </c>
      <c r="C36" s="1878">
        <f>'Table2(I).A-H'!H73</f>
        <v>270.21861749999999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270.21861749999999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164.52772874542688</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904.91759376843311</v>
      </c>
      <c r="G45" s="2137" t="str">
        <f t="shared" ref="G45:J45" si="9">IF(SUM(G46:G51)=0,"NO",SUM(G46:G51))</f>
        <v>NO</v>
      </c>
      <c r="H45" s="2920" t="str">
        <f t="shared" si="9"/>
        <v>NO</v>
      </c>
      <c r="I45" s="2920" t="str">
        <f t="shared" si="9"/>
        <v>NO</v>
      </c>
      <c r="J45" s="2139" t="str">
        <f t="shared" si="9"/>
        <v>NO</v>
      </c>
      <c r="K45" s="1929"/>
      <c r="L45" s="1929"/>
      <c r="M45" s="1929"/>
      <c r="N45" s="2153"/>
      <c r="O45" s="2941">
        <f t="shared" si="1"/>
        <v>904.91759376843311</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829.523026613865</v>
      </c>
      <c r="G46" s="1878" t="s">
        <v>2146</v>
      </c>
      <c r="H46" s="1878" t="s">
        <v>2146</v>
      </c>
      <c r="I46" s="1878" t="s">
        <v>2146</v>
      </c>
      <c r="J46" s="2139" t="str">
        <f t="shared" ref="J46" si="10">IF(SUM(J47:J52)=0,"NO",SUM(J47:J52))</f>
        <v>NO</v>
      </c>
      <c r="K46" s="628"/>
      <c r="L46" s="628"/>
      <c r="M46" s="628"/>
      <c r="N46" s="1838"/>
      <c r="O46" s="1880">
        <f t="shared" si="1"/>
        <v>829.523026613865</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27.240321190018491</v>
      </c>
      <c r="G47" s="1878" t="s">
        <v>2146</v>
      </c>
      <c r="H47" s="1878" t="s">
        <v>2146</v>
      </c>
      <c r="I47" s="1878" t="s">
        <v>2146</v>
      </c>
      <c r="J47" s="2139" t="str">
        <f t="shared" ref="J47" si="11">IF(SUM(J48:J53)=0,"NO",SUM(J48:J53))</f>
        <v>NO</v>
      </c>
      <c r="K47" s="628"/>
      <c r="L47" s="628"/>
      <c r="M47" s="628"/>
      <c r="N47" s="1838"/>
      <c r="O47" s="1880">
        <f t="shared" si="1"/>
        <v>27.240321190018491</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4.2312321847403638</v>
      </c>
      <c r="G48" s="1878" t="s">
        <v>2146</v>
      </c>
      <c r="H48" s="1878" t="s">
        <v>2146</v>
      </c>
      <c r="I48" s="1878" t="s">
        <v>2146</v>
      </c>
      <c r="J48" s="2139" t="str">
        <f t="shared" ref="J48" si="12">IF(SUM(J49:J54)=0,"NO",SUM(J49:J54))</f>
        <v>NO</v>
      </c>
      <c r="K48" s="628"/>
      <c r="L48" s="628"/>
      <c r="M48" s="628"/>
      <c r="N48" s="1838"/>
      <c r="O48" s="1880">
        <f t="shared" si="1"/>
        <v>4.2312321847403638</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11.335256759068573</v>
      </c>
      <c r="G49" s="1878" t="s">
        <v>2146</v>
      </c>
      <c r="H49" s="1878" t="s">
        <v>2146</v>
      </c>
      <c r="I49" s="1878" t="s">
        <v>2146</v>
      </c>
      <c r="J49" s="2139" t="str">
        <f t="shared" ref="J49" si="13">IF(SUM(J50:J55)=0,"NO",SUM(J50:J55))</f>
        <v>NO</v>
      </c>
      <c r="K49" s="628"/>
      <c r="L49" s="628"/>
      <c r="M49" s="628"/>
      <c r="N49" s="1838"/>
      <c r="O49" s="1880">
        <f t="shared" si="1"/>
        <v>11.335256759068573</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32.587757020740682</v>
      </c>
      <c r="G50" s="1878" t="s">
        <v>2146</v>
      </c>
      <c r="H50" s="1878" t="s">
        <v>2146</v>
      </c>
      <c r="I50" s="1878" t="s">
        <v>2146</v>
      </c>
      <c r="J50" s="2139" t="str">
        <f t="shared" ref="J50" si="14">IF(SUM(J51:J56)=0,"NO",SUM(J51:J56))</f>
        <v>NO</v>
      </c>
      <c r="K50" s="628"/>
      <c r="L50" s="628"/>
      <c r="M50" s="628"/>
      <c r="N50" s="1838"/>
      <c r="O50" s="1880">
        <f t="shared" si="1"/>
        <v>32.587757020740682</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9.1170624922224091E-3</v>
      </c>
      <c r="J52" s="2139" t="str">
        <f t="shared" si="16"/>
        <v>NO</v>
      </c>
      <c r="K52" s="2139" t="str">
        <f t="shared" si="16"/>
        <v>NO</v>
      </c>
      <c r="L52" s="2139" t="str">
        <f t="shared" si="16"/>
        <v>NO</v>
      </c>
      <c r="M52" s="2139" t="str">
        <f t="shared" si="16"/>
        <v>NO</v>
      </c>
      <c r="N52" s="2048" t="str">
        <f t="shared" si="16"/>
        <v>NO</v>
      </c>
      <c r="O52" s="2934">
        <f t="shared" si="1"/>
        <v>214.25096856722661</v>
      </c>
    </row>
    <row r="53" spans="2:15" ht="18" customHeight="1" x14ac:dyDescent="0.2">
      <c r="B53" s="1270" t="s">
        <v>481</v>
      </c>
      <c r="C53" s="2135"/>
      <c r="D53" s="2135"/>
      <c r="E53" s="2135"/>
      <c r="F53" s="2920" t="s">
        <v>2146</v>
      </c>
      <c r="G53" s="2920" t="s">
        <v>2146</v>
      </c>
      <c r="H53" s="2920" t="s">
        <v>2146</v>
      </c>
      <c r="I53" s="2920">
        <f>SUM('Table2(II).B-Hs2'!J163:M163)/1000</f>
        <v>8.471120273133419E-3</v>
      </c>
      <c r="J53" s="2920" t="s">
        <v>2146</v>
      </c>
      <c r="K53" s="2135"/>
      <c r="L53" s="2135"/>
      <c r="M53" s="2135"/>
      <c r="N53" s="2149"/>
      <c r="O53" s="2934">
        <f t="shared" si="1"/>
        <v>199.07132641863535</v>
      </c>
    </row>
    <row r="54" spans="2:15" ht="18" customHeight="1" x14ac:dyDescent="0.2">
      <c r="B54" s="1270" t="s">
        <v>482</v>
      </c>
      <c r="C54" s="2135"/>
      <c r="D54" s="2135"/>
      <c r="E54" s="2135"/>
      <c r="F54" s="2135"/>
      <c r="G54" s="2920" t="s">
        <v>2146</v>
      </c>
      <c r="H54" s="3025"/>
      <c r="I54" s="2920">
        <f>SUM('Table2(II).B-Hs2'!J165:M165)/1000</f>
        <v>6.4594221908899027E-4</v>
      </c>
      <c r="J54" s="2135"/>
      <c r="K54" s="2135"/>
      <c r="L54" s="2135"/>
      <c r="M54" s="2135"/>
      <c r="N54" s="2149"/>
      <c r="O54" s="2934">
        <f t="shared" si="1"/>
        <v>15.179642148591272</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142.79295785880095</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53.637044500000009</v>
      </c>
      <c r="N57" s="2073" t="str">
        <f>N58</f>
        <v>NA</v>
      </c>
      <c r="O57" s="2941">
        <f t="shared" si="1"/>
        <v>142.79295785880095</v>
      </c>
    </row>
    <row r="58" spans="2:15" ht="18" customHeight="1" thickBot="1" x14ac:dyDescent="0.25">
      <c r="B58" s="2596" t="s">
        <v>2180</v>
      </c>
      <c r="C58" s="2500">
        <f>'Table2(I).A-H'!H97</f>
        <v>142.79295785880095</v>
      </c>
      <c r="D58" s="2500" t="str">
        <f>'Table2(I).A-H'!I97</f>
        <v>NO</v>
      </c>
      <c r="E58" s="2500" t="str">
        <f>'Table2(I).A-H'!J97</f>
        <v>NO</v>
      </c>
      <c r="F58" s="2500" t="s">
        <v>2146</v>
      </c>
      <c r="G58" s="2500" t="s">
        <v>2146</v>
      </c>
      <c r="H58" s="2500" t="s">
        <v>2146</v>
      </c>
      <c r="I58" s="2500" t="s">
        <v>2146</v>
      </c>
      <c r="J58" s="2500" t="s">
        <v>2146</v>
      </c>
      <c r="K58" s="2912" t="s">
        <v>2147</v>
      </c>
      <c r="L58" s="2912" t="s">
        <v>2147</v>
      </c>
      <c r="M58" s="2912">
        <v>53.637044500000009</v>
      </c>
      <c r="N58" s="2922" t="s">
        <v>2147</v>
      </c>
      <c r="O58" s="2925">
        <f t="shared" si="1"/>
        <v>142.79295785880095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4.2626058374483945E-2</v>
      </c>
      <c r="D10" s="2044">
        <f t="shared" ref="D10:X10" si="0">IF(SUM(D11,D16,D20,D26,D33,D37)=0,"NO",SUM(D11,D16,D20,D26,D33,D37))</f>
        <v>6.6623812985754887</v>
      </c>
      <c r="E10" s="2044" t="str">
        <f t="shared" si="0"/>
        <v>NO</v>
      </c>
      <c r="F10" s="2044">
        <f t="shared" si="0"/>
        <v>9.8906827743391809E-2</v>
      </c>
      <c r="G10" s="2044">
        <f t="shared" si="0"/>
        <v>120.57711238286549</v>
      </c>
      <c r="H10" s="2044">
        <f t="shared" si="0"/>
        <v>0.13499854365401087</v>
      </c>
      <c r="I10" s="2044">
        <f t="shared" si="0"/>
        <v>344.78085849447416</v>
      </c>
      <c r="J10" s="2044" t="str">
        <f t="shared" si="0"/>
        <v>NO</v>
      </c>
      <c r="K10" s="2044">
        <f t="shared" si="0"/>
        <v>11.54138868558414</v>
      </c>
      <c r="L10" s="2044" t="str">
        <f t="shared" si="0"/>
        <v>NO</v>
      </c>
      <c r="M10" s="2044" t="str">
        <f t="shared" si="0"/>
        <v>NO</v>
      </c>
      <c r="N10" s="2044" t="str">
        <f t="shared" si="0"/>
        <v>NO</v>
      </c>
      <c r="O10" s="2044">
        <f t="shared" si="0"/>
        <v>4.0947584578797711</v>
      </c>
      <c r="P10" s="2044" t="str">
        <f t="shared" si="0"/>
        <v>NO</v>
      </c>
      <c r="Q10" s="2044" t="str">
        <f t="shared" si="0"/>
        <v>NO</v>
      </c>
      <c r="R10" s="2044">
        <f t="shared" si="0"/>
        <v>4.3859175975961969E-4</v>
      </c>
      <c r="S10" s="2044" t="str">
        <f t="shared" si="0"/>
        <v>NO</v>
      </c>
      <c r="T10" s="2044" t="str">
        <f t="shared" si="0"/>
        <v>NO</v>
      </c>
      <c r="U10" s="2044" t="str">
        <f t="shared" si="0"/>
        <v>NO</v>
      </c>
      <c r="V10" s="2045" t="str">
        <f t="shared" si="0"/>
        <v>NO</v>
      </c>
      <c r="W10" s="2046"/>
      <c r="X10" s="2044">
        <f t="shared" si="0"/>
        <v>126.92288949074998</v>
      </c>
      <c r="Y10" s="2044">
        <f t="shared" ref="Y10" si="1">IF(SUM(Y11,Y16,Y20,Y26,Y33,Y37)=0,"NO",SUM(Y11,Y16,Y20,Y26,Y33,Y37))</f>
        <v>16.483492140780001</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9.2670624922224096</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126.92288949074998</v>
      </c>
      <c r="Y16" s="2050">
        <f t="shared" ref="Y16" si="35">IF(SUM(Y17:Y19)=0,"NO",SUM(Y17:Y19))</f>
        <v>16.483492140780001</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f t="shared" ref="AJ16" si="44">IF(SUM(AJ17:AJ19)=0,"NO",SUM(AJ17:AJ19))</f>
        <v>0.15</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126.92288949074998</v>
      </c>
      <c r="Y17" s="2050">
        <f>'Table2(II).B-Hs1'!G26</f>
        <v>16.483492140780001</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f>'Table2(II).B-Hs1'!G28</f>
        <v>0.15</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4.2626058374483945E-2</v>
      </c>
      <c r="D26" s="2069">
        <f t="shared" ref="D26:AK26" si="58">IF(SUM(D27:D32)=0,"NO",SUM(D27:D32))</f>
        <v>6.6623812985754887</v>
      </c>
      <c r="E26" s="2069" t="str">
        <f t="shared" si="58"/>
        <v>NO</v>
      </c>
      <c r="F26" s="2069">
        <f t="shared" si="58"/>
        <v>9.8906827743391809E-2</v>
      </c>
      <c r="G26" s="2069">
        <f t="shared" si="58"/>
        <v>120.57711238286549</v>
      </c>
      <c r="H26" s="2069">
        <f t="shared" si="58"/>
        <v>0.13499854365401087</v>
      </c>
      <c r="I26" s="2069">
        <f t="shared" si="58"/>
        <v>344.78085849447416</v>
      </c>
      <c r="J26" s="2069" t="str">
        <f t="shared" si="58"/>
        <v>NO</v>
      </c>
      <c r="K26" s="2069">
        <f t="shared" si="58"/>
        <v>11.54138868558414</v>
      </c>
      <c r="L26" s="2069" t="str">
        <f t="shared" si="58"/>
        <v>NO</v>
      </c>
      <c r="M26" s="2069" t="str">
        <f t="shared" si="58"/>
        <v>NO</v>
      </c>
      <c r="N26" s="2069" t="str">
        <f t="shared" si="58"/>
        <v>NO</v>
      </c>
      <c r="O26" s="2069">
        <f t="shared" si="58"/>
        <v>4.0947584578797711</v>
      </c>
      <c r="P26" s="2069" t="str">
        <f t="shared" si="58"/>
        <v>NO</v>
      </c>
      <c r="Q26" s="2069" t="str">
        <f t="shared" si="58"/>
        <v>NO</v>
      </c>
      <c r="R26" s="2069">
        <f t="shared" si="58"/>
        <v>4.3859175975961969E-4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3.9074604360570753E-2</v>
      </c>
      <c r="D27" s="2044">
        <f>IF(SUM('Table2(II).B-Hs2'!J14:M14,'Table2(II).B-Hs2'!J27:M27,'Table2(II).B-Hs2'!J40:M40,'Table2(II).B-Hs2'!J53:M53,'Table2(II).B-Hs2'!J66:M66,'Table2(II).B-Hs2'!J79:M79)=0,"NO",SUM('Table2(II).B-Hs2'!J14:M14,'Table2(II).B-Hs2'!J27:M27,'Table2(II).B-Hs2'!J40:M40,'Table2(II).B-Hs2'!J53:M53,'Table2(II).B-Hs2'!J66:M66,'Table2(II).B-Hs2'!J79:M79))</f>
        <v>6.1072950037748948</v>
      </c>
      <c r="E27" s="2044" t="s">
        <v>2146</v>
      </c>
      <c r="F27" s="2044">
        <f>IF(SUM('Table2(II).B-Hs2'!J15:M15,'Table2(II).B-Hs2'!J28:M28,'Table2(II).B-Hs2'!J41:M41,'Table2(II).B-Hs2'!J54:M54,'Table2(II).B-Hs2'!J67:M67,'Table2(II).B-Hs2'!J80:M80)=0,"NO",SUM('Table2(II).B-Hs2'!J15:M15,'Table2(II).B-Hs2'!J28:M28,'Table2(II).B-Hs2'!J41:M41,'Table2(II).B-Hs2'!J54:M54,'Table2(II).B-Hs2'!J67:M67,'Table2(II).B-Hs2'!J80:M80))</f>
        <v>9.0666256980157539E-2</v>
      </c>
      <c r="G27" s="2044">
        <f>IF(SUM('Table2(II).B-Hs2'!J16:M16,'Table2(II).B-Hs2'!J29:M29,'Table2(II).B-Hs2'!J42:M42,'Table2(II).B-Hs2'!J55:M55,'Table2(II).B-Hs2'!J68:M68,'Table2(II).B-Hs2'!J81:M81)=0,"NO",SUM('Table2(II).B-Hs2'!J16:M16,'Table2(II).B-Hs2'!J29:M29,'Table2(II).B-Hs2'!J42:M42,'Table2(II).B-Hs2'!J55:M55,'Table2(II).B-Hs2'!J68:M68,'Table2(II).B-Hs2'!J81:M81))</f>
        <v>110.53104933860979</v>
      </c>
      <c r="H27" s="2044">
        <f>IF(SUM('Table2(II).B-Hs2'!J17:M17,'Table2(II).B-Hs2'!J30:M30,'Table2(II).B-Hs2'!J43:M43,'Table2(II).B-Hs2'!J56:M56,'Table2(II).B-Hs2'!J69:M69,'Table2(II).B-Hs2'!J82:M82)=0,"NO",SUM('Table2(II).B-Hs2'!J17:M17,'Table2(II).B-Hs2'!J30:M30,'Table2(II).B-Hs2'!J43:M43,'Table2(II).B-Hs2'!J56:M56,'Table2(II).B-Hs2'!J69:M69,'Table2(II).B-Hs2'!J82:M82))</f>
        <v>0.12375093742402771</v>
      </c>
      <c r="I27" s="2044">
        <f>IF(SUM('Table2(II).B-Hs2'!J18:M18,'Table2(II).B-Hs2'!J31:M31,'Table2(II).B-Hs2'!J44:M44,'Table2(II).B-Hs2'!J57:M57,'Table2(II).B-Hs2'!J70:M70,'Table2(II).B-Hs2'!J83:M83)=0,"NO",SUM('Table2(II).B-Hs2'!J18:M18,'Table2(II).B-Hs2'!J31:M31,'Table2(II).B-Hs2'!J44:M44,'Table2(II).B-Hs2'!J57:M57,'Table2(II).B-Hs2'!J70:M70,'Table2(II).B-Hs2'!J83:M83))</f>
        <v>316.0549239249853</v>
      </c>
      <c r="J27" s="2044" t="s">
        <v>2146</v>
      </c>
      <c r="K27" s="2044">
        <f>IF(SUM('Table2(II).B-Hs2'!J19:M19,'Table2(II).B-Hs2'!J32:M32,'Table2(II).B-Hs2'!J45:M45,'Table2(II).B-Hs2'!J58:M58,'Table2(II).B-Hs2'!J71:M71,'Table2(II).B-Hs2'!J84:M84)=0,"NO",SUM('Table2(II).B-Hs2'!J19:M19,'Table2(II).B-Hs2'!J32:M32,'Table2(II).B-Hs2'!J45:M45,'Table2(II).B-Hs2'!J58:M58,'Table2(II).B-Hs2'!J71:M71,'Table2(II).B-Hs2'!J84:M84))</f>
        <v>10.579800569379476</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3.7535975127723726</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4.0204982918787442E-4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1.2831527745525916E-3</v>
      </c>
      <c r="D28" s="2044">
        <f>IF(SUM('Table2(II).B-Hs2'!J93:M93,'Table2(II).B-Hs2'!J106:M106)=0,"NO",SUM('Table2(II).B-Hs2'!J93:M93,'Table2(II).B-Hs2'!J106:M106))</f>
        <v>0.20055462255716797</v>
      </c>
      <c r="E28" s="2044" t="s">
        <v>2146</v>
      </c>
      <c r="F28" s="2044">
        <f>IF(SUM('Table2(II).B-Hs2'!J94:M94,'Table2(II).B-Hs2'!J107:M107)=0,"NO",SUM('Table2(II).B-Hs2'!J94:M94,'Table2(II).B-Hs2'!J107:M107))</f>
        <v>2.977347080186485E-3</v>
      </c>
      <c r="G28" s="2044">
        <f>IF(SUM('Table2(II).B-Hs2'!J95:M95,'Table2(II).B-Hs2'!J108:M108)=0,"NO",SUM('Table2(II).B-Hs2'!J95:M95,'Table2(II).B-Hs2'!J108:M108))</f>
        <v>3.6296777652382839</v>
      </c>
      <c r="H28" s="2044">
        <f>IF(SUM('Table2(II).B-Hs2'!J96:M96,'Table2(II).B-Hs2'!J109:M109)=0,"NO",SUM('Table2(II).B-Hs2'!J96:M96,'Table2(II).B-Hs2'!J109:M109))</f>
        <v>4.0637995267677699E-3</v>
      </c>
      <c r="I28" s="2044">
        <f>IF(SUM('Table2(II).B-Hs2'!J97:M97,'Table2(II).B-Hs2'!J110:M110)=0,"NO",SUM('Table2(II).B-Hs2'!J97:M97,'Table2(II).B-Hs2'!J110:M110))</f>
        <v>10.3787807754384</v>
      </c>
      <c r="J28" s="2044" t="s">
        <v>2146</v>
      </c>
      <c r="K28" s="2044">
        <f>IF(SUM('Table2(II).B-Hs2'!J98:M98,'Table2(II).B-Hs2'!J111:M111)=0,"NO",SUM('Table2(II).B-Hs2'!J98:M98,'Table2(II).B-Hs2'!J111:M111))</f>
        <v>0.34742515444407351</v>
      </c>
      <c r="L28" s="2044" t="s">
        <v>2146</v>
      </c>
      <c r="M28" s="2044" t="str">
        <f>IF(SUM('Table2(II).B-Hs2'!J99:M99,'Table2(II).B-Hs2'!J112:M112)=0,"NO",SUM('Table2(II).B-Hs2'!J99:M99,'Table2(II).B-Hs2'!J112:M112))</f>
        <v>NO</v>
      </c>
      <c r="N28" s="2044" t="s">
        <v>2146</v>
      </c>
      <c r="O28" s="2044">
        <f>IF(SUM('Table2(II).B-Hs2'!J100:M100,'Table2(II).B-Hs2'!J113:M113)=0,"NO",SUM('Table2(II).B-Hs2'!J100:M100,'Table2(II).B-Hs2'!J113:M113))</f>
        <v>0.12326264441791072</v>
      </c>
      <c r="P28" s="2044" t="s">
        <v>2146</v>
      </c>
      <c r="Q28" s="2044" t="s">
        <v>2146</v>
      </c>
      <c r="R28" s="2044">
        <f>IF(SUM('Table2(II).B-Hs2'!J101:M101,'Table2(II).B-Hs2'!J114:M114)=0,"NO",SUM('Table2(II).B-Hs2'!J101:M101,'Table2(II).B-Hs2'!J114:M114))</f>
        <v>1.3202727507367676E-5</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1.9931179517865806E-4</v>
      </c>
      <c r="D29" s="2044">
        <f>IF(SUM('Table2(II).B-Hs2'!J119:M119)=0,"NO",SUM('Table2(II).B-Hs2'!J119:M119))</f>
        <v>3.1152098679118733E-2</v>
      </c>
      <c r="E29" s="2044" t="s">
        <v>2146</v>
      </c>
      <c r="F29" s="2044">
        <f>IF(SUM('Table2(II).B-Hs2'!J120:M120)=0,"NO",SUM('Table2(II).B-Hs2'!J120:M120))</f>
        <v>4.6247056717686427E-4</v>
      </c>
      <c r="G29" s="2044">
        <f>IF(SUM('Table2(II).B-Hs2'!J121:M121)=0,"NO",SUM('Table2(II).B-Hs2'!J121:M121))</f>
        <v>0.56379692711333562</v>
      </c>
      <c r="H29" s="2044">
        <f>IF(SUM('Table2(II).B-Hs2'!J122:M122)=0,"NO",SUM('Table2(II).B-Hs2'!J122:M122))</f>
        <v>6.3122895027732174E-4</v>
      </c>
      <c r="I29" s="2044">
        <f>IF(SUM('Table2(II).B-Hs2'!J123:M123)=0,"NO",SUM('Table2(II).B-Hs2'!J123:M123))</f>
        <v>1.6121333867197953</v>
      </c>
      <c r="J29" s="2044" t="s">
        <v>2146</v>
      </c>
      <c r="K29" s="2044">
        <f>IF(SUM('Table2(II).B-Hs2'!J124:M124)=0,"NO",SUM('Table2(II).B-Hs2'!J124:M124))</f>
        <v>5.3965461163901864E-2</v>
      </c>
      <c r="L29" s="2044" t="s">
        <v>2146</v>
      </c>
      <c r="M29" s="2044" t="str">
        <f>IF(SUM('Table2(II).B-Hs2'!J125:M125)=0,"NO",SUM('Table2(II).B-Hs2'!J125:M125))</f>
        <v>NO</v>
      </c>
      <c r="N29" s="2044" t="s">
        <v>2146</v>
      </c>
      <c r="O29" s="2044">
        <f>IF(SUM('Table2(II).B-Hs2'!J126:M126)=0,"NO",SUM('Table2(II).B-Hs2'!J126:M126))</f>
        <v>1.9146355309069579E-2</v>
      </c>
      <c r="P29" s="2044" t="s">
        <v>2146</v>
      </c>
      <c r="Q29" s="2044" t="s">
        <v>2146</v>
      </c>
      <c r="R29" s="2044">
        <f>IF(SUM('Table2(II).B-Hs2'!J127:M127)=0,"NO",SUM('Table2(II).B-Hs2'!J127:M127))</f>
        <v>2.0507763166904542E-6</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5.339462064050276E-4</v>
      </c>
      <c r="D30" s="2044">
        <f>IF(SUM('Table2(II).B-Hs2'!J133:M133)=0,"NO",SUM('Table2(II).B-Hs2'!J133:M133))</f>
        <v>8.3454894861393569E-2</v>
      </c>
      <c r="E30" s="2044" t="s">
        <v>2146</v>
      </c>
      <c r="F30" s="2044">
        <f>IF(SUM('Table2(II).B-Hs2'!J134:M134)=0,"NO",SUM('Table2(II).B-Hs2'!J134:M134))</f>
        <v>1.2389352305854375E-3</v>
      </c>
      <c r="G30" s="2044">
        <f>IF(SUM('Table2(II).B-Hs2'!J135:M135)=0,"NO",SUM('Table2(II).B-Hs2'!J135:M135))</f>
        <v>1.5103834178260014</v>
      </c>
      <c r="H30" s="2044">
        <f>IF(SUM('Table2(II).B-Hs2'!J136:M136)=0,"NO",SUM('Table2(II).B-Hs2'!J136:M136))</f>
        <v>1.6910303932162547E-3</v>
      </c>
      <c r="I30" s="2044">
        <f>IF(SUM('Table2(II).B-Hs2'!J137:M137)=0,"NO",SUM('Table2(II).B-Hs2'!J137:M137))</f>
        <v>4.3188237067772715</v>
      </c>
      <c r="J30" s="2044" t="s">
        <v>2146</v>
      </c>
      <c r="K30" s="2044">
        <f>IF(SUM('Table2(II).B-Hs2'!J138:M138)=0,"NO",SUM('Table2(II).B-Hs2'!J138:M138))</f>
        <v>0.14457073772043705</v>
      </c>
      <c r="L30" s="2044" t="s">
        <v>2146</v>
      </c>
      <c r="M30" s="2044" t="str">
        <f>IF(SUM('Table2(II).B-Hs2'!J139:M139)=0,"NO",SUM('Table2(II).B-Hs2'!J139:M139))</f>
        <v>NO</v>
      </c>
      <c r="N30" s="2044" t="s">
        <v>2146</v>
      </c>
      <c r="O30" s="2044">
        <f>IF(SUM('Table2(II).B-Hs2'!J140:M140)=0,"NO",SUM('Table2(II).B-Hs2'!J140:M140))</f>
        <v>5.1292116327569651E-2</v>
      </c>
      <c r="P30" s="2044" t="s">
        <v>2146</v>
      </c>
      <c r="Q30" s="2044" t="s">
        <v>2146</v>
      </c>
      <c r="R30" s="2044">
        <f>IF(SUM('Table2(II).B-Hs2'!J141:M141)=0,"NO",SUM('Table2(II).B-Hs2'!J141:M141))</f>
        <v>5.4939259038864688E-6</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1.5350432377769156E-3</v>
      </c>
      <c r="D31" s="2044">
        <f>IF(SUM('Table2(II).B-Hs2'!J148:M148)=0,"NO",SUM('Table2(II).B-Hs2'!J148:M148))</f>
        <v>0.23992467870291329</v>
      </c>
      <c r="E31" s="2044" t="s">
        <v>2146</v>
      </c>
      <c r="F31" s="2044">
        <f>IF(SUM('Table2(II).B-Hs2'!J149:M149)=0,"NO",SUM('Table2(II).B-Hs2'!J149:M149))</f>
        <v>3.5618178852854787E-3</v>
      </c>
      <c r="G31" s="2044">
        <f>IF(SUM('Table2(II).B-Hs2'!J150:M150)=0,"NO",SUM('Table2(II).B-Hs2'!J150:M150))</f>
        <v>4.3422049340780902</v>
      </c>
      <c r="H31" s="2044">
        <f>IF(SUM('Table2(II).B-Hs2'!J151:M151)=0,"NO",SUM('Table2(II).B-Hs2'!J151:M151))</f>
        <v>4.8615473597218321E-3</v>
      </c>
      <c r="I31" s="2044">
        <f>IF(SUM('Table2(II).B-Hs2'!J152:M152)=0,"NO",SUM('Table2(II).B-Hs2'!J152:M152))</f>
        <v>12.416196700553353</v>
      </c>
      <c r="J31" s="2044" t="s">
        <v>2146</v>
      </c>
      <c r="K31" s="2044">
        <f>IF(SUM('Table2(II).B-Hs2'!J153:M153)=0,"NO",SUM('Table2(II).B-Hs2'!J153:M153))</f>
        <v>0.4156267628762525</v>
      </c>
      <c r="L31" s="2044" t="s">
        <v>2146</v>
      </c>
      <c r="M31" s="2044" t="str">
        <f>IF(SUM('Table2(II).B-Hs2'!J154:M154)=0,"NO",SUM('Table2(II).B-Hs2'!J154:M154))</f>
        <v>NO</v>
      </c>
      <c r="N31" s="2044" t="s">
        <v>2146</v>
      </c>
      <c r="O31" s="2044">
        <f>IF(SUM('Table2(II).B-Hs2'!J155:M155)=0,"NO",SUM('Table2(II).B-Hs2'!J155:M155))</f>
        <v>0.14745982905284918</v>
      </c>
      <c r="P31" s="2044" t="s">
        <v>2146</v>
      </c>
      <c r="Q31" s="2044" t="s">
        <v>2146</v>
      </c>
      <c r="R31" s="2044">
        <f>IF(SUM('Table2(II).B-Hs2'!J156:M156)=0,"NO",SUM('Table2(II).B-Hs2'!J156:M156))</f>
        <v>1.5794500843800625E-5</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9.1170624922224093</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8.471120273133419</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0.6459422190889903</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0.52856312384360093</v>
      </c>
      <c r="D39" s="4196">
        <f t="shared" ref="D39:AK39" si="72">IF(SUM(D40:D45)=0,"NO",SUM(D40:D45))</f>
        <v>4.5104321391356059</v>
      </c>
      <c r="E39" s="4196" t="str">
        <f t="shared" si="72"/>
        <v>NO</v>
      </c>
      <c r="F39" s="4196">
        <f t="shared" si="72"/>
        <v>0.16319626577659649</v>
      </c>
      <c r="G39" s="4196">
        <f t="shared" si="72"/>
        <v>382.22944625368359</v>
      </c>
      <c r="H39" s="4196">
        <f t="shared" si="72"/>
        <v>0.15119836889249216</v>
      </c>
      <c r="I39" s="4196">
        <f t="shared" si="72"/>
        <v>448.21511604281642</v>
      </c>
      <c r="J39" s="4196" t="str">
        <f t="shared" si="72"/>
        <v>NO</v>
      </c>
      <c r="K39" s="4196">
        <f t="shared" si="72"/>
        <v>55.398665690803874</v>
      </c>
      <c r="L39" s="4196" t="str">
        <f t="shared" si="72"/>
        <v>NO</v>
      </c>
      <c r="M39" s="4196" t="str">
        <f t="shared" si="72"/>
        <v>NO</v>
      </c>
      <c r="N39" s="4196" t="str">
        <f t="shared" si="72"/>
        <v>NO</v>
      </c>
      <c r="O39" s="4196">
        <f t="shared" si="72"/>
        <v>13.717440833897234</v>
      </c>
      <c r="P39" s="4196" t="str">
        <f t="shared" si="72"/>
        <v>NO</v>
      </c>
      <c r="Q39" s="4196" t="str">
        <f t="shared" si="72"/>
        <v>NO</v>
      </c>
      <c r="R39" s="4196">
        <f t="shared" si="72"/>
        <v>3.5350495836625347E-3</v>
      </c>
      <c r="S39" s="4196" t="str">
        <f t="shared" si="72"/>
        <v>NO</v>
      </c>
      <c r="T39" s="4196" t="str">
        <f t="shared" si="72"/>
        <v>NO</v>
      </c>
      <c r="U39" s="4196" t="str">
        <f t="shared" si="72"/>
        <v>NO</v>
      </c>
      <c r="V39" s="4196" t="str">
        <f t="shared" si="72"/>
        <v>NO</v>
      </c>
      <c r="W39" s="4196">
        <f t="shared" si="72"/>
        <v>904.91759376843322</v>
      </c>
      <c r="X39" s="4196">
        <f t="shared" si="72"/>
        <v>841.49875732367241</v>
      </c>
      <c r="Y39" s="4196">
        <f t="shared" si="72"/>
        <v>182.96676276265799</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1024.4655200863303</v>
      </c>
      <c r="AI39" s="4197" t="str">
        <f t="shared" si="72"/>
        <v>NO</v>
      </c>
      <c r="AJ39" s="4197">
        <f t="shared" si="72"/>
        <v>217.77596856722661</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841.49875732367241</v>
      </c>
      <c r="Y41" s="4199">
        <f>IF(SUM(Y16)=0,"NO",Y16*11100/1000)</f>
        <v>182.96676276265799</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1024.4655200863303</v>
      </c>
      <c r="AI41" s="4200" t="str">
        <f>IF(SUM(AI16)=0,"NO",AI16*1/1000)</f>
        <v>NO</v>
      </c>
      <c r="AJ41" s="4200">
        <f>IF(SUM(AJ16)=0,"NO",AJ16*23500/1000)</f>
        <v>3.5249999999999999</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0.52856312384360093</v>
      </c>
      <c r="D43" s="4199">
        <f>IF(SUM(D26)=0,"NO",D26*677/1000)</f>
        <v>4.5104321391356059</v>
      </c>
      <c r="E43" s="4199" t="str">
        <f>IF(SUM(E26)=0,"NO",E26*116/1000)</f>
        <v>NO</v>
      </c>
      <c r="F43" s="4199">
        <f>IF(SUM(F26)=0,"NO",F26*1650/1000)</f>
        <v>0.16319626577659649</v>
      </c>
      <c r="G43" s="4199">
        <f>IF(SUM(G26)=0,"NO",G26*3170/1000)</f>
        <v>382.22944625368359</v>
      </c>
      <c r="H43" s="4199">
        <f>IF(SUM(H26)=0,"NO",H26*1120/1000)</f>
        <v>0.15119836889249216</v>
      </c>
      <c r="I43" s="4199">
        <f>IF(SUM(I26)=0,"NO",I26*1300/1000)</f>
        <v>448.21511604281642</v>
      </c>
      <c r="J43" s="4199" t="str">
        <f>IF(SUM(J26)=0,"NO",J26*328/1000)</f>
        <v>NO</v>
      </c>
      <c r="K43" s="4199">
        <f>IF(SUM(K26)=0,"NO",K26*4800/1000)</f>
        <v>55.398665690803874</v>
      </c>
      <c r="L43" s="4199" t="str">
        <f>IF(SUM(L26)=0,"NO",L26*16/1000)</f>
        <v>NO</v>
      </c>
      <c r="M43" s="4199" t="str">
        <f>IF(SUM(M26)=0,"NO",M26*138/1000)</f>
        <v>NO</v>
      </c>
      <c r="N43" s="4199" t="str">
        <f>IF(SUM(N26)=0,"NO",N26*4/1000)</f>
        <v>NO</v>
      </c>
      <c r="O43" s="4199">
        <f>IF(SUM(O26)=0,"NO",O26*3350/1000)</f>
        <v>13.717440833897234</v>
      </c>
      <c r="P43" s="4199" t="str">
        <f>IF(SUM(P26)=0,"NO",P26*1210/1000)</f>
        <v>NO</v>
      </c>
      <c r="Q43" s="4199" t="str">
        <f>IF(SUM(Q26)=0,"NO",Q26*1330/1000)</f>
        <v>NO</v>
      </c>
      <c r="R43" s="4199">
        <f>IF(SUM(R26)=0,"NO",R26*8060/1000)</f>
        <v>3.5350495836625347E-3</v>
      </c>
      <c r="S43" s="4199" t="str">
        <f>IF(SUM(S26)=0,"NO",S26*716/1000)</f>
        <v>NO</v>
      </c>
      <c r="T43" s="4199" t="str">
        <f>IF(SUM(T26)=0,"NO",T26*858/1000)</f>
        <v>NO</v>
      </c>
      <c r="U43" s="4199" t="str">
        <f>IF(SUM(U26)=0,"NO",U26*804/1000)</f>
        <v>NO</v>
      </c>
      <c r="V43" s="4199" t="str">
        <f>IF(SUM(V26)=0,"NO",V26*1/1000)</f>
        <v>NO</v>
      </c>
      <c r="W43" s="4199">
        <f t="shared" si="73"/>
        <v>904.91759376843322</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214.25096856722661</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6439.3317149694603</v>
      </c>
      <c r="I10" s="628"/>
      <c r="J10" s="628"/>
      <c r="K10" s="3192" t="str">
        <f>IF(SUM(K11:K14)=0,"NO",SUM(K11:K14))</f>
        <v>NO</v>
      </c>
      <c r="L10" s="3192" t="str">
        <f>IF(SUM(L11:L14)=0,"NO",SUM(L11:L14))</f>
        <v>NO</v>
      </c>
      <c r="M10" s="628"/>
      <c r="N10" s="1838"/>
    </row>
    <row r="11" spans="2:14" ht="18" customHeight="1" x14ac:dyDescent="0.2">
      <c r="B11" s="287" t="s">
        <v>491</v>
      </c>
      <c r="C11" s="2099" t="s">
        <v>2181</v>
      </c>
      <c r="D11" s="691">
        <v>6369.1769999999997</v>
      </c>
      <c r="E11" s="1913">
        <f>IF(SUM($D11)=0,"NA",H11/$D11)</f>
        <v>0.55266028373838572</v>
      </c>
      <c r="F11" s="628"/>
      <c r="G11" s="628"/>
      <c r="H11" s="3180">
        <v>3519.9911680000005</v>
      </c>
      <c r="I11" s="628"/>
      <c r="J11" s="628"/>
      <c r="K11" s="3180" t="s">
        <v>2146</v>
      </c>
      <c r="L11" s="691" t="s">
        <v>2146</v>
      </c>
      <c r="M11" s="628"/>
      <c r="N11" s="1838"/>
    </row>
    <row r="12" spans="2:14" ht="18" customHeight="1" x14ac:dyDescent="0.2">
      <c r="B12" s="287" t="s">
        <v>492</v>
      </c>
      <c r="C12" s="2100" t="s">
        <v>2182</v>
      </c>
      <c r="D12" s="691">
        <v>1535.268495454982</v>
      </c>
      <c r="E12" s="1913">
        <f>IF(SUM($D12)=0,"NA",H12/$D12)</f>
        <v>0.74884361082042417</v>
      </c>
      <c r="F12" s="628"/>
      <c r="G12" s="628"/>
      <c r="H12" s="3180">
        <v>1149.6760037153488</v>
      </c>
      <c r="I12" s="628"/>
      <c r="J12" s="628"/>
      <c r="K12" s="3180" t="s">
        <v>2146</v>
      </c>
      <c r="L12" s="691" t="s">
        <v>2146</v>
      </c>
      <c r="M12" s="628"/>
      <c r="N12" s="1838"/>
    </row>
    <row r="13" spans="2:14" ht="18" customHeight="1" x14ac:dyDescent="0.2">
      <c r="B13" s="287" t="s">
        <v>493</v>
      </c>
      <c r="C13" s="2100" t="s">
        <v>2267</v>
      </c>
      <c r="D13" s="691">
        <v>292.94795576288277</v>
      </c>
      <c r="E13" s="1913">
        <f>IF(SUM($D13)=0,"NA",H13/$D13)</f>
        <v>0.39573900000000006</v>
      </c>
      <c r="F13" s="628"/>
      <c r="G13" s="628"/>
      <c r="H13" s="3180">
        <v>115.93093106564748</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1653.7336121884637</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33.822554772933337</v>
      </c>
      <c r="I15" s="628"/>
      <c r="J15" s="628"/>
      <c r="K15" s="3180" t="s">
        <v>2146</v>
      </c>
      <c r="L15" s="691" t="s">
        <v>2146</v>
      </c>
      <c r="M15" s="628"/>
      <c r="N15" s="1838"/>
    </row>
    <row r="16" spans="2:14" ht="18" customHeight="1" x14ac:dyDescent="0.2">
      <c r="B16" s="160" t="s">
        <v>496</v>
      </c>
      <c r="C16" s="484" t="s">
        <v>2316</v>
      </c>
      <c r="D16" s="2905">
        <v>326.54309699999999</v>
      </c>
      <c r="E16" s="1913">
        <f>IF(SUM($D16)=0,"NA",H16/$D16)</f>
        <v>0.41492000000000007</v>
      </c>
      <c r="F16" s="628"/>
      <c r="G16" s="628"/>
      <c r="H16" s="3180">
        <v>135.48926180724001</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1484.4217956082903</v>
      </c>
      <c r="I18" s="628"/>
      <c r="J18" s="628"/>
      <c r="K18" s="3181" t="str">
        <f>K19</f>
        <v>NO</v>
      </c>
      <c r="L18" s="3193" t="str">
        <f>L19</f>
        <v>NO</v>
      </c>
      <c r="M18" s="628"/>
      <c r="N18" s="1838"/>
    </row>
    <row r="19" spans="2:14" ht="18" customHeight="1" x14ac:dyDescent="0.2">
      <c r="B19" s="3182" t="s">
        <v>2265</v>
      </c>
      <c r="C19" s="484" t="s">
        <v>2267</v>
      </c>
      <c r="D19" s="2905">
        <v>2454.7917187471176</v>
      </c>
      <c r="E19" s="1913">
        <f>IF(SUM($D19)=0,"NA",H19/$D19)</f>
        <v>0.41405172760112618</v>
      </c>
      <c r="F19" s="628"/>
      <c r="G19" s="628"/>
      <c r="H19" s="3180">
        <v>1016.4107520481818</v>
      </c>
      <c r="I19" s="628"/>
      <c r="J19" s="628"/>
      <c r="K19" s="3180" t="s">
        <v>2146</v>
      </c>
      <c r="L19" s="3180" t="s">
        <v>2146</v>
      </c>
      <c r="M19" s="628"/>
      <c r="N19" s="1838"/>
    </row>
    <row r="20" spans="2:14" ht="18" customHeight="1" x14ac:dyDescent="0.2">
      <c r="B20" s="3183" t="s">
        <v>2264</v>
      </c>
      <c r="C20" s="484" t="s">
        <v>2267</v>
      </c>
      <c r="D20" s="2905">
        <v>413.56184056799327</v>
      </c>
      <c r="E20" s="1913">
        <f>IF(SUM($D20)=0,"NA",H20/$D20)</f>
        <v>0.51128294984169598</v>
      </c>
      <c r="F20" s="628"/>
      <c r="G20" s="628"/>
      <c r="H20" s="3180">
        <v>211.44711778756479</v>
      </c>
      <c r="I20" s="628"/>
      <c r="J20" s="628"/>
      <c r="K20" s="3180" t="s">
        <v>2146</v>
      </c>
      <c r="L20" s="3180" t="s">
        <v>2146</v>
      </c>
      <c r="M20" s="2135"/>
      <c r="N20" s="2149"/>
    </row>
    <row r="21" spans="2:14" ht="18" customHeight="1" thickBot="1" x14ac:dyDescent="0.25">
      <c r="B21" s="3183" t="s">
        <v>2266</v>
      </c>
      <c r="C21" s="484" t="s">
        <v>2267</v>
      </c>
      <c r="D21" s="2905">
        <v>1088.2393842555555</v>
      </c>
      <c r="E21" s="1913">
        <f>IF(SUM($D21)=0,"NA",H21/$D21)</f>
        <v>0.2357605591972341</v>
      </c>
      <c r="F21" s="628"/>
      <c r="G21" s="628"/>
      <c r="H21" s="3180">
        <v>256.56392577254348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1746.4787419780735</v>
      </c>
      <c r="I22" s="3067">
        <f>IF(SUM(I23:I26,I30,I33:I35,I47)=0,"IE",SUM(I23:I26,I30,I33:I35,I47))</f>
        <v>0.48208379999999995</v>
      </c>
      <c r="J22" s="3067">
        <f>IF(SUM(J23:J26,J30,J33:J35,J47)=0,"IE",SUM(J23:J26,J30,J33:J35,J47))</f>
        <v>5.4660888764516145</v>
      </c>
      <c r="K22" s="3067">
        <f>IF(SUM(K23:K26,K30,K33:K35,K47)=0,"NO",SUM(K23:K26,K30,K33:K35,K47))</f>
        <v>-154.94381904907399</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538.36740178599996</v>
      </c>
      <c r="E23" s="1913">
        <f>IF(SUM($D23)=0,"NA",H23/$D23)</f>
        <v>1.4375691542137916</v>
      </c>
      <c r="F23" s="1913" t="str">
        <f>IFERROR(IF(SUM($D23)=0,"NA",I23/$D23),"NA")</f>
        <v>NA</v>
      </c>
      <c r="G23" s="1913" t="str">
        <f>IFERROR(IF(SUM($D23)=0,"NA",J23/$D23),"NA")</f>
        <v>NA</v>
      </c>
      <c r="H23" s="691">
        <v>773.94037044177651</v>
      </c>
      <c r="I23" s="691" t="s">
        <v>2146</v>
      </c>
      <c r="J23" s="691" t="s">
        <v>2146</v>
      </c>
      <c r="K23" s="3180">
        <v>-154.94381904907399</v>
      </c>
      <c r="L23" s="691" t="s">
        <v>2146</v>
      </c>
      <c r="M23" s="691" t="s">
        <v>2146</v>
      </c>
      <c r="N23" s="2911" t="s">
        <v>2146</v>
      </c>
    </row>
    <row r="24" spans="2:14" ht="18" customHeight="1" x14ac:dyDescent="0.2">
      <c r="B24" s="287" t="s">
        <v>500</v>
      </c>
      <c r="C24" s="484" t="s">
        <v>220</v>
      </c>
      <c r="D24" s="691">
        <v>505.81099999999998</v>
      </c>
      <c r="E24" s="2108"/>
      <c r="F24" s="2108"/>
      <c r="G24" s="1913">
        <f>IF(SUM($D24)=0,"NA",J24/$D24)</f>
        <v>1.0806583637863975E-2</v>
      </c>
      <c r="H24" s="2108"/>
      <c r="I24" s="2108"/>
      <c r="J24" s="691">
        <v>5.4660888764516145</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802.11872141388608</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0.48208379999999995</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0.48208379999999995</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0.48208379999999995</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0.48208379999999995</v>
      </c>
      <c r="J46" s="628"/>
      <c r="K46" s="691" t="s">
        <v>2146</v>
      </c>
      <c r="L46" s="691" t="s">
        <v>2146</v>
      </c>
      <c r="M46" s="691" t="s">
        <v>2146</v>
      </c>
      <c r="N46" s="1838"/>
    </row>
    <row r="47" spans="2:16" ht="18" customHeight="1" x14ac:dyDescent="0.2">
      <c r="B47" s="287" t="s">
        <v>520</v>
      </c>
      <c r="C47" s="2104"/>
      <c r="D47" s="628"/>
      <c r="E47" s="628"/>
      <c r="F47" s="628"/>
      <c r="G47" s="628"/>
      <c r="H47" s="3198">
        <f>H50</f>
        <v>123.5585771224107</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123.5585771224107</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123.5585771224107</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13745.157397730105</v>
      </c>
      <c r="I52" s="3192">
        <f>IF(SUM(I53,I62:I67)=0,"IE",SUM(I53,I62:I67))</f>
        <v>3.3558616129081629</v>
      </c>
      <c r="J52" s="1909">
        <f>J67</f>
        <v>8.5576927290555119E-2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1685.9999999999998</v>
      </c>
      <c r="E63" s="4130">
        <f>IF(SUM($D63)=0,"NA",H63/$D63)</f>
        <v>1.6401818104570758</v>
      </c>
      <c r="F63" s="1892"/>
      <c r="G63" s="2107"/>
      <c r="H63" s="691">
        <v>2765.3465324306294</v>
      </c>
      <c r="I63" s="1879"/>
      <c r="J63" s="2108"/>
      <c r="K63" s="3180" t="s">
        <v>2146</v>
      </c>
      <c r="L63" s="691" t="s">
        <v>2146</v>
      </c>
      <c r="M63" s="3119"/>
      <c r="N63" s="2109"/>
    </row>
    <row r="64" spans="2:14" s="83" customFormat="1" ht="18" customHeight="1" x14ac:dyDescent="0.2">
      <c r="B64" s="1283" t="s">
        <v>533</v>
      </c>
      <c r="C64" s="2604" t="s">
        <v>2188</v>
      </c>
      <c r="D64" s="277">
        <v>0.15</v>
      </c>
      <c r="E64" s="276" t="e">
        <f>IF(SUM($D64)=0,"NA",H64/$D64)</f>
        <v>#VALUE!</v>
      </c>
      <c r="F64" s="1892"/>
      <c r="G64" s="2107"/>
      <c r="H64" s="691" t="str">
        <f>IF(D64="NO","NO","NA")</f>
        <v>NA</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10979.810865299476</v>
      </c>
      <c r="I67" s="3199">
        <f t="shared" ref="I67:N67" si="8">IF(SUM(I69:I70)=0,I70,SUM(I69:I70))</f>
        <v>3.3558616129081629</v>
      </c>
      <c r="J67" s="3199">
        <f t="shared" si="8"/>
        <v>8.5576927290555119E-2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10979.810865299476</v>
      </c>
      <c r="I70" s="3095">
        <f t="shared" si="9"/>
        <v>3.3558616129081629</v>
      </c>
      <c r="J70" s="3095">
        <f t="shared" si="9"/>
        <v>8.5576927290555119E-2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10979.810865299476</v>
      </c>
      <c r="I71" s="3123">
        <v>3.3558616129081629</v>
      </c>
      <c r="J71" s="3123">
        <v>8.5576927290555119E-2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270.21861749999999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502.57731960200005</v>
      </c>
      <c r="E73" s="4130">
        <f t="shared" ref="E73:G74" si="11">IF(SUM($D73)=0,"NA",H73/$D73)</f>
        <v>0.53766576198462546</v>
      </c>
      <c r="F73" s="276" t="s">
        <v>2147</v>
      </c>
      <c r="G73" s="276" t="s">
        <v>2147</v>
      </c>
      <c r="H73" s="3122">
        <v>270.21861749999999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309.702272727273</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142.79295785880095</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142.79295785880095</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143.55638163153</v>
      </c>
      <c r="H22" s="2611" t="str">
        <f>H23</f>
        <v>NO</v>
      </c>
    </row>
    <row r="23" spans="2:8" ht="18" customHeight="1" x14ac:dyDescent="0.2">
      <c r="B23" s="169" t="s">
        <v>636</v>
      </c>
      <c r="C23" s="2507"/>
      <c r="D23" s="76"/>
      <c r="E23" s="76"/>
      <c r="F23" s="4322"/>
      <c r="G23" s="3188">
        <f>IF(SUM(G24,G27)=0,"NO",SUM(G24,G27))</f>
        <v>143.40638163153</v>
      </c>
      <c r="H23" s="2611" t="str">
        <f>H24</f>
        <v>NO</v>
      </c>
    </row>
    <row r="24" spans="2:8" ht="18" customHeight="1" x14ac:dyDescent="0.2">
      <c r="B24" s="171" t="s">
        <v>637</v>
      </c>
      <c r="C24" s="2507"/>
      <c r="D24" s="76"/>
      <c r="E24" s="76"/>
      <c r="F24" s="4322"/>
      <c r="G24" s="3188">
        <f>IF(SUM(G25:G26)=0,"NO",SUM(G25:G26))</f>
        <v>143.40638163153</v>
      </c>
      <c r="H24" s="2611" t="str">
        <f>H25</f>
        <v>NO</v>
      </c>
    </row>
    <row r="25" spans="2:8" ht="18" customHeight="1" x14ac:dyDescent="0.25">
      <c r="B25" s="2609" t="s">
        <v>1741</v>
      </c>
      <c r="C25" s="2620" t="s">
        <v>1741</v>
      </c>
      <c r="D25" s="73" t="s">
        <v>638</v>
      </c>
      <c r="E25" s="691">
        <v>1685999.9999999998</v>
      </c>
      <c r="F25" s="4320">
        <f t="shared" ref="F25:F28" si="2">IF(SUM(E25)=0,"NA",G25*1000/E25)</f>
        <v>7.5280480124999993E-2</v>
      </c>
      <c r="G25" s="691">
        <v>126.92288949074998</v>
      </c>
      <c r="H25" s="2610" t="s">
        <v>2146</v>
      </c>
    </row>
    <row r="26" spans="2:8" ht="18" customHeight="1" x14ac:dyDescent="0.25">
      <c r="B26" s="2609" t="s">
        <v>1742</v>
      </c>
      <c r="C26" s="2620" t="s">
        <v>1742</v>
      </c>
      <c r="D26" s="73" t="s">
        <v>638</v>
      </c>
      <c r="E26" s="691">
        <v>1685999.9999999998</v>
      </c>
      <c r="F26" s="4320">
        <f t="shared" si="2"/>
        <v>9.7766857300000017E-3</v>
      </c>
      <c r="G26" s="691">
        <v>16.483492140780001</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v>0.15</v>
      </c>
      <c r="F28" s="4320">
        <f t="shared" si="2"/>
        <v>1000</v>
      </c>
      <c r="G28" s="691">
        <v>0.15</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32.887841482299166</v>
      </c>
      <c r="K10" s="3224">
        <f>IF(SUM(K11,K90,K117,K130,K146,K159)=0,"NO",SUM(K11,K90,K117,K130,K146,K159))</f>
        <v>447.2188620001192</v>
      </c>
      <c r="L10" s="3225">
        <f>IF(SUM(L11,L90,L117,L130,L146,L159)=0,"NO",SUM(L11,L90,L117,L130,L146,L159))</f>
        <v>20.866424836894389</v>
      </c>
      <c r="M10" s="3498">
        <f>IF(SUM(M11,M90,M117,M130,M146,M159)=0,"NO",SUM(M11,M90,M117,M130,M146,M159))</f>
        <v>-13.03965897840197</v>
      </c>
    </row>
    <row r="11" spans="1:13" ht="18" customHeight="1" x14ac:dyDescent="0.2">
      <c r="B11" s="147" t="s">
        <v>667</v>
      </c>
      <c r="C11" s="2508"/>
      <c r="D11" s="2108"/>
      <c r="E11" s="2108"/>
      <c r="F11" s="2108"/>
      <c r="G11" s="2108"/>
      <c r="H11" s="2108"/>
      <c r="I11" s="2108"/>
      <c r="J11" s="3103">
        <f>IF(SUM(J12,J25,J38,J51,J64,J77)=0,"NO",SUM(J12,J25,J38,J51,J64,J77))</f>
        <v>18.675839244605235</v>
      </c>
      <c r="K11" s="3103">
        <f t="shared" ref="K11:M11" si="0">IF(SUM(K12,K25,K38,K51,K64,K77)=0,"NO",SUM(K12,K25,K38,K51,K64,K77))</f>
        <v>424.67526510442553</v>
      </c>
      <c r="L11" s="3103">
        <f t="shared" si="0"/>
        <v>16.969114827487097</v>
      </c>
      <c r="M11" s="3226">
        <f t="shared" si="0"/>
        <v>-13.03965897840197</v>
      </c>
    </row>
    <row r="12" spans="1:13" ht="18" customHeight="1" x14ac:dyDescent="0.2">
      <c r="B12" s="104" t="s">
        <v>668</v>
      </c>
      <c r="C12" s="2508"/>
      <c r="D12" s="2108"/>
      <c r="E12" s="2108"/>
      <c r="F12" s="2108"/>
      <c r="G12" s="2108"/>
      <c r="H12" s="2108"/>
      <c r="I12" s="2108"/>
      <c r="J12" s="3103">
        <f>IF(SUM(J13:J24)=0,"NO",SUM(J13:J24))</f>
        <v>11.851683795523826</v>
      </c>
      <c r="K12" s="3103">
        <f>IF(SUM(K13:K24)=0,"NO",SUM(K13:K24))</f>
        <v>188.24360566265739</v>
      </c>
      <c r="L12" s="3103">
        <f>IF(SUM(L13:L24)=0,"NO",SUM(L13:L24))</f>
        <v>7.4412752435609741E-14</v>
      </c>
      <c r="M12" s="3226" t="str">
        <f>IF(SUM(M13:M24)=0,"NO",SUM(M13:M24))</f>
        <v>NO</v>
      </c>
    </row>
    <row r="13" spans="1:13" ht="18" customHeight="1" x14ac:dyDescent="0.2">
      <c r="B13" s="2616" t="s">
        <v>559</v>
      </c>
      <c r="C13" s="2618" t="s">
        <v>559</v>
      </c>
      <c r="D13" s="3227">
        <v>5.916386990643549E-2</v>
      </c>
      <c r="E13" s="3227">
        <v>0.13986611348420688</v>
      </c>
      <c r="F13" s="3227" t="s">
        <v>2146</v>
      </c>
      <c r="G13" s="3103">
        <f>IF(SUM(D13)=0,"NA",J13/D13)</f>
        <v>1.7500000000000002E-2</v>
      </c>
      <c r="H13" s="3103">
        <f>IF(SUM(E13)=0,"NA",K13/E13)</f>
        <v>0.11757697753039302</v>
      </c>
      <c r="I13" s="3103" t="str">
        <f>IF(SUM(F13)=0,"NA",(SUM(L13:M13))/F13)</f>
        <v>NA</v>
      </c>
      <c r="J13" s="3227">
        <v>1.0353677233626212E-3</v>
      </c>
      <c r="K13" s="3227">
        <v>1.6445034882395994E-2</v>
      </c>
      <c r="L13" s="3227" t="s">
        <v>2146</v>
      </c>
      <c r="M13" s="3497" t="s">
        <v>2146</v>
      </c>
    </row>
    <row r="14" spans="1:13" ht="18" customHeight="1" x14ac:dyDescent="0.2">
      <c r="B14" s="2616" t="s">
        <v>560</v>
      </c>
      <c r="C14" s="2618" t="s">
        <v>560</v>
      </c>
      <c r="D14" s="3227">
        <v>9.2472134522281166</v>
      </c>
      <c r="E14" s="3227">
        <v>21.86083851795734</v>
      </c>
      <c r="F14" s="3227" t="s">
        <v>2146</v>
      </c>
      <c r="G14" s="3103">
        <f t="shared" ref="G14:G24" si="1">IF(SUM(D14)=0,"NA",J14/D14)</f>
        <v>1.7500000000000002E-2</v>
      </c>
      <c r="H14" s="3103">
        <f t="shared" ref="H14:H24" si="2">IF(SUM(E14)=0,"NA",K14/E14)</f>
        <v>0.11757697753039302</v>
      </c>
      <c r="I14" s="3103" t="str">
        <f t="shared" ref="I14:I78" si="3">IF(SUM(F14)=0,"NA",(SUM(L14:M14))/F14)</f>
        <v>NA</v>
      </c>
      <c r="J14" s="3227">
        <v>0.16182623541399205</v>
      </c>
      <c r="K14" s="3227">
        <v>2.5703313192214203</v>
      </c>
      <c r="L14" s="3227">
        <v>8.8817841970012523E-16</v>
      </c>
      <c r="M14" s="3497" t="s">
        <v>2146</v>
      </c>
    </row>
    <row r="15" spans="1:13" ht="18" customHeight="1" x14ac:dyDescent="0.2">
      <c r="B15" s="2616" t="s">
        <v>562</v>
      </c>
      <c r="C15" s="2618" t="s">
        <v>562</v>
      </c>
      <c r="D15" s="3227">
        <v>0.13728012658498831</v>
      </c>
      <c r="E15" s="3227">
        <v>0.32453654222462736</v>
      </c>
      <c r="F15" s="3227" t="s">
        <v>2146</v>
      </c>
      <c r="G15" s="3103">
        <f t="shared" ref="G15" si="4">IF(SUM(D15)=0,"NA",J15/D15)</f>
        <v>1.7500000000000002E-2</v>
      </c>
      <c r="H15" s="3103">
        <f t="shared" ref="H15" si="5">IF(SUM(E15)=0,"NA",K15/E15)</f>
        <v>0.11757697753039299</v>
      </c>
      <c r="I15" s="3103" t="str">
        <f t="shared" si="3"/>
        <v>NA</v>
      </c>
      <c r="J15" s="3227">
        <v>2.4024022152372955E-3</v>
      </c>
      <c r="K15" s="3227">
        <v>3.8158025732936446E-2</v>
      </c>
      <c r="L15" s="3227">
        <v>1.3877787807814457E-17</v>
      </c>
      <c r="M15" s="3497" t="s">
        <v>2146</v>
      </c>
    </row>
    <row r="16" spans="1:13" ht="18" customHeight="1" x14ac:dyDescent="0.2">
      <c r="B16" s="2616" t="s">
        <v>563</v>
      </c>
      <c r="C16" s="2618" t="s">
        <v>563</v>
      </c>
      <c r="D16" s="3227">
        <v>167.35792289403469</v>
      </c>
      <c r="E16" s="3227">
        <v>395.64183805076027</v>
      </c>
      <c r="F16" s="3227" t="s">
        <v>2146</v>
      </c>
      <c r="G16" s="3103">
        <f t="shared" si="1"/>
        <v>1.7500000000000005E-2</v>
      </c>
      <c r="H16" s="3103">
        <f t="shared" si="2"/>
        <v>0.11757697753039302</v>
      </c>
      <c r="I16" s="3103" t="str">
        <f t="shared" si="3"/>
        <v>NA</v>
      </c>
      <c r="J16" s="3227">
        <v>2.9287636506456076</v>
      </c>
      <c r="K16" s="3227">
        <v>46.518371502577637</v>
      </c>
      <c r="L16" s="3227">
        <v>1.4210854715202004E-14</v>
      </c>
      <c r="M16" s="3497" t="s">
        <v>2146</v>
      </c>
    </row>
    <row r="17" spans="2:13" ht="18" customHeight="1" x14ac:dyDescent="0.2">
      <c r="B17" s="2616" t="s">
        <v>564</v>
      </c>
      <c r="C17" s="2618" t="s">
        <v>564</v>
      </c>
      <c r="D17" s="3227">
        <v>0.18737449764027936</v>
      </c>
      <c r="E17" s="3227">
        <v>0.44296194269318562</v>
      </c>
      <c r="F17" s="3227" t="s">
        <v>2146</v>
      </c>
      <c r="G17" s="3103">
        <f t="shared" si="1"/>
        <v>1.7499999999999998E-2</v>
      </c>
      <c r="H17" s="3103">
        <f t="shared" si="2"/>
        <v>0.11757697753039301</v>
      </c>
      <c r="I17" s="3103" t="str">
        <f t="shared" si="3"/>
        <v>NA</v>
      </c>
      <c r="J17" s="3227">
        <v>3.2790537087048887E-3</v>
      </c>
      <c r="K17" s="3227">
        <v>5.208212638285592E-2</v>
      </c>
      <c r="L17" s="3227">
        <v>1.3877787807814457E-17</v>
      </c>
      <c r="M17" s="3497" t="s">
        <v>2146</v>
      </c>
    </row>
    <row r="18" spans="2:13" ht="18" customHeight="1" x14ac:dyDescent="0.2">
      <c r="B18" s="2616" t="s">
        <v>565</v>
      </c>
      <c r="C18" s="2618" t="s">
        <v>565</v>
      </c>
      <c r="D18" s="3227">
        <v>478.5469413800372</v>
      </c>
      <c r="E18" s="3227">
        <v>1131.3070107893645</v>
      </c>
      <c r="F18" s="3227" t="s">
        <v>2146</v>
      </c>
      <c r="G18" s="3103">
        <f t="shared" si="1"/>
        <v>1.7500000000000002E-2</v>
      </c>
      <c r="H18" s="3103">
        <f t="shared" si="2"/>
        <v>0.11757697753039299</v>
      </c>
      <c r="I18" s="3103" t="str">
        <f t="shared" si="3"/>
        <v>NA</v>
      </c>
      <c r="J18" s="3227">
        <v>8.3745714741506525</v>
      </c>
      <c r="K18" s="3227">
        <v>133.01565898755717</v>
      </c>
      <c r="L18" s="3227">
        <v>5.6843418860808015E-14</v>
      </c>
      <c r="M18" s="3497" t="s">
        <v>2146</v>
      </c>
    </row>
    <row r="19" spans="2:13" ht="18" customHeight="1" x14ac:dyDescent="0.2">
      <c r="B19" s="2616" t="s">
        <v>567</v>
      </c>
      <c r="C19" s="2618" t="s">
        <v>567</v>
      </c>
      <c r="D19" s="3227">
        <v>16.019149899683242</v>
      </c>
      <c r="E19" s="3227">
        <v>37.870008187985441</v>
      </c>
      <c r="F19" s="3227" t="s">
        <v>2146</v>
      </c>
      <c r="G19" s="3103">
        <f t="shared" si="1"/>
        <v>1.7500000000000002E-2</v>
      </c>
      <c r="H19" s="3103">
        <f t="shared" si="2"/>
        <v>0.11757697753039302</v>
      </c>
      <c r="I19" s="3103" t="str">
        <f t="shared" si="3"/>
        <v>NA</v>
      </c>
      <c r="J19" s="3227">
        <v>0.28033512324445675</v>
      </c>
      <c r="K19" s="3227">
        <v>4.4526411017945637</v>
      </c>
      <c r="L19" s="3227">
        <v>1.7763568394002505E-15</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5.6834191557644385</v>
      </c>
      <c r="E21" s="3227">
        <v>13.435864656513921</v>
      </c>
      <c r="F21" s="3227" t="s">
        <v>2146</v>
      </c>
      <c r="G21" s="3103">
        <f t="shared" si="1"/>
        <v>1.7500000000000002E-2</v>
      </c>
      <c r="H21" s="3103">
        <f t="shared" si="2"/>
        <v>0.11757697753039301</v>
      </c>
      <c r="I21" s="3103" t="str">
        <f t="shared" si="3"/>
        <v>NA</v>
      </c>
      <c r="J21" s="3227">
        <v>9.9459835225877688E-2</v>
      </c>
      <c r="K21" s="3227">
        <v>1.5797483568203388</v>
      </c>
      <c r="L21" s="3227">
        <v>6.6613381477509392E-16</v>
      </c>
      <c r="M21" s="3497" t="s">
        <v>2146</v>
      </c>
    </row>
    <row r="22" spans="2:13" ht="18" customHeight="1" x14ac:dyDescent="0.2">
      <c r="B22" s="2616" t="s">
        <v>574</v>
      </c>
      <c r="C22" s="2618" t="s">
        <v>574</v>
      </c>
      <c r="D22" s="3227">
        <v>6.0875405341221376E-4</v>
      </c>
      <c r="E22" s="3227">
        <v>0.50546858608065093</v>
      </c>
      <c r="F22" s="3227" t="s">
        <v>2146</v>
      </c>
      <c r="G22" s="3103">
        <f t="shared" si="1"/>
        <v>1.7500000000000002E-2</v>
      </c>
      <c r="H22" s="3103">
        <f t="shared" si="2"/>
        <v>3.3475411274413959E-4</v>
      </c>
      <c r="I22" s="3103" t="str">
        <f t="shared" si="3"/>
        <v>NA</v>
      </c>
      <c r="J22" s="3227">
        <v>1.0653195934713742E-5</v>
      </c>
      <c r="K22" s="3227">
        <v>1.6920768805346305E-4</v>
      </c>
      <c r="L22" s="3227">
        <v>5.4210108624275222E-20</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0.16173478604737532</v>
      </c>
      <c r="K25" s="3103">
        <f>IF(SUM(K26:K37)=0,"NO",SUM(K26:K37))</f>
        <v>5.1816185577328193</v>
      </c>
      <c r="L25" s="3103">
        <f>IF(SUM(L26:L37)=0,"NO",SUM(L26:L37))</f>
        <v>2.5102051234819984</v>
      </c>
      <c r="M25" s="3226">
        <f>IF(SUM(M26:M37)=0,"NO",SUM(M26:M37))</f>
        <v>-0.57585602385695811</v>
      </c>
    </row>
    <row r="26" spans="2:13" ht="18" customHeight="1" x14ac:dyDescent="0.2">
      <c r="B26" s="2616" t="s">
        <v>559</v>
      </c>
      <c r="C26" s="2618" t="s">
        <v>559</v>
      </c>
      <c r="D26" s="3227">
        <v>2.3548690085940429E-3</v>
      </c>
      <c r="E26" s="3227">
        <v>2.8530682917656074E-2</v>
      </c>
      <c r="F26" s="3227">
        <v>2.6959950665279717E-4</v>
      </c>
      <c r="G26" s="3103">
        <f>IF(SUM(D26)=0,"NA",J26/D26)</f>
        <v>5.9999999999999984E-3</v>
      </c>
      <c r="H26" s="3103">
        <f>IF(SUM(E26)=0,"NA",K26/E26)</f>
        <v>1.5866014194350058E-2</v>
      </c>
      <c r="I26" s="3103">
        <f t="shared" si="3"/>
        <v>0.62680193530610617</v>
      </c>
      <c r="J26" s="3227">
        <v>1.4129214051564254E-5</v>
      </c>
      <c r="K26" s="3227">
        <v>4.5266822014603198E-4</v>
      </c>
      <c r="L26" s="3227">
        <v>2.1929249959017094E-4</v>
      </c>
      <c r="M26" s="3497">
        <v>-5.0307007062626225E-5</v>
      </c>
    </row>
    <row r="27" spans="2:13" ht="18" customHeight="1" x14ac:dyDescent="0.2">
      <c r="B27" s="2616" t="s">
        <v>560</v>
      </c>
      <c r="C27" s="2618" t="s">
        <v>560</v>
      </c>
      <c r="D27" s="3227">
        <v>0.36806206911318451</v>
      </c>
      <c r="E27" s="3227">
        <v>4.4592977993940588</v>
      </c>
      <c r="F27" s="3227">
        <v>4.2137949876781655E-2</v>
      </c>
      <c r="G27" s="3103">
        <f t="shared" ref="G27:G37" si="6">IF(SUM(D27)=0,"NA",J27/D27)</f>
        <v>6.0000000000000001E-3</v>
      </c>
      <c r="H27" s="3103">
        <f t="shared" ref="H27:H37" si="7">IF(SUM(E27)=0,"NA",K27/E27)</f>
        <v>1.5866014194350055E-2</v>
      </c>
      <c r="I27" s="3103">
        <f t="shared" si="3"/>
        <v>0.62680193530610651</v>
      </c>
      <c r="J27" s="3227">
        <v>2.2083724146791071E-3</v>
      </c>
      <c r="K27" s="3227">
        <v>7.0751282182020106E-2</v>
      </c>
      <c r="L27" s="3227">
        <v>3.4275049204690058E-2</v>
      </c>
      <c r="M27" s="3497">
        <v>-7.8629006720916071E-3</v>
      </c>
    </row>
    <row r="28" spans="2:13" ht="18" customHeight="1" x14ac:dyDescent="0.2">
      <c r="B28" s="2616" t="s">
        <v>562</v>
      </c>
      <c r="C28" s="2618" t="s">
        <v>562</v>
      </c>
      <c r="D28" s="3227">
        <v>5.4640900958997608E-3</v>
      </c>
      <c r="E28" s="3227">
        <v>6.6200804117209286E-2</v>
      </c>
      <c r="F28" s="3227">
        <v>6.2556175684715641E-4</v>
      </c>
      <c r="G28" s="3103">
        <f t="shared" si="6"/>
        <v>5.9999999999999993E-3</v>
      </c>
      <c r="H28" s="3103">
        <f t="shared" si="7"/>
        <v>1.5866014194350058E-2</v>
      </c>
      <c r="I28" s="3103">
        <f t="shared" si="3"/>
        <v>0.62680193530610573</v>
      </c>
      <c r="J28" s="3227">
        <v>3.2784540575398562E-5</v>
      </c>
      <c r="K28" s="3227">
        <v>1.0503428978010303E-3</v>
      </c>
      <c r="L28" s="3227">
        <v>5.0883253834622065E-4</v>
      </c>
      <c r="M28" s="3497">
        <v>-1.1672921850093547E-4</v>
      </c>
    </row>
    <row r="29" spans="2:13" ht="18" customHeight="1" x14ac:dyDescent="0.2">
      <c r="B29" s="2616" t="s">
        <v>563</v>
      </c>
      <c r="C29" s="2618" t="s">
        <v>563</v>
      </c>
      <c r="D29" s="3227">
        <v>6.6612611140733584</v>
      </c>
      <c r="E29" s="3227">
        <v>80.705265551397943</v>
      </c>
      <c r="F29" s="3227">
        <v>0.76262106447774436</v>
      </c>
      <c r="G29" s="3103">
        <f t="shared" si="6"/>
        <v>5.9999999999999993E-3</v>
      </c>
      <c r="H29" s="3103">
        <f t="shared" si="7"/>
        <v>1.5866014194350058E-2</v>
      </c>
      <c r="I29" s="3103">
        <f t="shared" si="3"/>
        <v>0.62680193530610673</v>
      </c>
      <c r="J29" s="3227">
        <v>3.9967566684440146E-2</v>
      </c>
      <c r="K29" s="3227">
        <v>1.2804708887972704</v>
      </c>
      <c r="L29" s="3227">
        <v>0.6203167117987991</v>
      </c>
      <c r="M29" s="3497">
        <v>-0.14230435267894573</v>
      </c>
    </row>
    <row r="30" spans="2:13" ht="18" customHeight="1" x14ac:dyDescent="0.2">
      <c r="B30" s="2616" t="s">
        <v>564</v>
      </c>
      <c r="C30" s="2618" t="s">
        <v>564</v>
      </c>
      <c r="D30" s="3227">
        <v>7.4579705180167011E-3</v>
      </c>
      <c r="E30" s="3227">
        <v>9.0357888817688872E-2</v>
      </c>
      <c r="F30" s="3227">
        <v>8.5383312827615057E-4</v>
      </c>
      <c r="G30" s="3103">
        <f t="shared" si="6"/>
        <v>5.9999999999999993E-3</v>
      </c>
      <c r="H30" s="3103">
        <f t="shared" si="7"/>
        <v>1.5866014194350055E-2</v>
      </c>
      <c r="I30" s="3103">
        <f t="shared" si="3"/>
        <v>0.62680193530610617</v>
      </c>
      <c r="J30" s="3227">
        <v>4.4747823108100203E-5</v>
      </c>
      <c r="K30" s="3227">
        <v>1.4336195465529558E-3</v>
      </c>
      <c r="L30" s="3227">
        <v>6.9450869275405436E-4</v>
      </c>
      <c r="M30" s="3497">
        <v>-1.593244355220963E-4</v>
      </c>
    </row>
    <row r="31" spans="2:13" ht="18" customHeight="1" x14ac:dyDescent="0.2">
      <c r="B31" s="2616" t="s">
        <v>565</v>
      </c>
      <c r="C31" s="2618" t="s">
        <v>565</v>
      </c>
      <c r="D31" s="3227">
        <v>19.047357165707318</v>
      </c>
      <c r="E31" s="3227">
        <v>230.77041896211168</v>
      </c>
      <c r="F31" s="3227">
        <v>2.180655516792513</v>
      </c>
      <c r="G31" s="3103">
        <f t="shared" si="6"/>
        <v>5.9999999999999993E-3</v>
      </c>
      <c r="H31" s="3103">
        <f t="shared" si="7"/>
        <v>1.5866014194350055E-2</v>
      </c>
      <c r="I31" s="3103">
        <f t="shared" si="3"/>
        <v>0.62680193530610628</v>
      </c>
      <c r="J31" s="3227">
        <v>0.1142841429942439</v>
      </c>
      <c r="K31" s="3227">
        <v>3.6614067428889729</v>
      </c>
      <c r="L31" s="3227">
        <v>1.7737473074769987</v>
      </c>
      <c r="M31" s="3497">
        <v>-0.4069082093155143</v>
      </c>
    </row>
    <row r="32" spans="2:13" ht="18" customHeight="1" x14ac:dyDescent="0.2">
      <c r="B32" s="2616" t="s">
        <v>567</v>
      </c>
      <c r="C32" s="2618" t="s">
        <v>567</v>
      </c>
      <c r="D32" s="3227">
        <v>1.7886975170059486E-3</v>
      </c>
      <c r="E32" s="3227">
        <v>7.7249390062050507</v>
      </c>
      <c r="F32" s="3227">
        <v>7.2996491216373915E-2</v>
      </c>
      <c r="G32" s="3103">
        <f t="shared" si="6"/>
        <v>2.1387695498417183</v>
      </c>
      <c r="H32" s="3103">
        <f t="shared" si="7"/>
        <v>1.5866014194350055E-2</v>
      </c>
      <c r="I32" s="3103">
        <f t="shared" si="3"/>
        <v>0.62680193530610617</v>
      </c>
      <c r="J32" s="3227">
        <v>3.8256117832498123E-3</v>
      </c>
      <c r="K32" s="3227">
        <v>0.12256399192293774</v>
      </c>
      <c r="L32" s="3227">
        <v>5.9375416590676133E-2</v>
      </c>
      <c r="M32" s="3497">
        <v>-1.3621074625697782E-2</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0.22621420224750366</v>
      </c>
      <c r="E34" s="3227">
        <v>2.7407238586265952</v>
      </c>
      <c r="F34" s="3227">
        <v>2.5898356596996047E-2</v>
      </c>
      <c r="G34" s="3103">
        <f t="shared" si="6"/>
        <v>6.0000000000000001E-3</v>
      </c>
      <c r="H34" s="3103">
        <f t="shared" si="7"/>
        <v>1.5866014194350055E-2</v>
      </c>
      <c r="I34" s="3103">
        <f t="shared" si="3"/>
        <v>0.62680193530610662</v>
      </c>
      <c r="J34" s="3227">
        <v>1.3572852134850219E-3</v>
      </c>
      <c r="K34" s="3227">
        <v>4.3484363643763409E-2</v>
      </c>
      <c r="L34" s="3227">
        <v>2.1065748316620427E-2</v>
      </c>
      <c r="M34" s="3497">
        <v>-4.8326082803756311E-3</v>
      </c>
    </row>
    <row r="35" spans="2:13" ht="18" customHeight="1" x14ac:dyDescent="0.2">
      <c r="B35" s="2616" t="s">
        <v>574</v>
      </c>
      <c r="C35" s="2618" t="s">
        <v>574</v>
      </c>
      <c r="D35" s="3227">
        <v>2.4229923710255693E-5</v>
      </c>
      <c r="E35" s="3227">
        <v>2.9356039252010686E-4</v>
      </c>
      <c r="F35" s="3227">
        <v>2.7739867715274551E-6</v>
      </c>
      <c r="G35" s="3103">
        <f t="shared" si="6"/>
        <v>6.0000000000000001E-3</v>
      </c>
      <c r="H35" s="3103">
        <f t="shared" si="7"/>
        <v>1.5866014194350055E-2</v>
      </c>
      <c r="I35" s="3103">
        <f t="shared" si="3"/>
        <v>0.62680193530610628</v>
      </c>
      <c r="J35" s="3227">
        <v>1.4537954226153416E-7</v>
      </c>
      <c r="K35" s="3227">
        <v>4.6576333546229891E-6</v>
      </c>
      <c r="L35" s="3227">
        <v>2.2563635242172008E-6</v>
      </c>
      <c r="M35" s="3497">
        <v>-5.1762324731025438E-7</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NO</v>
      </c>
      <c r="G39" s="3103" t="str">
        <f>IF(SUM(D39)=0,"NA",J39/D39)</f>
        <v>NA</v>
      </c>
      <c r="H39" s="3103" t="str">
        <f>IF(SUM(E39)=0,"NA",K39/E39)</f>
        <v>NA</v>
      </c>
      <c r="I39" s="3103" t="str">
        <f t="shared" si="3"/>
        <v>NA</v>
      </c>
      <c r="J39" s="3227" t="str">
        <f>IF(J13="NO","NO","IE")</f>
        <v>IE</v>
      </c>
      <c r="K39" s="3227" t="str">
        <f t="shared" ref="K39:L39" si="9">IF(K13="NO","NO","IE")</f>
        <v>IE</v>
      </c>
      <c r="L39" s="3227" t="str">
        <f t="shared" si="9"/>
        <v>NO</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NO</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NO</v>
      </c>
    </row>
    <row r="41" spans="2:13" ht="18" customHeight="1" x14ac:dyDescent="0.2">
      <c r="B41" s="2616" t="s">
        <v>562</v>
      </c>
      <c r="C41" s="2618" t="s">
        <v>562</v>
      </c>
      <c r="D41" s="3227" t="str">
        <f t="shared" si="11"/>
        <v>IE</v>
      </c>
      <c r="E41" s="3227" t="str">
        <f t="shared" si="11"/>
        <v>IE</v>
      </c>
      <c r="F41" s="3227" t="str">
        <f t="shared" si="11"/>
        <v>NO</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NO</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NO</v>
      </c>
    </row>
    <row r="43" spans="2:13" ht="18" customHeight="1" x14ac:dyDescent="0.2">
      <c r="B43" s="2616" t="s">
        <v>564</v>
      </c>
      <c r="C43" s="2618" t="s">
        <v>564</v>
      </c>
      <c r="D43" s="3227" t="str">
        <f t="shared" si="11"/>
        <v>IE</v>
      </c>
      <c r="E43" s="3227" t="str">
        <f t="shared" si="11"/>
        <v>IE</v>
      </c>
      <c r="F43" s="3227" t="str">
        <f t="shared" si="11"/>
        <v>NO</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NO</v>
      </c>
    </row>
    <row r="44" spans="2:13" ht="18" customHeight="1" x14ac:dyDescent="0.2">
      <c r="B44" s="2616" t="s">
        <v>565</v>
      </c>
      <c r="C44" s="2618" t="s">
        <v>565</v>
      </c>
      <c r="D44" s="3227" t="str">
        <f t="shared" si="11"/>
        <v>IE</v>
      </c>
      <c r="E44" s="3227" t="str">
        <f t="shared" si="11"/>
        <v>IE</v>
      </c>
      <c r="F44" s="3227" t="str">
        <f t="shared" si="11"/>
        <v>NO</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NO</v>
      </c>
    </row>
    <row r="45" spans="2:13" ht="18" customHeight="1" x14ac:dyDescent="0.2">
      <c r="B45" s="2616" t="s">
        <v>567</v>
      </c>
      <c r="C45" s="2618" t="s">
        <v>567</v>
      </c>
      <c r="D45" s="3227" t="str">
        <f t="shared" si="11"/>
        <v>IE</v>
      </c>
      <c r="E45" s="3227" t="str">
        <f t="shared" si="11"/>
        <v>IE</v>
      </c>
      <c r="F45" s="3227" t="str">
        <f t="shared" si="11"/>
        <v>NO</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NO</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NO</v>
      </c>
    </row>
    <row r="48" spans="2:13" ht="18" customHeight="1" x14ac:dyDescent="0.2">
      <c r="B48" s="2616" t="s">
        <v>574</v>
      </c>
      <c r="C48" s="2618" t="s">
        <v>574</v>
      </c>
      <c r="D48" s="3227" t="str">
        <f t="shared" si="11"/>
        <v>IE</v>
      </c>
      <c r="E48" s="3227" t="str">
        <f t="shared" si="11"/>
        <v>IE</v>
      </c>
      <c r="F48" s="3227" t="str">
        <f t="shared" si="11"/>
        <v>NO</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2.8576188280944517</v>
      </c>
      <c r="K51" s="3103">
        <f>IF(SUM(K52:K63)=0,"NO",SUM(K52:K63))</f>
        <v>21.55721979926577</v>
      </c>
      <c r="L51" s="3103">
        <f>IF(SUM(L52:L63)=0,"NO",SUM(L52:L63))</f>
        <v>1.3577690810865836E-14</v>
      </c>
      <c r="M51" s="3226" t="str">
        <f>IF(SUM(M52:M63)=0,"NO",SUM(M52:M63))</f>
        <v>NO</v>
      </c>
    </row>
    <row r="52" spans="2:13" ht="18" customHeight="1" x14ac:dyDescent="0.2">
      <c r="B52" s="2616" t="s">
        <v>559</v>
      </c>
      <c r="C52" s="2618" t="s">
        <v>559</v>
      </c>
      <c r="D52" s="3227">
        <v>4.894954832510073E-3</v>
      </c>
      <c r="E52" s="3227">
        <v>1.0734573742384113E-2</v>
      </c>
      <c r="F52" s="3227" t="s">
        <v>2146</v>
      </c>
      <c r="G52" s="3103">
        <f>IF(SUM(D52)=0,"NA",J52/D52)</f>
        <v>5.1000000000000011E-2</v>
      </c>
      <c r="H52" s="3103">
        <f>IF(SUM(E52)=0,"NA",K52/E52)</f>
        <v>0.17543753324152259</v>
      </c>
      <c r="I52" s="3103" t="str">
        <f t="shared" si="3"/>
        <v>NA</v>
      </c>
      <c r="J52" s="3227">
        <v>2.4964269645801377E-4</v>
      </c>
      <c r="K52" s="3227">
        <v>1.8832471377630883E-3</v>
      </c>
      <c r="L52" s="3227">
        <v>8.6736173798840355E-19</v>
      </c>
      <c r="M52" s="3497" t="s">
        <v>2146</v>
      </c>
    </row>
    <row r="53" spans="2:13" ht="18" customHeight="1" x14ac:dyDescent="0.2">
      <c r="B53" s="2616" t="s">
        <v>560</v>
      </c>
      <c r="C53" s="2618" t="s">
        <v>560</v>
      </c>
      <c r="D53" s="3227">
        <v>0.76507321523794614</v>
      </c>
      <c r="E53" s="3227">
        <v>1.6777958384313132</v>
      </c>
      <c r="F53" s="3227" t="s">
        <v>2146</v>
      </c>
      <c r="G53" s="3103">
        <f t="shared" ref="G53:G63" si="36">IF(SUM(D53)=0,"NA",J53/D53)</f>
        <v>5.1000000000000011E-2</v>
      </c>
      <c r="H53" s="3103">
        <f t="shared" ref="H53:H63" si="37">IF(SUM(E53)=0,"NA",K53/E53)</f>
        <v>0.17543753324152261</v>
      </c>
      <c r="I53" s="3103" t="str">
        <f t="shared" si="3"/>
        <v>NA</v>
      </c>
      <c r="J53" s="3227">
        <v>3.9018733977135261E-2</v>
      </c>
      <c r="K53" s="3227">
        <v>0.2943483631772818</v>
      </c>
      <c r="L53" s="3227">
        <v>1.1102230246251565E-16</v>
      </c>
      <c r="M53" s="3497" t="s">
        <v>2146</v>
      </c>
    </row>
    <row r="54" spans="2:13" ht="18" customHeight="1" x14ac:dyDescent="0.2">
      <c r="B54" s="2616" t="s">
        <v>562</v>
      </c>
      <c r="C54" s="2618" t="s">
        <v>562</v>
      </c>
      <c r="D54" s="3227">
        <v>1.1357945653275954E-2</v>
      </c>
      <c r="E54" s="3227">
        <v>2.4907830480339968E-2</v>
      </c>
      <c r="F54" s="3227" t="s">
        <v>2146</v>
      </c>
      <c r="G54" s="3103">
        <f t="shared" si="36"/>
        <v>5.1000000000000004E-2</v>
      </c>
      <c r="H54" s="3103">
        <f t="shared" si="37"/>
        <v>0.17543753324152261</v>
      </c>
      <c r="I54" s="3103" t="str">
        <f t="shared" si="3"/>
        <v>NA</v>
      </c>
      <c r="J54" s="3227">
        <v>5.7925522831707367E-4</v>
      </c>
      <c r="K54" s="3227">
        <v>4.3697683378688531E-3</v>
      </c>
      <c r="L54" s="3227">
        <v>1.7347234759768071E-18</v>
      </c>
      <c r="M54" s="3497" t="s">
        <v>2146</v>
      </c>
    </row>
    <row r="55" spans="2:13" ht="18" customHeight="1" x14ac:dyDescent="0.2">
      <c r="B55" s="2616" t="s">
        <v>563</v>
      </c>
      <c r="C55" s="2618" t="s">
        <v>563</v>
      </c>
      <c r="D55" s="3227">
        <v>13.846448427469999</v>
      </c>
      <c r="E55" s="3227">
        <v>30.365085440140138</v>
      </c>
      <c r="F55" s="3227" t="s">
        <v>2146</v>
      </c>
      <c r="G55" s="3103">
        <f t="shared" si="36"/>
        <v>5.0999999999999997E-2</v>
      </c>
      <c r="H55" s="3103">
        <f t="shared" si="37"/>
        <v>0.17543753324152259</v>
      </c>
      <c r="I55" s="3103" t="str">
        <f t="shared" si="3"/>
        <v>NA</v>
      </c>
      <c r="J55" s="3227">
        <v>0.70616886980096993</v>
      </c>
      <c r="K55" s="3227">
        <v>5.3271756862862594</v>
      </c>
      <c r="L55" s="3227">
        <v>2.6645352591003757E-15</v>
      </c>
      <c r="M55" s="3497" t="s">
        <v>2146</v>
      </c>
    </row>
    <row r="56" spans="2:13" ht="18" customHeight="1" x14ac:dyDescent="0.2">
      <c r="B56" s="2616" t="s">
        <v>564</v>
      </c>
      <c r="C56" s="2618" t="s">
        <v>564</v>
      </c>
      <c r="D56" s="3227">
        <v>1.5502530584356963E-2</v>
      </c>
      <c r="E56" s="3227">
        <v>3.3996852564625257E-2</v>
      </c>
      <c r="F56" s="3227" t="s">
        <v>2146</v>
      </c>
      <c r="G56" s="3103">
        <f t="shared" si="36"/>
        <v>5.1000000000000004E-2</v>
      </c>
      <c r="H56" s="3103">
        <f t="shared" si="37"/>
        <v>0.17543753324152261</v>
      </c>
      <c r="I56" s="3103" t="str">
        <f t="shared" si="3"/>
        <v>NA</v>
      </c>
      <c r="J56" s="3227">
        <v>7.9062905980220512E-4</v>
      </c>
      <c r="K56" s="3227">
        <v>5.9643239519135867E-3</v>
      </c>
      <c r="L56" s="3227">
        <v>2.6020852139652106E-18</v>
      </c>
      <c r="M56" s="3497" t="s">
        <v>2146</v>
      </c>
    </row>
    <row r="57" spans="2:13" ht="18" customHeight="1" x14ac:dyDescent="0.2">
      <c r="B57" s="2616" t="s">
        <v>565</v>
      </c>
      <c r="C57" s="2618" t="s">
        <v>565</v>
      </c>
      <c r="D57" s="3227">
        <v>39.592840478413805</v>
      </c>
      <c r="E57" s="3227">
        <v>86.826596021529085</v>
      </c>
      <c r="F57" s="3227" t="s">
        <v>2146</v>
      </c>
      <c r="G57" s="3103">
        <f t="shared" si="36"/>
        <v>5.1000000000000004E-2</v>
      </c>
      <c r="H57" s="3103">
        <f t="shared" si="37"/>
        <v>0.17543753324152261</v>
      </c>
      <c r="I57" s="3103" t="str">
        <f t="shared" si="3"/>
        <v>NA</v>
      </c>
      <c r="J57" s="3227">
        <v>2.0192348643991043</v>
      </c>
      <c r="K57" s="3227">
        <v>15.232643825775263</v>
      </c>
      <c r="L57" s="3227">
        <v>1.0658141036401503E-14</v>
      </c>
      <c r="M57" s="3497" t="s">
        <v>2146</v>
      </c>
    </row>
    <row r="58" spans="2:13" ht="18" customHeight="1" x14ac:dyDescent="0.2">
      <c r="B58" s="2616" t="s">
        <v>567</v>
      </c>
      <c r="C58" s="2618" t="s">
        <v>567</v>
      </c>
      <c r="D58" s="3227">
        <v>1.3253530463467611</v>
      </c>
      <c r="E58" s="3227">
        <v>2.9064823879911574</v>
      </c>
      <c r="F58" s="3227" t="s">
        <v>2146</v>
      </c>
      <c r="G58" s="3103">
        <f t="shared" si="36"/>
        <v>5.0999999999999997E-2</v>
      </c>
      <c r="H58" s="3103">
        <f t="shared" si="37"/>
        <v>0.17543753324152261</v>
      </c>
      <c r="I58" s="3103" t="str">
        <f t="shared" si="3"/>
        <v>NA</v>
      </c>
      <c r="J58" s="3227">
        <v>6.7593005363684816E-2</v>
      </c>
      <c r="K58" s="3227">
        <v>0.50990610055909869</v>
      </c>
      <c r="L58" s="3227">
        <v>1.1102230246251565E-16</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0.47022076320709633</v>
      </c>
      <c r="E60" s="3227">
        <v>1.0311881581261406</v>
      </c>
      <c r="F60" s="3227" t="s">
        <v>2146</v>
      </c>
      <c r="G60" s="3103">
        <f t="shared" si="36"/>
        <v>5.1000000000000004E-2</v>
      </c>
      <c r="H60" s="3103">
        <f t="shared" si="37"/>
        <v>0.17543753324152264</v>
      </c>
      <c r="I60" s="3103" t="str">
        <f t="shared" si="3"/>
        <v>NA</v>
      </c>
      <c r="J60" s="3227">
        <v>2.3981258923561913E-2</v>
      </c>
      <c r="K60" s="3227">
        <v>0.1809091067695193</v>
      </c>
      <c r="L60" s="3227">
        <v>2.7755575615628914E-17</v>
      </c>
      <c r="M60" s="3497" t="s">
        <v>2146</v>
      </c>
    </row>
    <row r="61" spans="2:13" ht="18" customHeight="1" x14ac:dyDescent="0.2">
      <c r="B61" s="2616" t="s">
        <v>574</v>
      </c>
      <c r="C61" s="2618" t="s">
        <v>574</v>
      </c>
      <c r="D61" s="3227">
        <v>5.0365596440405992E-5</v>
      </c>
      <c r="E61" s="3227">
        <v>1.1045111294550118E-4</v>
      </c>
      <c r="F61" s="3227" t="s">
        <v>2146</v>
      </c>
      <c r="G61" s="3103">
        <f t="shared" si="36"/>
        <v>5.0999999999999997E-2</v>
      </c>
      <c r="H61" s="3103">
        <f t="shared" si="37"/>
        <v>0.17543753324152261</v>
      </c>
      <c r="I61" s="3103" t="str">
        <f t="shared" si="3"/>
        <v>NA</v>
      </c>
      <c r="J61" s="3227">
        <v>2.5686454184607055E-6</v>
      </c>
      <c r="K61" s="3227">
        <v>1.9377270798939531E-5</v>
      </c>
      <c r="L61" s="3227">
        <v>1.0164395367051604E-20</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0.82449883860967565</v>
      </c>
      <c r="K64" s="3103">
        <f>IF(SUM(K65:K76)=0,"NO",SUM(K65:K76))</f>
        <v>129.91486060512335</v>
      </c>
      <c r="L64" s="3103">
        <f>IF(SUM(L65:L76)=0,"NO",SUM(L65:L76))</f>
        <v>4.293142627001747</v>
      </c>
      <c r="M64" s="3226">
        <f>IF(SUM(M65:M76)=0,"NO",SUM(M65:M76))</f>
        <v>-2.2980358775417611</v>
      </c>
    </row>
    <row r="65" spans="2:13" ht="18" customHeight="1" x14ac:dyDescent="0.2">
      <c r="B65" s="2616" t="s">
        <v>559</v>
      </c>
      <c r="C65" s="2618" t="s">
        <v>559</v>
      </c>
      <c r="D65" s="3227">
        <v>2.0579582980408899E-2</v>
      </c>
      <c r="E65" s="3227">
        <v>0.11639035225262019</v>
      </c>
      <c r="F65" s="3227">
        <v>5.758079274021206E-4</v>
      </c>
      <c r="G65" s="3103">
        <f>IF(SUM(D65)=0,"NA",J65/D65)</f>
        <v>3.5000000000000005E-3</v>
      </c>
      <c r="H65" s="3103">
        <f>IF(SUM(E65)=0,"NA",K65/E65)</f>
        <v>9.7511629808970213E-2</v>
      </c>
      <c r="I65" s="3103">
        <f t="shared" si="3"/>
        <v>0.30269347857666318</v>
      </c>
      <c r="J65" s="3227">
        <v>7.2028540431431156E-5</v>
      </c>
      <c r="K65" s="3227">
        <v>1.1349412942193143E-2</v>
      </c>
      <c r="L65" s="3227">
        <v>3.75050615969744E-4</v>
      </c>
      <c r="M65" s="3497">
        <v>-2.0075731143237737E-4</v>
      </c>
    </row>
    <row r="66" spans="2:13" ht="18" customHeight="1" x14ac:dyDescent="0.2">
      <c r="B66" s="2616" t="s">
        <v>560</v>
      </c>
      <c r="C66" s="2618" t="s">
        <v>560</v>
      </c>
      <c r="D66" s="3227">
        <v>3.2165542395829969</v>
      </c>
      <c r="E66" s="3227">
        <v>18.191616484217278</v>
      </c>
      <c r="F66" s="3227">
        <v>8.9997811512213144E-2</v>
      </c>
      <c r="G66" s="3103">
        <f t="shared" ref="G66:G76" si="38">IF(SUM(D66)=0,"NA",J66/D66)</f>
        <v>3.4999999999999996E-3</v>
      </c>
      <c r="H66" s="3103">
        <f t="shared" ref="H66:H76" si="39">IF(SUM(E66)=0,"NA",K66/E66)</f>
        <v>9.7511629808970199E-2</v>
      </c>
      <c r="I66" s="3103">
        <f t="shared" si="3"/>
        <v>0.3026934785766644</v>
      </c>
      <c r="J66" s="3227">
        <v>1.1257939838540489E-2</v>
      </c>
      <c r="K66" s="3227">
        <v>1.7738941722357551</v>
      </c>
      <c r="L66" s="3227">
        <v>5.8619781071566068E-2</v>
      </c>
      <c r="M66" s="3497">
        <v>-3.1378030440647298E-2</v>
      </c>
    </row>
    <row r="67" spans="2:13" ht="18" customHeight="1" x14ac:dyDescent="0.2">
      <c r="B67" s="2616" t="s">
        <v>562</v>
      </c>
      <c r="C67" s="2618" t="s">
        <v>562</v>
      </c>
      <c r="D67" s="3227">
        <v>4.7751571374297475E-2</v>
      </c>
      <c r="E67" s="3227">
        <v>0.27006486079730019</v>
      </c>
      <c r="F67" s="3227">
        <v>1.3360685379000981E-3</v>
      </c>
      <c r="G67" s="3103">
        <f t="shared" si="38"/>
        <v>3.4999999999999996E-3</v>
      </c>
      <c r="H67" s="3103">
        <f t="shared" si="39"/>
        <v>9.7511629808970199E-2</v>
      </c>
      <c r="I67" s="3103">
        <f t="shared" si="3"/>
        <v>0.30269347857665946</v>
      </c>
      <c r="J67" s="3227">
        <v>1.6713049981004115E-4</v>
      </c>
      <c r="K67" s="3227">
        <v>2.6334464730477406E-2</v>
      </c>
      <c r="L67" s="3227">
        <v>8.7024388562695343E-4</v>
      </c>
      <c r="M67" s="3497">
        <v>-4.6582465227314136E-4</v>
      </c>
    </row>
    <row r="68" spans="2:13" ht="18" customHeight="1" x14ac:dyDescent="0.2">
      <c r="B68" s="2616" t="s">
        <v>563</v>
      </c>
      <c r="C68" s="2618" t="s">
        <v>563</v>
      </c>
      <c r="D68" s="3227">
        <v>58.213843466855892</v>
      </c>
      <c r="E68" s="3227">
        <v>329.23552209664962</v>
      </c>
      <c r="F68" s="3227">
        <v>1.6287984350640985</v>
      </c>
      <c r="G68" s="3103">
        <f t="shared" si="38"/>
        <v>3.5000000000000001E-3</v>
      </c>
      <c r="H68" s="3103">
        <f t="shared" si="39"/>
        <v>9.7511629808970199E-2</v>
      </c>
      <c r="I68" s="3103">
        <f t="shared" si="3"/>
        <v>0.30269347857666534</v>
      </c>
      <c r="J68" s="3227">
        <v>0.20374845213399562</v>
      </c>
      <c r="K68" s="3227">
        <v>32.104292350651527</v>
      </c>
      <c r="L68" s="3227">
        <v>1.0609125496369423</v>
      </c>
      <c r="M68" s="3497">
        <v>-0.56788588542716156</v>
      </c>
    </row>
    <row r="69" spans="2:13" ht="18" customHeight="1" x14ac:dyDescent="0.2">
      <c r="B69" s="2616" t="s">
        <v>564</v>
      </c>
      <c r="C69" s="2618" t="s">
        <v>564</v>
      </c>
      <c r="D69" s="3227">
        <v>6.5176416429465492E-2</v>
      </c>
      <c r="E69" s="3227">
        <v>0.36861320630308625</v>
      </c>
      <c r="F69" s="3227">
        <v>1.8236082478189446E-3</v>
      </c>
      <c r="G69" s="3103">
        <f t="shared" si="38"/>
        <v>3.4999999999999992E-3</v>
      </c>
      <c r="H69" s="3103">
        <f t="shared" si="39"/>
        <v>9.7511629808970199E-2</v>
      </c>
      <c r="I69" s="3103">
        <f t="shared" si="3"/>
        <v>0.30269347857665896</v>
      </c>
      <c r="J69" s="3227">
        <v>2.2811745750312917E-4</v>
      </c>
      <c r="K69" s="3227">
        <v>3.5944074515724109E-2</v>
      </c>
      <c r="L69" s="3227">
        <v>1.1878012859561707E-3</v>
      </c>
      <c r="M69" s="3497">
        <v>-6.3580696186276841E-4</v>
      </c>
    </row>
    <row r="70" spans="2:13" ht="18" customHeight="1" x14ac:dyDescent="0.2">
      <c r="B70" s="2616" t="s">
        <v>565</v>
      </c>
      <c r="C70" s="2618" t="s">
        <v>565</v>
      </c>
      <c r="D70" s="3227">
        <v>166.4579498556451</v>
      </c>
      <c r="E70" s="3227">
        <v>941.42332414563691</v>
      </c>
      <c r="F70" s="3227">
        <v>4.6574222226577264</v>
      </c>
      <c r="G70" s="3103">
        <f t="shared" si="38"/>
        <v>3.4999999999999996E-3</v>
      </c>
      <c r="H70" s="3103">
        <f t="shared" si="39"/>
        <v>9.7511629808970213E-2</v>
      </c>
      <c r="I70" s="3103">
        <f t="shared" si="3"/>
        <v>0.30269347857665796</v>
      </c>
      <c r="J70" s="3227">
        <v>0.58260282449475775</v>
      </c>
      <c r="K70" s="3227">
        <v>91.799722677619513</v>
      </c>
      <c r="L70" s="3227">
        <v>3.0335967782171025</v>
      </c>
      <c r="M70" s="3497">
        <v>-1.6238254444406053</v>
      </c>
    </row>
    <row r="71" spans="2:13" ht="18" customHeight="1" x14ac:dyDescent="0.2">
      <c r="B71" s="2616" t="s">
        <v>567</v>
      </c>
      <c r="C71" s="2618" t="s">
        <v>567</v>
      </c>
      <c r="D71" s="3227">
        <v>5.5721071856437323</v>
      </c>
      <c r="E71" s="3227">
        <v>31.513734692477438</v>
      </c>
      <c r="F71" s="3227">
        <v>0.15590517518660776</v>
      </c>
      <c r="G71" s="3103">
        <f t="shared" si="38"/>
        <v>3.5000000000000001E-3</v>
      </c>
      <c r="H71" s="3103">
        <f t="shared" si="39"/>
        <v>9.7511629808970185E-2</v>
      </c>
      <c r="I71" s="3103">
        <f t="shared" si="3"/>
        <v>0.3026934785766634</v>
      </c>
      <c r="J71" s="3227">
        <v>1.9502375149753063E-2</v>
      </c>
      <c r="K71" s="3227">
        <v>3.0729556312309607</v>
      </c>
      <c r="L71" s="3227">
        <v>0.1015483274959732</v>
      </c>
      <c r="M71" s="3497">
        <v>-5.4356847690634792E-2</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1.9769226778685971</v>
      </c>
      <c r="E73" s="3227">
        <v>11.180728349663935</v>
      </c>
      <c r="F73" s="3227">
        <v>5.5313450756578425E-2</v>
      </c>
      <c r="G73" s="3103">
        <f t="shared" si="38"/>
        <v>3.5000000000000001E-3</v>
      </c>
      <c r="H73" s="3103">
        <f t="shared" si="39"/>
        <v>9.7511629808970199E-2</v>
      </c>
      <c r="I73" s="3103">
        <f t="shared" si="3"/>
        <v>0.30269347857665524</v>
      </c>
      <c r="J73" s="3227">
        <v>6.9192293725400898E-3</v>
      </c>
      <c r="K73" s="3227">
        <v>1.090251043827088</v>
      </c>
      <c r="L73" s="3227">
        <v>3.6028235789082652E-2</v>
      </c>
      <c r="M73" s="3497">
        <v>-1.9285214967495405E-2</v>
      </c>
    </row>
    <row r="74" spans="2:13" ht="18" customHeight="1" x14ac:dyDescent="0.2">
      <c r="B74" s="2616" t="s">
        <v>574</v>
      </c>
      <c r="C74" s="2618" t="s">
        <v>574</v>
      </c>
      <c r="D74" s="3227">
        <v>2.1174924116135638E-4</v>
      </c>
      <c r="E74" s="3227">
        <v>1.1975737696656476E-3</v>
      </c>
      <c r="F74" s="3227">
        <v>5.9246531767996903E-6</v>
      </c>
      <c r="G74" s="3103">
        <f t="shared" si="38"/>
        <v>3.4999999999999996E-3</v>
      </c>
      <c r="H74" s="3103">
        <f t="shared" si="39"/>
        <v>9.7511629808970199E-2</v>
      </c>
      <c r="I74" s="3103">
        <f t="shared" si="3"/>
        <v>0.30269347857666457</v>
      </c>
      <c r="J74" s="3227">
        <v>7.4112234406474724E-7</v>
      </c>
      <c r="K74" s="3227">
        <v>1.1677737009656957E-4</v>
      </c>
      <c r="L74" s="3227">
        <v>3.8590035281227451E-6</v>
      </c>
      <c r="M74" s="3497">
        <v>-2.0656496486769604E-6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2.9803029963299066</v>
      </c>
      <c r="K77" s="3103">
        <f>IF(SUM(K78:K89)=0,"NO",SUM(K78:K89))</f>
        <v>79.777960479646183</v>
      </c>
      <c r="L77" s="3103">
        <f>IF(SUM(L78:L89)=0,"NO",SUM(L78:L89))</f>
        <v>10.165767077003265</v>
      </c>
      <c r="M77" s="3226">
        <f>IF(SUM(M78:M89)=0,"NO",SUM(M78:M89))</f>
        <v>-10.165767077003251</v>
      </c>
    </row>
    <row r="78" spans="2:13" ht="18" customHeight="1" x14ac:dyDescent="0.2">
      <c r="B78" s="2616" t="s">
        <v>559</v>
      </c>
      <c r="C78" s="2618" t="s">
        <v>559</v>
      </c>
      <c r="D78" s="3227">
        <v>3.9640980981480549E-2</v>
      </c>
      <c r="E78" s="3227">
        <v>0.18621383773659383</v>
      </c>
      <c r="F78" s="3227" t="s">
        <v>2146</v>
      </c>
      <c r="G78" s="3103">
        <f>IF(SUM(D78)=0,"NA",J78/D78)</f>
        <v>6.5679614087631056E-3</v>
      </c>
      <c r="H78" s="3103">
        <f>IF(SUM(E78)=0,"NA",K78/E78)</f>
        <v>3.7427045476988656E-2</v>
      </c>
      <c r="I78" s="3103" t="str">
        <f t="shared" si="3"/>
        <v>NA</v>
      </c>
      <c r="J78" s="3227">
        <v>2.6036043329187645E-4</v>
      </c>
      <c r="K78" s="3227">
        <v>6.9694337734120832E-3</v>
      </c>
      <c r="L78" s="3227" t="s">
        <v>2146</v>
      </c>
      <c r="M78" s="3497" t="s">
        <v>2146</v>
      </c>
    </row>
    <row r="79" spans="2:13" ht="18" customHeight="1" x14ac:dyDescent="0.2">
      <c r="B79" s="2616" t="s">
        <v>560</v>
      </c>
      <c r="C79" s="2618" t="s">
        <v>560</v>
      </c>
      <c r="D79" s="3227">
        <v>6.1958187179299555</v>
      </c>
      <c r="E79" s="3227">
        <v>29.104909939664878</v>
      </c>
      <c r="F79" s="3227" t="s">
        <v>2146</v>
      </c>
      <c r="G79" s="3103">
        <f t="shared" ref="G79:G89" si="40">IF(SUM(D79)=0,"NA",J79/D79)</f>
        <v>6.5679614087631065E-3</v>
      </c>
      <c r="H79" s="3103">
        <f t="shared" ref="H79:H89" si="41">IF(SUM(E79)=0,"NA",K79/E79)</f>
        <v>3.7427045476988656E-2</v>
      </c>
      <c r="I79" s="3103" t="str">
        <f t="shared" ref="I79:I89" si="42">IF(SUM(F79)=0,"NA",(SUM(L79:M79))/F79)</f>
        <v>NA</v>
      </c>
      <c r="J79" s="3227">
        <v>4.0693898235056057E-2</v>
      </c>
      <c r="K79" s="3227">
        <v>1.0893107879154966</v>
      </c>
      <c r="L79" s="3227">
        <v>2.2204460492503131E-16</v>
      </c>
      <c r="M79" s="3497" t="s">
        <v>2146</v>
      </c>
    </row>
    <row r="80" spans="2:13" ht="18" customHeight="1" x14ac:dyDescent="0.2">
      <c r="B80" s="2616" t="s">
        <v>562</v>
      </c>
      <c r="C80" s="2618" t="s">
        <v>562</v>
      </c>
      <c r="D80" s="3227">
        <v>9.1980441707022673E-2</v>
      </c>
      <c r="E80" s="3227">
        <v>0.4320788896463893</v>
      </c>
      <c r="F80" s="3227" t="s">
        <v>2146</v>
      </c>
      <c r="G80" s="3103">
        <f t="shared" si="40"/>
        <v>6.5679614087631056E-3</v>
      </c>
      <c r="H80" s="3103">
        <f t="shared" si="41"/>
        <v>3.7427045476988649E-2</v>
      </c>
      <c r="I80" s="3103" t="str">
        <f t="shared" si="42"/>
        <v>NA</v>
      </c>
      <c r="J80" s="3227">
        <v>6.0412399149270936E-4</v>
      </c>
      <c r="K80" s="3227">
        <v>1.6171436252442172E-2</v>
      </c>
      <c r="L80" s="3227">
        <v>6.9388939039072284E-18</v>
      </c>
      <c r="M80" s="3497" t="s">
        <v>2146</v>
      </c>
    </row>
    <row r="81" spans="2:13" ht="18" customHeight="1" x14ac:dyDescent="0.2">
      <c r="B81" s="2616" t="s">
        <v>563</v>
      </c>
      <c r="C81" s="2618" t="s">
        <v>563</v>
      </c>
      <c r="D81" s="3227">
        <v>112.1331692641844</v>
      </c>
      <c r="E81" s="3227">
        <v>526.74649489642809</v>
      </c>
      <c r="F81" s="3227" t="s">
        <v>2146</v>
      </c>
      <c r="G81" s="3103">
        <f t="shared" si="40"/>
        <v>6.5679614087631065E-3</v>
      </c>
      <c r="H81" s="3103">
        <f t="shared" si="41"/>
        <v>3.7427045476988649E-2</v>
      </c>
      <c r="I81" s="3103" t="str">
        <f t="shared" si="42"/>
        <v>NA</v>
      </c>
      <c r="J81" s="3227">
        <v>0.73648632836946448</v>
      </c>
      <c r="K81" s="3227">
        <v>19.714565019332984</v>
      </c>
      <c r="L81" s="3227">
        <v>7.1054273576010019E-15</v>
      </c>
      <c r="M81" s="3497" t="s">
        <v>2146</v>
      </c>
    </row>
    <row r="82" spans="2:13" ht="18" customHeight="1" x14ac:dyDescent="0.2">
      <c r="B82" s="2616" t="s">
        <v>564</v>
      </c>
      <c r="C82" s="2618" t="s">
        <v>564</v>
      </c>
      <c r="D82" s="3227">
        <v>0.12554467632221</v>
      </c>
      <c r="E82" s="3227">
        <v>0.58974716080510226</v>
      </c>
      <c r="F82" s="3227" t="s">
        <v>2146</v>
      </c>
      <c r="G82" s="3103">
        <f t="shared" si="40"/>
        <v>6.5679614087631056E-3</v>
      </c>
      <c r="H82" s="3103">
        <f t="shared" si="41"/>
        <v>3.7427045476988656E-2</v>
      </c>
      <c r="I82" s="3103" t="str">
        <f t="shared" si="42"/>
        <v>NA</v>
      </c>
      <c r="J82" s="3227">
        <v>8.2457258915993056E-4</v>
      </c>
      <c r="K82" s="3227">
        <v>2.2072493807377504E-2</v>
      </c>
      <c r="L82" s="3227">
        <v>-3.4694469519536142E-18</v>
      </c>
      <c r="M82" s="3497" t="s">
        <v>2146</v>
      </c>
    </row>
    <row r="83" spans="2:13" ht="18" customHeight="1" x14ac:dyDescent="0.2">
      <c r="B83" s="2616" t="s">
        <v>565</v>
      </c>
      <c r="C83" s="2618" t="s">
        <v>565</v>
      </c>
      <c r="D83" s="3227">
        <v>320.63606102832512</v>
      </c>
      <c r="E83" s="3227">
        <v>1506.1905624566396</v>
      </c>
      <c r="F83" s="3227" t="s">
        <v>2146</v>
      </c>
      <c r="G83" s="3103">
        <f t="shared" si="40"/>
        <v>6.5679614087631065E-3</v>
      </c>
      <c r="H83" s="3103">
        <f t="shared" si="41"/>
        <v>3.7427045476988649E-2</v>
      </c>
      <c r="I83" s="3103" t="str">
        <f t="shared" si="42"/>
        <v>NA</v>
      </c>
      <c r="J83" s="3227">
        <v>2.1059252750918516</v>
      </c>
      <c r="K83" s="3227">
        <v>56.372262678075764</v>
      </c>
      <c r="L83" s="3227">
        <v>5.1000000000000085</v>
      </c>
      <c r="M83" s="3497">
        <v>-5.1000000000000014</v>
      </c>
    </row>
    <row r="84" spans="2:13" ht="18" customHeight="1" x14ac:dyDescent="0.2">
      <c r="B84" s="2616" t="s">
        <v>567</v>
      </c>
      <c r="C84" s="2618" t="s">
        <v>567</v>
      </c>
      <c r="D84" s="3227">
        <v>10.733152133507689</v>
      </c>
      <c r="E84" s="3227">
        <v>50.419071382842674</v>
      </c>
      <c r="F84" s="3227" t="s">
        <v>2146</v>
      </c>
      <c r="G84" s="3103">
        <f t="shared" si="40"/>
        <v>6.5679614087631056E-3</v>
      </c>
      <c r="H84" s="3103">
        <f t="shared" si="41"/>
        <v>3.7427045476988663E-2</v>
      </c>
      <c r="I84" s="3103" t="str">
        <f t="shared" si="42"/>
        <v>NA</v>
      </c>
      <c r="J84" s="3227">
        <v>7.0494929007261897E-2</v>
      </c>
      <c r="K84" s="3227">
        <v>1.8870368775531903</v>
      </c>
      <c r="L84" s="3227">
        <v>5.0535410458497898</v>
      </c>
      <c r="M84" s="3497">
        <v>-5.0535410458497898</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3.808004970258613</v>
      </c>
      <c r="E86" s="3227">
        <v>17.888135007636635</v>
      </c>
      <c r="F86" s="3227" t="s">
        <v>2146</v>
      </c>
      <c r="G86" s="3103">
        <f t="shared" si="40"/>
        <v>6.5679614087631065E-3</v>
      </c>
      <c r="H86" s="3103">
        <f t="shared" si="41"/>
        <v>3.7427045476988656E-2</v>
      </c>
      <c r="I86" s="3103" t="str">
        <f t="shared" si="42"/>
        <v>NA</v>
      </c>
      <c r="J86" s="3227">
        <v>2.501082968903667E-2</v>
      </c>
      <c r="K86" s="3227">
        <v>0.66950004242932915</v>
      </c>
      <c r="L86" s="3227">
        <v>5.1479699102463528E-6</v>
      </c>
      <c r="M86" s="3497">
        <v>-5.1479699102354015E-6</v>
      </c>
    </row>
    <row r="87" spans="2:13" ht="18" customHeight="1" x14ac:dyDescent="0.2">
      <c r="B87" s="2616" t="s">
        <v>574</v>
      </c>
      <c r="C87" s="2618" t="s">
        <v>574</v>
      </c>
      <c r="D87" s="3227">
        <v>4.0787744094285261E-4</v>
      </c>
      <c r="E87" s="3227">
        <v>1.9160076699321065E-3</v>
      </c>
      <c r="F87" s="3227" t="s">
        <v>2146</v>
      </c>
      <c r="G87" s="3103">
        <f t="shared" si="40"/>
        <v>6.5679614087631056E-3</v>
      </c>
      <c r="H87" s="3103">
        <f t="shared" si="41"/>
        <v>3.7427045476988649E-2</v>
      </c>
      <c r="I87" s="3103" t="str">
        <f t="shared" si="42"/>
        <v>NA</v>
      </c>
      <c r="J87" s="3227">
        <v>2.6789232916177087E-6</v>
      </c>
      <c r="K87" s="3227">
        <v>7.1710506196808011E-5</v>
      </c>
      <c r="L87" s="3227">
        <v>1.2220883183547906E-2</v>
      </c>
      <c r="M87" s="3497">
        <v>-1.2220883183547906E-2</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14.131709043259429</v>
      </c>
      <c r="K90" s="3103">
        <f t="shared" ref="K90:M90" si="43">IF(SUM(K91,K104)=0,"NO",SUM(K91,K104))</f>
        <v>0.5563294209454227</v>
      </c>
      <c r="L90" s="3103">
        <f t="shared" si="43"/>
        <v>2.3869795029440866E-15</v>
      </c>
      <c r="M90" s="3226" t="str">
        <f t="shared" si="43"/>
        <v>NO</v>
      </c>
    </row>
    <row r="91" spans="2:13" ht="18" customHeight="1" x14ac:dyDescent="0.2">
      <c r="B91" s="104" t="s">
        <v>674</v>
      </c>
      <c r="C91" s="2508"/>
      <c r="D91" s="2108"/>
      <c r="E91" s="2108"/>
      <c r="F91" s="2108"/>
      <c r="G91" s="2108"/>
      <c r="H91" s="2108"/>
      <c r="I91" s="2108"/>
      <c r="J91" s="3103">
        <f>IF(SUM(J92:J103)=0,"NO",SUM(J92:J103))</f>
        <v>14.131709043259429</v>
      </c>
      <c r="K91" s="3103">
        <f>IF(SUM(K92:K103)=0,"NO",SUM(K92:K103))</f>
        <v>0.5563294209454227</v>
      </c>
      <c r="L91" s="3103">
        <f>IF(SUM(L92:L103)=0,"NO",SUM(L92:L103))</f>
        <v>2.3869795029440866E-15</v>
      </c>
      <c r="M91" s="3226" t="str">
        <f>IF(SUM(M92:M103)=0,"NO",SUM(M92:M103))</f>
        <v>NO</v>
      </c>
    </row>
    <row r="92" spans="2:13" ht="18" customHeight="1" x14ac:dyDescent="0.2">
      <c r="B92" s="2616" t="s">
        <v>559</v>
      </c>
      <c r="C92" s="2618" t="s">
        <v>559</v>
      </c>
      <c r="D92" s="3227">
        <v>2.0575860319060808E-3</v>
      </c>
      <c r="E92" s="3227">
        <v>1.9056915929090371E-3</v>
      </c>
      <c r="F92" s="3227" t="s">
        <v>2146</v>
      </c>
      <c r="G92" s="3103">
        <f>IF(SUM(D92)=0,"NA",J92/D92)</f>
        <v>0.6</v>
      </c>
      <c r="H92" s="3103">
        <f>IF(SUM(E92)=0,"NA",K92/E92)</f>
        <v>2.5503158847835185E-2</v>
      </c>
      <c r="I92" s="3103" t="str">
        <f t="shared" ref="I92:I103" si="44">IF(SUM(F92)=0,"NA",(SUM(L92:M92))/F92)</f>
        <v>NA</v>
      </c>
      <c r="J92" s="3227">
        <v>1.2345516191436484E-3</v>
      </c>
      <c r="K92" s="3227">
        <v>4.860115540894324E-5</v>
      </c>
      <c r="L92" s="3227" t="s">
        <v>2146</v>
      </c>
      <c r="M92" s="3497" t="s">
        <v>2146</v>
      </c>
    </row>
    <row r="93" spans="2:13" ht="18" customHeight="1" x14ac:dyDescent="0.2">
      <c r="B93" s="2616" t="s">
        <v>560</v>
      </c>
      <c r="C93" s="2618" t="s">
        <v>560</v>
      </c>
      <c r="D93" s="3227">
        <v>0.32159723938695467</v>
      </c>
      <c r="E93" s="3227">
        <v>0.29785639380275941</v>
      </c>
      <c r="F93" s="3227" t="s">
        <v>2146</v>
      </c>
      <c r="G93" s="3103">
        <f t="shared" ref="G93:G103" si="45">IF(SUM(D93)=0,"NA",J93/D93)</f>
        <v>0.6</v>
      </c>
      <c r="H93" s="3103">
        <f t="shared" ref="H93:H103" si="46">IF(SUM(E93)=0,"NA",K93/E93)</f>
        <v>2.5503158847835185E-2</v>
      </c>
      <c r="I93" s="3103" t="str">
        <f t="shared" si="44"/>
        <v>NA</v>
      </c>
      <c r="J93" s="3227">
        <v>0.19295834363217279</v>
      </c>
      <c r="K93" s="3227">
        <v>7.5962789249951245E-3</v>
      </c>
      <c r="L93" s="3227">
        <v>5.5511151231257827E-17</v>
      </c>
      <c r="M93" s="3497" t="s">
        <v>2146</v>
      </c>
    </row>
    <row r="94" spans="2:13" ht="18" customHeight="1" x14ac:dyDescent="0.2">
      <c r="B94" s="2616" t="s">
        <v>562</v>
      </c>
      <c r="C94" s="2618" t="s">
        <v>562</v>
      </c>
      <c r="D94" s="3227">
        <v>4.7742933544792617E-3</v>
      </c>
      <c r="E94" s="3227">
        <v>4.4218470414499351E-3</v>
      </c>
      <c r="F94" s="3227" t="s">
        <v>2146</v>
      </c>
      <c r="G94" s="3103">
        <f t="shared" si="45"/>
        <v>0.59999999999999987</v>
      </c>
      <c r="H94" s="3103">
        <f t="shared" si="46"/>
        <v>2.5503158847835182E-2</v>
      </c>
      <c r="I94" s="3103" t="str">
        <f t="shared" si="44"/>
        <v>NA</v>
      </c>
      <c r="J94" s="3227">
        <v>2.8645760126875565E-3</v>
      </c>
      <c r="K94" s="3227">
        <v>1.1277106749892773E-4</v>
      </c>
      <c r="L94" s="3227">
        <v>8.6736173798840355E-19</v>
      </c>
      <c r="M94" s="3497" t="s">
        <v>2146</v>
      </c>
    </row>
    <row r="95" spans="2:13" ht="18" customHeight="1" x14ac:dyDescent="0.2">
      <c r="B95" s="2616" t="s">
        <v>563</v>
      </c>
      <c r="C95" s="2618" t="s">
        <v>563</v>
      </c>
      <c r="D95" s="3227">
        <v>5.8203313106488315</v>
      </c>
      <c r="E95" s="3227">
        <v>5.3906647278187805</v>
      </c>
      <c r="F95" s="3227" t="s">
        <v>2146</v>
      </c>
      <c r="G95" s="3103">
        <f t="shared" si="45"/>
        <v>0.6</v>
      </c>
      <c r="H95" s="3103">
        <f t="shared" si="46"/>
        <v>2.5503158847835185E-2</v>
      </c>
      <c r="I95" s="3103" t="str">
        <f t="shared" si="44"/>
        <v>NA</v>
      </c>
      <c r="J95" s="3227">
        <v>3.4921987863892987</v>
      </c>
      <c r="K95" s="3227">
        <v>0.13747897884898458</v>
      </c>
      <c r="L95" s="3227">
        <v>4.4408920985006262E-16</v>
      </c>
      <c r="M95" s="3497" t="s">
        <v>2146</v>
      </c>
    </row>
    <row r="96" spans="2:13" ht="18" customHeight="1" x14ac:dyDescent="0.2">
      <c r="B96" s="2616" t="s">
        <v>564</v>
      </c>
      <c r="C96" s="2618" t="s">
        <v>564</v>
      </c>
      <c r="D96" s="3227">
        <v>6.5164626602311048E-3</v>
      </c>
      <c r="E96" s="3227">
        <v>6.0354064979747674E-3</v>
      </c>
      <c r="F96" s="3227" t="s">
        <v>2146</v>
      </c>
      <c r="G96" s="3103">
        <f t="shared" si="45"/>
        <v>0.60000000000000009</v>
      </c>
      <c r="H96" s="3103">
        <f t="shared" si="46"/>
        <v>2.5503158847835182E-2</v>
      </c>
      <c r="I96" s="3103" t="str">
        <f t="shared" si="44"/>
        <v>NA</v>
      </c>
      <c r="J96" s="3227">
        <v>3.9098775961386636E-3</v>
      </c>
      <c r="K96" s="3227">
        <v>1.5392193062910715E-4</v>
      </c>
      <c r="L96" s="3227">
        <v>-8.6736173798840355E-19</v>
      </c>
      <c r="M96" s="3497" t="s">
        <v>2146</v>
      </c>
    </row>
    <row r="97" spans="2:13" ht="18" customHeight="1" x14ac:dyDescent="0.2">
      <c r="B97" s="2616" t="s">
        <v>565</v>
      </c>
      <c r="C97" s="2618" t="s">
        <v>565</v>
      </c>
      <c r="D97" s="3227">
        <v>16.642783911061201</v>
      </c>
      <c r="E97" s="3227">
        <v>15.414185793500179</v>
      </c>
      <c r="F97" s="3227" t="s">
        <v>2146</v>
      </c>
      <c r="G97" s="3103">
        <f t="shared" si="45"/>
        <v>0.6</v>
      </c>
      <c r="H97" s="3103">
        <f t="shared" si="46"/>
        <v>2.5503158847835182E-2</v>
      </c>
      <c r="I97" s="3103" t="str">
        <f t="shared" si="44"/>
        <v>NA</v>
      </c>
      <c r="J97" s="3227">
        <v>9.98567034663672</v>
      </c>
      <c r="K97" s="3227">
        <v>0.39311042880167946</v>
      </c>
      <c r="L97" s="3227">
        <v>1.7763568394002505E-15</v>
      </c>
      <c r="M97" s="3497" t="s">
        <v>2146</v>
      </c>
    </row>
    <row r="98" spans="2:13" ht="18" customHeight="1" x14ac:dyDescent="0.2">
      <c r="B98" s="2616" t="s">
        <v>567</v>
      </c>
      <c r="C98" s="2618" t="s">
        <v>567</v>
      </c>
      <c r="D98" s="3227">
        <v>0.55710992416019522</v>
      </c>
      <c r="E98" s="3227">
        <v>0.51598313865630674</v>
      </c>
      <c r="F98" s="3227" t="s">
        <v>2146</v>
      </c>
      <c r="G98" s="3103">
        <f t="shared" si="45"/>
        <v>0.59999999999999987</v>
      </c>
      <c r="H98" s="3103">
        <f t="shared" si="46"/>
        <v>2.5503158847835182E-2</v>
      </c>
      <c r="I98" s="3103" t="str">
        <f t="shared" si="44"/>
        <v>NA</v>
      </c>
      <c r="J98" s="3227">
        <v>0.33426595449611707</v>
      </c>
      <c r="K98" s="3227">
        <v>1.3159199947956357E-2</v>
      </c>
      <c r="L98" s="3227">
        <v>1.1102230246251565E-16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0.19765650703481688</v>
      </c>
      <c r="E100" s="3227">
        <v>0.18306517341152415</v>
      </c>
      <c r="F100" s="3227" t="s">
        <v>2146</v>
      </c>
      <c r="G100" s="3103">
        <f t="shared" si="45"/>
        <v>0.6</v>
      </c>
      <c r="H100" s="3103">
        <f t="shared" si="46"/>
        <v>2.5503158847835185E-2</v>
      </c>
      <c r="I100" s="3103" t="str">
        <f t="shared" si="44"/>
        <v>NA</v>
      </c>
      <c r="J100" s="3227">
        <v>0.11859390422089013</v>
      </c>
      <c r="K100" s="3227">
        <v>4.6687401970205945E-3</v>
      </c>
      <c r="L100" s="3227" t="s">
        <v>2146</v>
      </c>
      <c r="M100" s="3497" t="s">
        <v>2146</v>
      </c>
    </row>
    <row r="101" spans="2:13" ht="18" customHeight="1" x14ac:dyDescent="0.2">
      <c r="B101" s="2616" t="s">
        <v>574</v>
      </c>
      <c r="C101" s="2618" t="s">
        <v>574</v>
      </c>
      <c r="D101" s="3227">
        <v>2.1171093762934067E-5</v>
      </c>
      <c r="E101" s="3227">
        <v>1.9608208245532061E-5</v>
      </c>
      <c r="F101" s="3227" t="s">
        <v>2146</v>
      </c>
      <c r="G101" s="3103">
        <f t="shared" si="45"/>
        <v>0.6</v>
      </c>
      <c r="H101" s="3103">
        <f t="shared" si="46"/>
        <v>2.5503158847835182E-2</v>
      </c>
      <c r="I101" s="3103" t="str">
        <f t="shared" si="44"/>
        <v>NA</v>
      </c>
      <c r="J101" s="3227">
        <v>1.2702656257760439E-5</v>
      </c>
      <c r="K101" s="3227">
        <v>5.0007124960723578E-7</v>
      </c>
      <c r="L101" s="3227" t="s">
        <v>2146</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8.0293194434505347E-2</v>
      </c>
      <c r="K117" s="3103">
        <f>IF(SUM(K118:K129)=0,"NO",SUM(K118:K129))</f>
        <v>2.2011960966396651</v>
      </c>
      <c r="L117" s="3103">
        <f>IF(SUM(L118:L129)=0,"NO",SUM(L118:L129))</f>
        <v>1.414926186740946E-17</v>
      </c>
      <c r="M117" s="3226" t="str">
        <f>IF(SUM(M118:M129)=0,"NO",SUM(M118:M129))</f>
        <v>NO</v>
      </c>
    </row>
    <row r="118" spans="2:13" ht="18" customHeight="1" x14ac:dyDescent="0.2">
      <c r="B118" s="2616" t="s">
        <v>559</v>
      </c>
      <c r="C118" s="2618" t="s">
        <v>559</v>
      </c>
      <c r="D118" s="3227">
        <v>2.0041270893885006E-3</v>
      </c>
      <c r="E118" s="3227">
        <v>4.7813793481413696E-3</v>
      </c>
      <c r="F118" s="3227" t="s">
        <v>2146</v>
      </c>
      <c r="G118" s="3103">
        <f>IF(SUM(D118)=0,"NA",J118/D118)</f>
        <v>3.5000000000000001E-3</v>
      </c>
      <c r="H118" s="3103">
        <f>IF(SUM(E118)=0,"NA",K118/E118)</f>
        <v>4.0217965646367003E-2</v>
      </c>
      <c r="I118" s="3103" t="str">
        <f t="shared" ref="I118:I129" si="72">IF(SUM(F118)=0,"NA",(SUM(L118:M118))/F118)</f>
        <v>NA</v>
      </c>
      <c r="J118" s="3227">
        <v>7.0144448128597525E-6</v>
      </c>
      <c r="K118" s="3227">
        <v>1.9229735036579824E-4</v>
      </c>
      <c r="L118" s="3227">
        <v>5.4210108624275222E-20</v>
      </c>
      <c r="M118" s="3497" t="s">
        <v>2146</v>
      </c>
    </row>
    <row r="119" spans="2:13" ht="18" customHeight="1" x14ac:dyDescent="0.2">
      <c r="B119" s="2616" t="s">
        <v>560</v>
      </c>
      <c r="C119" s="2618" t="s">
        <v>560</v>
      </c>
      <c r="D119" s="3227">
        <v>0.31324169649950934</v>
      </c>
      <c r="E119" s="3227">
        <v>0.74732155787411048</v>
      </c>
      <c r="F119" s="3227" t="s">
        <v>2146</v>
      </c>
      <c r="G119" s="3103">
        <f t="shared" ref="G119:G129" si="73">IF(SUM(D119)=0,"NA",J119/D119)</f>
        <v>3.5000000000000001E-3</v>
      </c>
      <c r="H119" s="3103">
        <f t="shared" ref="H119:H129" si="74">IF(SUM(E119)=0,"NA",K119/E119)</f>
        <v>4.0217965646366996E-2</v>
      </c>
      <c r="I119" s="3103" t="str">
        <f t="shared" si="72"/>
        <v>NA</v>
      </c>
      <c r="J119" s="3227">
        <v>1.0963459377482828E-3</v>
      </c>
      <c r="K119" s="3227">
        <v>3.0055752741370442E-2</v>
      </c>
      <c r="L119" s="3227">
        <v>6.9388939039072284E-18</v>
      </c>
      <c r="M119" s="3497" t="s">
        <v>2146</v>
      </c>
    </row>
    <row r="120" spans="2:13" ht="18" customHeight="1" x14ac:dyDescent="0.2">
      <c r="B120" s="2616" t="s">
        <v>562</v>
      </c>
      <c r="C120" s="2618" t="s">
        <v>562</v>
      </c>
      <c r="D120" s="3227">
        <v>4.6502505829783608E-3</v>
      </c>
      <c r="E120" s="3227">
        <v>1.1094412235064058E-2</v>
      </c>
      <c r="F120" s="3227" t="s">
        <v>2146</v>
      </c>
      <c r="G120" s="3103">
        <f t="shared" si="73"/>
        <v>3.5000000000000001E-3</v>
      </c>
      <c r="H120" s="3103">
        <f t="shared" si="74"/>
        <v>4.0217965646366996E-2</v>
      </c>
      <c r="I120" s="3103" t="str">
        <f t="shared" si="72"/>
        <v>NA</v>
      </c>
      <c r="J120" s="3227">
        <v>1.6275877040424263E-5</v>
      </c>
      <c r="K120" s="3227">
        <v>4.4619469013643998E-4</v>
      </c>
      <c r="L120" s="3227" t="s">
        <v>2146</v>
      </c>
      <c r="M120" s="3497" t="s">
        <v>2146</v>
      </c>
    </row>
    <row r="121" spans="2:13" ht="18" customHeight="1" x14ac:dyDescent="0.2">
      <c r="B121" s="2616" t="s">
        <v>563</v>
      </c>
      <c r="C121" s="2618" t="s">
        <v>563</v>
      </c>
      <c r="D121" s="3227">
        <v>5.6691110203939408</v>
      </c>
      <c r="E121" s="3227">
        <v>13.525175373734841</v>
      </c>
      <c r="F121" s="3227" t="s">
        <v>2146</v>
      </c>
      <c r="G121" s="3103">
        <f t="shared" si="73"/>
        <v>3.5000000000000001E-3</v>
      </c>
      <c r="H121" s="3103">
        <f t="shared" si="74"/>
        <v>4.0217965646367003E-2</v>
      </c>
      <c r="I121" s="3103" t="str">
        <f t="shared" si="72"/>
        <v>NA</v>
      </c>
      <c r="J121" s="3227">
        <v>1.9841888571378793E-2</v>
      </c>
      <c r="K121" s="3227">
        <v>0.54395503854195681</v>
      </c>
      <c r="L121" s="3227" t="s">
        <v>2146</v>
      </c>
      <c r="M121" s="3497" t="s">
        <v>2146</v>
      </c>
    </row>
    <row r="122" spans="2:13" ht="18" customHeight="1" x14ac:dyDescent="0.2">
      <c r="B122" s="2616" t="s">
        <v>564</v>
      </c>
      <c r="C122" s="2618" t="s">
        <v>564</v>
      </c>
      <c r="D122" s="3227">
        <v>6.3471559107832875E-3</v>
      </c>
      <c r="E122" s="3227">
        <v>1.5142832184615833E-2</v>
      </c>
      <c r="F122" s="3227" t="s">
        <v>2146</v>
      </c>
      <c r="G122" s="3103">
        <f t="shared" si="73"/>
        <v>3.5000000000000005E-3</v>
      </c>
      <c r="H122" s="3103">
        <f t="shared" si="74"/>
        <v>4.0217965646366996E-2</v>
      </c>
      <c r="I122" s="3103" t="str">
        <f t="shared" si="72"/>
        <v>NA</v>
      </c>
      <c r="J122" s="3227">
        <v>2.221504568774151E-5</v>
      </c>
      <c r="K122" s="3227">
        <v>6.0901390458958005E-4</v>
      </c>
      <c r="L122" s="3227">
        <v>2.1684043449710089E-19</v>
      </c>
      <c r="M122" s="3497" t="s">
        <v>2146</v>
      </c>
    </row>
    <row r="123" spans="2:13" ht="18" customHeight="1" x14ac:dyDescent="0.2">
      <c r="B123" s="2616" t="s">
        <v>565</v>
      </c>
      <c r="C123" s="2618" t="s">
        <v>565</v>
      </c>
      <c r="D123" s="3227">
        <v>16.210381272902868</v>
      </c>
      <c r="E123" s="3227">
        <v>38.674185212178642</v>
      </c>
      <c r="F123" s="3227" t="s">
        <v>2146</v>
      </c>
      <c r="G123" s="3103">
        <f t="shared" si="73"/>
        <v>3.5000000000000001E-3</v>
      </c>
      <c r="H123" s="3103">
        <f t="shared" si="74"/>
        <v>4.0217965646366996E-2</v>
      </c>
      <c r="I123" s="3103" t="str">
        <f t="shared" si="72"/>
        <v>NA</v>
      </c>
      <c r="J123" s="3227">
        <v>5.6736334455160041E-2</v>
      </c>
      <c r="K123" s="3227">
        <v>1.5553970522646352</v>
      </c>
      <c r="L123" s="3227" t="s">
        <v>2146</v>
      </c>
      <c r="M123" s="3497" t="s">
        <v>2146</v>
      </c>
    </row>
    <row r="124" spans="2:13" ht="18" customHeight="1" x14ac:dyDescent="0.2">
      <c r="B124" s="2616" t="s">
        <v>567</v>
      </c>
      <c r="C124" s="2618" t="s">
        <v>567</v>
      </c>
      <c r="D124" s="3227">
        <v>0.54263543466141895</v>
      </c>
      <c r="E124" s="3227">
        <v>1.2946014624509028</v>
      </c>
      <c r="F124" s="3227" t="s">
        <v>2146</v>
      </c>
      <c r="G124" s="3103">
        <f t="shared" si="73"/>
        <v>3.5000000000000005E-3</v>
      </c>
      <c r="H124" s="3103">
        <f t="shared" si="74"/>
        <v>4.0217965646367003E-2</v>
      </c>
      <c r="I124" s="3103" t="str">
        <f t="shared" si="72"/>
        <v>NA</v>
      </c>
      <c r="J124" s="3227">
        <v>1.8992240213149666E-3</v>
      </c>
      <c r="K124" s="3227">
        <v>5.2066237142586888E-2</v>
      </c>
      <c r="L124" s="3227">
        <v>6.9388939039072284E-18</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0.19252111649272058</v>
      </c>
      <c r="E126" s="3227">
        <v>0.4593104376231355</v>
      </c>
      <c r="F126" s="3227" t="s">
        <v>2146</v>
      </c>
      <c r="G126" s="3103">
        <f t="shared" si="73"/>
        <v>3.5000000000000005E-3</v>
      </c>
      <c r="H126" s="3103">
        <f t="shared" si="74"/>
        <v>4.0217965646367003E-2</v>
      </c>
      <c r="I126" s="3103" t="str">
        <f t="shared" si="72"/>
        <v>NA</v>
      </c>
      <c r="J126" s="3227">
        <v>6.7382390772452211E-4</v>
      </c>
      <c r="K126" s="3227">
        <v>1.8472531401345058E-2</v>
      </c>
      <c r="L126" s="3227" t="s">
        <v>2146</v>
      </c>
      <c r="M126" s="3497" t="s">
        <v>2146</v>
      </c>
    </row>
    <row r="127" spans="2:13" ht="18" customHeight="1" x14ac:dyDescent="0.2">
      <c r="B127" s="2616" t="s">
        <v>574</v>
      </c>
      <c r="C127" s="2618" t="s">
        <v>574</v>
      </c>
      <c r="D127" s="3227">
        <v>2.062103934627449E-5</v>
      </c>
      <c r="E127" s="3227">
        <v>4.9196985655022202E-5</v>
      </c>
      <c r="F127" s="3227" t="s">
        <v>2146</v>
      </c>
      <c r="G127" s="3103">
        <f t="shared" si="73"/>
        <v>3.5000000000000009E-3</v>
      </c>
      <c r="H127" s="3103">
        <f t="shared" si="74"/>
        <v>4.0217965646367003E-2</v>
      </c>
      <c r="I127" s="3103" t="str">
        <f t="shared" si="72"/>
        <v>NA</v>
      </c>
      <c r="J127" s="3227">
        <v>7.2173637711960734E-8</v>
      </c>
      <c r="K127" s="3227">
        <v>1.9786026789784931E-6</v>
      </c>
      <c r="L127" s="3227">
        <v>4.2351647362715017E-22</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6.1119942792687842</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6.1119942792687842</v>
      </c>
      <c r="L131" s="3229"/>
      <c r="M131" s="3226" t="str">
        <f>IF(SUM(M132:M143)=0,"NO",SUM(M132:M143))</f>
        <v>NO</v>
      </c>
    </row>
    <row r="132" spans="2:13" ht="18" customHeight="1" x14ac:dyDescent="0.2">
      <c r="B132" s="2616" t="s">
        <v>559</v>
      </c>
      <c r="C132" s="2618" t="s">
        <v>559</v>
      </c>
      <c r="D132" s="3227" t="s">
        <v>2146</v>
      </c>
      <c r="E132" s="3227">
        <v>1.1465588891837015E-3</v>
      </c>
      <c r="F132" s="3229"/>
      <c r="G132" s="3103" t="str">
        <f>IF(SUM(D132)=0,"NA",J132/D132)</f>
        <v>NA</v>
      </c>
      <c r="H132" s="3103">
        <f>IF(SUM(E132)=0,"NA",K132/E132)</f>
        <v>0.46569453295606417</v>
      </c>
      <c r="I132" s="4327"/>
      <c r="J132" s="3227" t="s">
        <v>2146</v>
      </c>
      <c r="K132" s="3227">
        <v>5.339462064050276E-4</v>
      </c>
      <c r="L132" s="3229"/>
      <c r="M132" s="3497" t="s">
        <v>2146</v>
      </c>
    </row>
    <row r="133" spans="2:13" ht="18" customHeight="1" x14ac:dyDescent="0.2">
      <c r="B133" s="2616" t="s">
        <v>560</v>
      </c>
      <c r="C133" s="2618" t="s">
        <v>560</v>
      </c>
      <c r="D133" s="3227" t="s">
        <v>2146</v>
      </c>
      <c r="E133" s="3227">
        <v>0.17920522779524903</v>
      </c>
      <c r="F133" s="3229"/>
      <c r="G133" s="3103" t="str">
        <f t="shared" ref="G133:G143" si="75">IF(SUM(D133)=0,"NA",J133/D133)</f>
        <v>NA</v>
      </c>
      <c r="H133" s="3103">
        <f t="shared" ref="H133:H143" si="76">IF(SUM(E133)=0,"NA",K133/E133)</f>
        <v>0.46569453295606406</v>
      </c>
      <c r="I133" s="4327"/>
      <c r="J133" s="3227" t="s">
        <v>2146</v>
      </c>
      <c r="K133" s="3227">
        <v>8.3454894861393569E-2</v>
      </c>
      <c r="L133" s="3229"/>
      <c r="M133" s="3497" t="s">
        <v>2146</v>
      </c>
    </row>
    <row r="134" spans="2:13" ht="18" customHeight="1" x14ac:dyDescent="0.2">
      <c r="B134" s="2616" t="s">
        <v>562</v>
      </c>
      <c r="C134" s="2618" t="s">
        <v>562</v>
      </c>
      <c r="D134" s="3227" t="s">
        <v>2146</v>
      </c>
      <c r="E134" s="3227">
        <v>2.6604032104931849E-3</v>
      </c>
      <c r="F134" s="3229"/>
      <c r="G134" s="3103" t="str">
        <f t="shared" si="75"/>
        <v>NA</v>
      </c>
      <c r="H134" s="3103">
        <f t="shared" si="76"/>
        <v>0.46569453295606417</v>
      </c>
      <c r="I134" s="4327"/>
      <c r="J134" s="3227" t="s">
        <v>2146</v>
      </c>
      <c r="K134" s="3227">
        <v>1.2389352305854375E-3</v>
      </c>
      <c r="L134" s="3229"/>
      <c r="M134" s="3497" t="s">
        <v>2146</v>
      </c>
    </row>
    <row r="135" spans="2:13" ht="18" customHeight="1" x14ac:dyDescent="0.2">
      <c r="B135" s="2616" t="s">
        <v>563</v>
      </c>
      <c r="C135" s="2618" t="s">
        <v>563</v>
      </c>
      <c r="D135" s="3227" t="s">
        <v>2146</v>
      </c>
      <c r="E135" s="3227">
        <v>3.2432921388160216</v>
      </c>
      <c r="F135" s="3229"/>
      <c r="G135" s="3103" t="str">
        <f t="shared" si="75"/>
        <v>NA</v>
      </c>
      <c r="H135" s="3103">
        <f t="shared" si="76"/>
        <v>0.46569453295606411</v>
      </c>
      <c r="I135" s="4327"/>
      <c r="J135" s="3227" t="s">
        <v>2146</v>
      </c>
      <c r="K135" s="3227">
        <v>1.5103834178260014</v>
      </c>
      <c r="L135" s="3229"/>
      <c r="M135" s="3497" t="s">
        <v>2146</v>
      </c>
    </row>
    <row r="136" spans="2:13" ht="18" customHeight="1" x14ac:dyDescent="0.2">
      <c r="B136" s="2616" t="s">
        <v>564</v>
      </c>
      <c r="C136" s="2618" t="s">
        <v>564</v>
      </c>
      <c r="D136" s="3227" t="s">
        <v>2146</v>
      </c>
      <c r="E136" s="3227">
        <v>3.6312008699827167E-3</v>
      </c>
      <c r="F136" s="3229"/>
      <c r="G136" s="3103" t="str">
        <f t="shared" si="75"/>
        <v>NA</v>
      </c>
      <c r="H136" s="3103">
        <f t="shared" si="76"/>
        <v>0.46569453295606406</v>
      </c>
      <c r="I136" s="4327"/>
      <c r="J136" s="3227" t="s">
        <v>2146</v>
      </c>
      <c r="K136" s="3227">
        <v>1.6910303932162547E-3</v>
      </c>
      <c r="L136" s="3229"/>
      <c r="M136" s="3497" t="s">
        <v>2146</v>
      </c>
    </row>
    <row r="137" spans="2:13" ht="18" customHeight="1" x14ac:dyDescent="0.2">
      <c r="B137" s="2616" t="s">
        <v>565</v>
      </c>
      <c r="C137" s="2618" t="s">
        <v>565</v>
      </c>
      <c r="D137" s="3227" t="s">
        <v>2146</v>
      </c>
      <c r="E137" s="3227">
        <v>9.2739411806338072</v>
      </c>
      <c r="F137" s="3229"/>
      <c r="G137" s="3103" t="str">
        <f t="shared" si="75"/>
        <v>NA</v>
      </c>
      <c r="H137" s="3103">
        <f t="shared" si="76"/>
        <v>0.46569453295606422</v>
      </c>
      <c r="I137" s="4327"/>
      <c r="J137" s="3227" t="s">
        <v>2146</v>
      </c>
      <c r="K137" s="3227">
        <v>4.3188237067772715</v>
      </c>
      <c r="L137" s="3229"/>
      <c r="M137" s="3497" t="s">
        <v>2146</v>
      </c>
    </row>
    <row r="138" spans="2:13" ht="18" customHeight="1" x14ac:dyDescent="0.2">
      <c r="B138" s="2616" t="s">
        <v>567</v>
      </c>
      <c r="C138" s="2618" t="s">
        <v>567</v>
      </c>
      <c r="D138" s="3227" t="s">
        <v>2146</v>
      </c>
      <c r="E138" s="3227">
        <v>0.31044113144887736</v>
      </c>
      <c r="F138" s="3229"/>
      <c r="G138" s="3103" t="str">
        <f t="shared" si="75"/>
        <v>NA</v>
      </c>
      <c r="H138" s="3103">
        <f t="shared" si="76"/>
        <v>0.46569453295606411</v>
      </c>
      <c r="I138" s="4327"/>
      <c r="J138" s="3227" t="s">
        <v>2146</v>
      </c>
      <c r="K138" s="3227">
        <v>0.14457073772043705</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0.110141117616274</v>
      </c>
      <c r="F140" s="3229"/>
      <c r="G140" s="3103" t="str">
        <f t="shared" si="75"/>
        <v>NA</v>
      </c>
      <c r="H140" s="3103">
        <f t="shared" si="76"/>
        <v>0.46569453295606417</v>
      </c>
      <c r="I140" s="4327"/>
      <c r="J140" s="3227" t="s">
        <v>2146</v>
      </c>
      <c r="K140" s="3227">
        <v>5.1292116327569651E-2</v>
      </c>
      <c r="L140" s="3229"/>
      <c r="M140" s="3497" t="s">
        <v>2146</v>
      </c>
    </row>
    <row r="141" spans="2:13" ht="18" customHeight="1" x14ac:dyDescent="0.2">
      <c r="B141" s="2616" t="s">
        <v>574</v>
      </c>
      <c r="C141" s="2618" t="s">
        <v>574</v>
      </c>
      <c r="D141" s="3227" t="s">
        <v>2146</v>
      </c>
      <c r="E141" s="3227">
        <v>1.1797273781620263E-5</v>
      </c>
      <c r="F141" s="3229"/>
      <c r="G141" s="3103" t="str">
        <f t="shared" si="75"/>
        <v>NA</v>
      </c>
      <c r="H141" s="3103">
        <f t="shared" si="76"/>
        <v>0.46569453295606411</v>
      </c>
      <c r="I141" s="4327"/>
      <c r="J141" s="3227" t="s">
        <v>2146</v>
      </c>
      <c r="K141" s="3227">
        <v>5.4939259038864688E-6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13.674077098839799</v>
      </c>
      <c r="L146" s="3103">
        <f>IF(SUM(L147:L158)=0,"NO",SUM(L147:L158))</f>
        <v>3.897310009407287</v>
      </c>
      <c r="M146" s="3226" t="str">
        <f>IF(SUM(M147:M158)=0,"NO",SUM(M147:M158))</f>
        <v>NO</v>
      </c>
    </row>
    <row r="147" spans="2:13" ht="18" customHeight="1" x14ac:dyDescent="0.2">
      <c r="B147" s="2616" t="s">
        <v>559</v>
      </c>
      <c r="C147" s="2618" t="s">
        <v>559</v>
      </c>
      <c r="D147" s="3227">
        <v>2.3784599876147555E-3</v>
      </c>
      <c r="E147" s="3227">
        <v>3.5783754214398348E-3</v>
      </c>
      <c r="F147" s="3227">
        <v>3.4047052396068652E-4</v>
      </c>
      <c r="G147" s="3103" t="str">
        <f>IFERROR(J147/D147,"NA")</f>
        <v>NA</v>
      </c>
      <c r="H147" s="3103">
        <f>IF(SUM(E147)=0,"NA",K147/E147)</f>
        <v>0.33383101914319746</v>
      </c>
      <c r="I147" s="3103">
        <f t="shared" ref="I147:I158" si="77">IF(SUM(F147)=0,"NA",(SUM(L147:M147))/F147)</f>
        <v>1.0000000000000007</v>
      </c>
      <c r="J147" s="3227" t="s">
        <v>2146</v>
      </c>
      <c r="K147" s="3227">
        <v>1.1945727138162289E-3</v>
      </c>
      <c r="L147" s="3227">
        <v>3.4047052396068674E-4</v>
      </c>
      <c r="M147" s="3497" t="s">
        <v>2146</v>
      </c>
    </row>
    <row r="148" spans="2:13" ht="18" customHeight="1" x14ac:dyDescent="0.2">
      <c r="B148" s="2616" t="s">
        <v>560</v>
      </c>
      <c r="C148" s="2618" t="s">
        <v>560</v>
      </c>
      <c r="D148" s="3227">
        <v>0.37174929949376234</v>
      </c>
      <c r="E148" s="3227">
        <v>0.55929406556046746</v>
      </c>
      <c r="F148" s="3227">
        <v>5.3214970796120135E-2</v>
      </c>
      <c r="G148" s="3103" t="str">
        <f t="shared" ref="G148:G158" si="78">IFERROR(J148/D148,"NA")</f>
        <v>NA</v>
      </c>
      <c r="H148" s="3103">
        <f t="shared" ref="H148:H158" si="79">IF(SUM(E148)=0,"NA",K148/E148)</f>
        <v>0.33383101914319746</v>
      </c>
      <c r="I148" s="3103">
        <f t="shared" si="77"/>
        <v>1.0000000000000002</v>
      </c>
      <c r="J148" s="3227" t="s">
        <v>2146</v>
      </c>
      <c r="K148" s="3227">
        <v>0.18670970790679314</v>
      </c>
      <c r="L148" s="3227">
        <v>5.3214970796120142E-2</v>
      </c>
      <c r="M148" s="3497" t="s">
        <v>2146</v>
      </c>
    </row>
    <row r="149" spans="2:13" ht="18" customHeight="1" x14ac:dyDescent="0.2">
      <c r="B149" s="2616" t="s">
        <v>562</v>
      </c>
      <c r="C149" s="2618" t="s">
        <v>562</v>
      </c>
      <c r="D149" s="3227">
        <v>5.5188291214460748E-3</v>
      </c>
      <c r="E149" s="3227">
        <v>8.3030375058416733E-3</v>
      </c>
      <c r="F149" s="3227">
        <v>7.9000641272616043E-4</v>
      </c>
      <c r="G149" s="3103" t="str">
        <f t="shared" si="78"/>
        <v>NA</v>
      </c>
      <c r="H149" s="3103">
        <f t="shared" si="79"/>
        <v>0.33383101914319752</v>
      </c>
      <c r="I149" s="3103">
        <f t="shared" si="77"/>
        <v>0.99999999999999989</v>
      </c>
      <c r="J149" s="3227" t="s">
        <v>2146</v>
      </c>
      <c r="K149" s="3227">
        <v>2.7718114725593184E-3</v>
      </c>
      <c r="L149" s="3227">
        <v>7.9000641272616032E-4</v>
      </c>
      <c r="M149" s="3497" t="s">
        <v>2146</v>
      </c>
    </row>
    <row r="150" spans="2:13" ht="18" customHeight="1" x14ac:dyDescent="0.2">
      <c r="B150" s="2616" t="s">
        <v>563</v>
      </c>
      <c r="C150" s="2618" t="s">
        <v>563</v>
      </c>
      <c r="D150" s="3227">
        <v>6.7279933486987629</v>
      </c>
      <c r="E150" s="3227">
        <v>10.122216123020975</v>
      </c>
      <c r="F150" s="3227">
        <v>0.96309520974229201</v>
      </c>
      <c r="G150" s="3103" t="str">
        <f t="shared" si="78"/>
        <v>NA</v>
      </c>
      <c r="H150" s="3103">
        <f t="shared" si="79"/>
        <v>0.33383101914319752</v>
      </c>
      <c r="I150" s="3103">
        <f t="shared" si="77"/>
        <v>1.0000000000000004</v>
      </c>
      <c r="J150" s="3227" t="s">
        <v>2146</v>
      </c>
      <c r="K150" s="3227">
        <v>3.3791097243357977</v>
      </c>
      <c r="L150" s="3227">
        <v>0.96309520974229246</v>
      </c>
      <c r="M150" s="3497" t="s">
        <v>2146</v>
      </c>
    </row>
    <row r="151" spans="2:13" ht="18" customHeight="1" x14ac:dyDescent="0.2">
      <c r="B151" s="2616" t="s">
        <v>564</v>
      </c>
      <c r="C151" s="2618" t="s">
        <v>564</v>
      </c>
      <c r="D151" s="3227">
        <v>7.5326841540557044E-3</v>
      </c>
      <c r="E151" s="3227">
        <v>1.1332867475047966E-2</v>
      </c>
      <c r="F151" s="3227">
        <v>1.078284660711774E-3</v>
      </c>
      <c r="G151" s="3103" t="str">
        <f t="shared" si="78"/>
        <v>NA</v>
      </c>
      <c r="H151" s="3103">
        <f t="shared" si="79"/>
        <v>0.33383101914319746</v>
      </c>
      <c r="I151" s="3103">
        <f t="shared" si="77"/>
        <v>1.0000000000000004</v>
      </c>
      <c r="J151" s="3227" t="s">
        <v>2146</v>
      </c>
      <c r="K151" s="3227">
        <v>3.7832626990100576E-3</v>
      </c>
      <c r="L151" s="3227">
        <v>1.0782846607117745E-3</v>
      </c>
      <c r="M151" s="3497" t="s">
        <v>2146</v>
      </c>
    </row>
    <row r="152" spans="2:13" ht="18" customHeight="1" x14ac:dyDescent="0.2">
      <c r="B152" s="2616" t="s">
        <v>565</v>
      </c>
      <c r="C152" s="2618" t="s">
        <v>565</v>
      </c>
      <c r="D152" s="3227">
        <v>19.238172791398743</v>
      </c>
      <c r="E152" s="3227">
        <v>28.943688365004462</v>
      </c>
      <c r="F152" s="3227">
        <v>2.753895715900804</v>
      </c>
      <c r="G152" s="3103" t="str">
        <f t="shared" si="78"/>
        <v>NA</v>
      </c>
      <c r="H152" s="3103">
        <f t="shared" si="79"/>
        <v>0.33383101914319746</v>
      </c>
      <c r="I152" s="3103">
        <f t="shared" si="77"/>
        <v>1.0000000000000011</v>
      </c>
      <c r="J152" s="3227" t="s">
        <v>2146</v>
      </c>
      <c r="K152" s="3227">
        <v>9.6623009846525463</v>
      </c>
      <c r="L152" s="3227">
        <v>2.7538957159008071</v>
      </c>
      <c r="M152" s="3497" t="s">
        <v>2146</v>
      </c>
    </row>
    <row r="153" spans="2:13" ht="18" customHeight="1" x14ac:dyDescent="0.2">
      <c r="B153" s="2616" t="s">
        <v>567</v>
      </c>
      <c r="C153" s="2618" t="s">
        <v>567</v>
      </c>
      <c r="D153" s="3227">
        <v>0.64398943362315653</v>
      </c>
      <c r="E153" s="3227">
        <v>0.96887732942485749</v>
      </c>
      <c r="F153" s="3227">
        <v>9.2185456569612828E-2</v>
      </c>
      <c r="G153" s="3103" t="str">
        <f t="shared" si="78"/>
        <v>NA</v>
      </c>
      <c r="H153" s="3103">
        <f t="shared" si="79"/>
        <v>0.33383101914319746</v>
      </c>
      <c r="I153" s="3103">
        <f t="shared" si="77"/>
        <v>1.0000000000000002</v>
      </c>
      <c r="J153" s="3227" t="s">
        <v>2146</v>
      </c>
      <c r="K153" s="3227">
        <v>0.32344130630663964</v>
      </c>
      <c r="L153" s="3227">
        <v>9.2185456569612856E-2</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0.22848040664355804</v>
      </c>
      <c r="E155" s="3227">
        <v>0.34374707822342132</v>
      </c>
      <c r="F155" s="3227">
        <v>3.270639160202804E-2</v>
      </c>
      <c r="G155" s="3103" t="str">
        <f t="shared" si="78"/>
        <v>NA</v>
      </c>
      <c r="H155" s="3103">
        <f t="shared" si="79"/>
        <v>0.33383101914319752</v>
      </c>
      <c r="I155" s="3103">
        <f t="shared" si="77"/>
        <v>0.99999999999999911</v>
      </c>
      <c r="J155" s="3227" t="s">
        <v>2146</v>
      </c>
      <c r="K155" s="3227">
        <v>0.11475343745082117</v>
      </c>
      <c r="L155" s="3227">
        <v>3.2706391602028012E-2</v>
      </c>
      <c r="M155" s="3497" t="s">
        <v>2146</v>
      </c>
    </row>
    <row r="156" spans="2:13" ht="18" customHeight="1" x14ac:dyDescent="0.2">
      <c r="B156" s="2616" t="s">
        <v>574</v>
      </c>
      <c r="C156" s="2618" t="s">
        <v>574</v>
      </c>
      <c r="D156" s="3227">
        <v>2.4472658070356415E-5</v>
      </c>
      <c r="E156" s="3227">
        <v>3.6818932667472278E-5</v>
      </c>
      <c r="F156" s="3227">
        <v>3.5031990276535877E-6</v>
      </c>
      <c r="G156" s="3103" t="str">
        <f t="shared" si="78"/>
        <v>NA</v>
      </c>
      <c r="H156" s="3103">
        <f t="shared" si="79"/>
        <v>0.33383101914319752</v>
      </c>
      <c r="I156" s="3103">
        <f t="shared" si="77"/>
        <v>0.99999999999999944</v>
      </c>
      <c r="J156" s="3227" t="s">
        <v>2146</v>
      </c>
      <c r="K156" s="3227">
        <v>1.2291301816147039E-5</v>
      </c>
      <c r="L156" s="3227">
        <v>3.5031990276535856E-6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0.98987387608906108</v>
      </c>
      <c r="K162" s="3233">
        <f t="shared" ref="K162:M162" si="85">IF(SUM(K163,K165,K175)=0,"NO",SUM(K163,K165,K175))</f>
        <v>8.1271886161333491</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0.98987387608906108</v>
      </c>
      <c r="K163" s="3230">
        <f t="shared" ref="K163:M163" si="86">K164</f>
        <v>7.4812463970443579</v>
      </c>
      <c r="L163" s="3230" t="str">
        <f t="shared" si="86"/>
        <v>NO</v>
      </c>
      <c r="M163" s="3226" t="str">
        <f t="shared" si="86"/>
        <v>NO</v>
      </c>
    </row>
    <row r="164" spans="2:13" ht="18" customHeight="1" x14ac:dyDescent="0.2">
      <c r="B164" s="2616" t="s">
        <v>1621</v>
      </c>
      <c r="C164" s="2618" t="s">
        <v>1621</v>
      </c>
      <c r="D164" s="3235">
        <v>11.645575012812483</v>
      </c>
      <c r="E164" s="3235">
        <v>287.74024604016751</v>
      </c>
      <c r="F164" s="3235" t="s">
        <v>2146</v>
      </c>
      <c r="G164" s="3103">
        <f t="shared" ref="G164" si="87">IF(SUM(D164)=0,"NA",J164/D164)</f>
        <v>8.5000000000000006E-2</v>
      </c>
      <c r="H164" s="3103">
        <f t="shared" ref="H164" si="88">IF(SUM(E164)=0,"NA",K164/E164)</f>
        <v>2.6000000000000009E-2</v>
      </c>
      <c r="I164" s="3103" t="str">
        <f t="shared" ref="I164" si="89">IF(SUM(F164)=0,"NA",(SUM(L164:M164))/F164)</f>
        <v>NA</v>
      </c>
      <c r="J164" s="3142">
        <v>0.98987387608906108</v>
      </c>
      <c r="K164" s="3142">
        <v>7.4812463970443579</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0.6459422190889903</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0.6459422190889903</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0.6459422190889903</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0.6459422190889903</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1512.8996475617591</v>
      </c>
      <c r="D10" s="2500">
        <f t="shared" ref="D10:I10" si="0">IF(SUM(D11,D20,D31:D32,D42:D47)=0,"NO",SUM(D11,D20,D31:D32,D42:D47))</f>
        <v>2577.0843807887854</v>
      </c>
      <c r="E10" s="2500">
        <f t="shared" si="0"/>
        <v>44.258586676092179</v>
      </c>
      <c r="F10" s="2500">
        <f t="shared" si="0"/>
        <v>37.01190063579476</v>
      </c>
      <c r="G10" s="2500">
        <f t="shared" si="0"/>
        <v>600.37389933308827</v>
      </c>
      <c r="H10" s="2915">
        <f t="shared" si="0"/>
        <v>35.021810794430152</v>
      </c>
      <c r="I10" s="2924" t="str">
        <f t="shared" si="0"/>
        <v>NO</v>
      </c>
      <c r="J10" s="2925">
        <f>IF(SUM(C10:E10)=0,"NO",SUM(C10)+28*SUM(D10)+265*SUM(E10))</f>
        <v>85399.78777881217</v>
      </c>
    </row>
    <row r="11" spans="1:10" ht="18" customHeight="1" x14ac:dyDescent="0.2">
      <c r="B11" s="234" t="s">
        <v>694</v>
      </c>
      <c r="C11" s="2926"/>
      <c r="D11" s="2137">
        <f>SUM(D16:D19)</f>
        <v>2310.1841058542395</v>
      </c>
      <c r="E11" s="1929"/>
      <c r="F11" s="1929"/>
      <c r="G11" s="1929"/>
      <c r="H11" s="2927"/>
      <c r="I11" s="2928"/>
      <c r="J11" s="1880">
        <f>IF(SUM(C11:E11)=0,"NO",SUM(C11)+28*SUM(D11)+265*SUM(E11))</f>
        <v>64685.154963918707</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1508.3915837298678</v>
      </c>
      <c r="E16" s="628"/>
      <c r="F16" s="628"/>
      <c r="G16" s="628"/>
      <c r="H16" s="2930"/>
      <c r="I16" s="2931"/>
      <c r="J16" s="2934">
        <f>IF(SUM(C16:E16)=0,"NO",SUM(C16)+28*SUM(D16)+265*SUM(E16))</f>
        <v>42234.964344436296</v>
      </c>
    </row>
    <row r="17" spans="2:10" ht="18" customHeight="1" x14ac:dyDescent="0.2">
      <c r="B17" s="228" t="s">
        <v>699</v>
      </c>
      <c r="C17" s="2936"/>
      <c r="D17" s="2920">
        <f>Table3.A!G24</f>
        <v>789.40397917679172</v>
      </c>
      <c r="E17" s="628"/>
      <c r="F17" s="628"/>
      <c r="G17" s="628"/>
      <c r="H17" s="2930"/>
      <c r="I17" s="2931"/>
      <c r="J17" s="2934">
        <f t="shared" ref="J17:J21" si="1">IF(SUM(C17:E17)=0,"NO",SUM(C17)+28*SUM(D17)+265*SUM(E17))</f>
        <v>22103.311416950168</v>
      </c>
    </row>
    <row r="18" spans="2:10" ht="18" customHeight="1" x14ac:dyDescent="0.2">
      <c r="B18" s="228" t="s">
        <v>700</v>
      </c>
      <c r="C18" s="2936"/>
      <c r="D18" s="2920">
        <f>Table3.A!G27</f>
        <v>3.6954899475799867</v>
      </c>
      <c r="E18" s="628"/>
      <c r="F18" s="628"/>
      <c r="G18" s="628"/>
      <c r="H18" s="2930"/>
      <c r="I18" s="2931"/>
      <c r="J18" s="2934">
        <f t="shared" si="1"/>
        <v>103.47371853223963</v>
      </c>
    </row>
    <row r="19" spans="2:10" ht="18" customHeight="1" thickBot="1" x14ac:dyDescent="0.25">
      <c r="B19" s="1297" t="s">
        <v>701</v>
      </c>
      <c r="C19" s="2937"/>
      <c r="D19" s="2500">
        <f>Table3.A!G30</f>
        <v>8.693052999999999</v>
      </c>
      <c r="E19" s="1923"/>
      <c r="F19" s="1923"/>
      <c r="G19" s="1923"/>
      <c r="H19" s="2938"/>
      <c r="I19" s="2939"/>
      <c r="J19" s="2934">
        <f t="shared" si="1"/>
        <v>243.40548399999997</v>
      </c>
    </row>
    <row r="20" spans="2:10" ht="18" customHeight="1" x14ac:dyDescent="0.2">
      <c r="B20" s="1456" t="s">
        <v>702</v>
      </c>
      <c r="C20" s="2940"/>
      <c r="D20" s="2920">
        <f>IF(SUM(D26:D30)=0,"NO",SUM(D26:D30))</f>
        <v>227.88002588754338</v>
      </c>
      <c r="E20" s="2920">
        <f>IF(SUM(E26:E30)=0,"NO",SUM(E26:E30))</f>
        <v>1.091656713180658</v>
      </c>
      <c r="F20" s="2134"/>
      <c r="G20" s="2134"/>
      <c r="H20" s="2920" t="str">
        <f>IF(SUM(H26:H30)=0,"NE",SUM(H26:H30))</f>
        <v>NE</v>
      </c>
      <c r="I20" s="2931"/>
      <c r="J20" s="2941">
        <f t="shared" si="1"/>
        <v>6669.9297538440896</v>
      </c>
    </row>
    <row r="21" spans="2:10" ht="18" customHeight="1" x14ac:dyDescent="0.2">
      <c r="B21" s="228" t="s">
        <v>2019</v>
      </c>
      <c r="C21" s="2936"/>
      <c r="D21" s="2920">
        <f>D26</f>
        <v>127.73234900426249</v>
      </c>
      <c r="E21" s="2920">
        <f>E26</f>
        <v>0.47028516385952718</v>
      </c>
      <c r="F21" s="2942"/>
      <c r="G21" s="2942"/>
      <c r="H21" s="2920" t="str">
        <f>H26</f>
        <v>NE</v>
      </c>
      <c r="I21" s="2931"/>
      <c r="J21" s="2934">
        <f t="shared" si="1"/>
        <v>3701.1313405421247</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127.73234900426249</v>
      </c>
      <c r="E26" s="2920">
        <f>'Table3.B(b)'!X15</f>
        <v>0.47028516385952718</v>
      </c>
      <c r="F26" s="628"/>
      <c r="G26" s="628"/>
      <c r="H26" s="2944" t="s">
        <v>2154</v>
      </c>
      <c r="I26" s="2931"/>
      <c r="J26" s="2934">
        <f t="shared" ref="J26:J48" si="2">IF(SUM(C26:E26)=0,"NO",SUM(C26)+28*SUM(D26)+265*SUM(E26))</f>
        <v>3701.1313405421247</v>
      </c>
    </row>
    <row r="27" spans="2:10" ht="18" customHeight="1" x14ac:dyDescent="0.2">
      <c r="B27" s="228" t="s">
        <v>705</v>
      </c>
      <c r="C27" s="2936"/>
      <c r="D27" s="2920">
        <f>'Table3.B(a)'!K24</f>
        <v>40.550299500017815</v>
      </c>
      <c r="E27" s="2920" t="str">
        <f>'Table3.B(b)'!X24</f>
        <v>NA</v>
      </c>
      <c r="F27" s="2942"/>
      <c r="G27" s="2942"/>
      <c r="H27" s="2944" t="s">
        <v>2154</v>
      </c>
      <c r="I27" s="2931"/>
      <c r="J27" s="2934">
        <f t="shared" si="2"/>
        <v>1135.4083860004989</v>
      </c>
    </row>
    <row r="28" spans="2:10" ht="18" customHeight="1" x14ac:dyDescent="0.2">
      <c r="B28" s="228" t="s">
        <v>706</v>
      </c>
      <c r="C28" s="2936"/>
      <c r="D28" s="2920">
        <f>'Table3.B(a)'!K27</f>
        <v>56.540116056760667</v>
      </c>
      <c r="E28" s="2920">
        <f>'Table3.B(b)'!X27</f>
        <v>0.11300414368040641</v>
      </c>
      <c r="F28" s="2942"/>
      <c r="G28" s="2942"/>
      <c r="H28" s="2944" t="s">
        <v>2154</v>
      </c>
      <c r="I28" s="2931"/>
      <c r="J28" s="2934">
        <f t="shared" si="2"/>
        <v>1613.0693476646063</v>
      </c>
    </row>
    <row r="29" spans="2:10" ht="18" customHeight="1" x14ac:dyDescent="0.2">
      <c r="B29" s="228" t="s">
        <v>707</v>
      </c>
      <c r="C29" s="2936"/>
      <c r="D29" s="2920">
        <f>'Table3.B(a)'!K30</f>
        <v>3.0572613265024198</v>
      </c>
      <c r="E29" s="2920">
        <f>'Table3.B(b)'!X30</f>
        <v>0.24382276664530259</v>
      </c>
      <c r="F29" s="2942"/>
      <c r="G29" s="2942"/>
      <c r="H29" s="2944" t="s">
        <v>2154</v>
      </c>
      <c r="I29" s="2931"/>
      <c r="J29" s="2934">
        <f t="shared" si="2"/>
        <v>150.21635030307294</v>
      </c>
    </row>
    <row r="30" spans="2:10" ht="18" customHeight="1" thickBot="1" x14ac:dyDescent="0.25">
      <c r="B30" s="1297" t="s">
        <v>708</v>
      </c>
      <c r="C30" s="2945"/>
      <c r="D30" s="2946"/>
      <c r="E30" s="2947">
        <f>SUM('Table3.B(b)'!Y46:Z46)</f>
        <v>0.26454463899542185</v>
      </c>
      <c r="F30" s="2948"/>
      <c r="G30" s="2948"/>
      <c r="H30" s="2949"/>
      <c r="I30" s="2950"/>
      <c r="J30" s="2934">
        <f t="shared" si="2"/>
        <v>70.104329333786794</v>
      </c>
    </row>
    <row r="31" spans="2:10" ht="18" customHeight="1" thickBot="1" x14ac:dyDescent="0.25">
      <c r="B31" s="2639" t="s">
        <v>709</v>
      </c>
      <c r="C31" s="2951"/>
      <c r="D31" s="2952">
        <f>Table3.C!G11</f>
        <v>23.626046499999998</v>
      </c>
      <c r="E31" s="2953"/>
      <c r="F31" s="2953"/>
      <c r="G31" s="2953"/>
      <c r="H31" s="2954" t="s">
        <v>2154</v>
      </c>
      <c r="I31" s="2955"/>
      <c r="J31" s="2956">
        <f t="shared" si="2"/>
        <v>661.52930199999992</v>
      </c>
    </row>
    <row r="32" spans="2:10" ht="18" customHeight="1" x14ac:dyDescent="0.2">
      <c r="B32" s="2638" t="s">
        <v>2020</v>
      </c>
      <c r="C32" s="2957"/>
      <c r="D32" s="2958" t="s">
        <v>2154</v>
      </c>
      <c r="E32" s="2958">
        <f>IF(SUM(E33,E41)=0,"NO",SUM(E33,E41))</f>
        <v>42.526309902217427</v>
      </c>
      <c r="F32" s="2958" t="str">
        <f>IF(SUM(F33,F41)=0,"NO",SUM(F33,F41))</f>
        <v>NO</v>
      </c>
      <c r="G32" s="2958" t="str">
        <f>IF(SUM(G33,G41)=0,"NO",SUM(G33,G41))</f>
        <v>NO</v>
      </c>
      <c r="H32" s="2958" t="str">
        <f>IF(SUM(H33,H41)=0,"NO",SUM(H33,H41))</f>
        <v>NO</v>
      </c>
      <c r="I32" s="2959"/>
      <c r="J32" s="2960">
        <f t="shared" si="2"/>
        <v>11269.472124087619</v>
      </c>
    </row>
    <row r="33" spans="2:10" ht="18" customHeight="1" x14ac:dyDescent="0.2">
      <c r="B33" s="228" t="s">
        <v>710</v>
      </c>
      <c r="C33" s="2961"/>
      <c r="D33" s="2962" t="s">
        <v>2154</v>
      </c>
      <c r="E33" s="2962">
        <f>IF(SUM(E34:E40)=0,"NO",SUM(E34:E40))</f>
        <v>32.207950403762091</v>
      </c>
      <c r="F33" s="2962" t="str">
        <f>IF(SUM(F34:F40)=0,"NO",SUM(F34:F40))</f>
        <v>NO</v>
      </c>
      <c r="G33" s="2962" t="str">
        <f>IF(SUM(G34:G40)=0,"NO",SUM(G34:G40))</f>
        <v>NO</v>
      </c>
      <c r="H33" s="2962" t="str">
        <f>IF(SUM(H34:H40)=0,"NO",SUM(H34:H40))</f>
        <v>NO</v>
      </c>
      <c r="I33" s="2931"/>
      <c r="J33" s="2963">
        <f t="shared" si="2"/>
        <v>8535.1068569969539</v>
      </c>
    </row>
    <row r="34" spans="2:10" ht="18" customHeight="1" x14ac:dyDescent="0.2">
      <c r="B34" s="232" t="s">
        <v>711</v>
      </c>
      <c r="C34" s="2961"/>
      <c r="D34" s="2905" t="s">
        <v>2154</v>
      </c>
      <c r="E34" s="2962">
        <f>Table3.D!F11</f>
        <v>6.523501198328379</v>
      </c>
      <c r="F34" s="2964" t="s">
        <v>2147</v>
      </c>
      <c r="G34" s="2964" t="s">
        <v>2147</v>
      </c>
      <c r="H34" s="2964" t="s">
        <v>2147</v>
      </c>
      <c r="I34" s="2931"/>
      <c r="J34" s="2963">
        <f t="shared" si="2"/>
        <v>1728.7278175570204</v>
      </c>
    </row>
    <row r="35" spans="2:10" ht="18" customHeight="1" x14ac:dyDescent="0.2">
      <c r="B35" s="232" t="s">
        <v>712</v>
      </c>
      <c r="C35" s="2961"/>
      <c r="D35" s="2905" t="s">
        <v>2154</v>
      </c>
      <c r="E35" s="2962">
        <f>Table3.D!F12</f>
        <v>1.2099411451265911</v>
      </c>
      <c r="F35" s="2964" t="s">
        <v>2147</v>
      </c>
      <c r="G35" s="2964" t="s">
        <v>2147</v>
      </c>
      <c r="H35" s="2965" t="s">
        <v>2147</v>
      </c>
      <c r="I35" s="2931"/>
      <c r="J35" s="2963">
        <f t="shared" si="2"/>
        <v>320.63440345854667</v>
      </c>
    </row>
    <row r="36" spans="2:10" ht="18" customHeight="1" x14ac:dyDescent="0.2">
      <c r="B36" s="232" t="s">
        <v>713</v>
      </c>
      <c r="C36" s="2961"/>
      <c r="D36" s="2905" t="s">
        <v>2154</v>
      </c>
      <c r="E36" s="2962">
        <f>Table3.D!F16</f>
        <v>12.451416141645819</v>
      </c>
      <c r="F36" s="2964" t="s">
        <v>2147</v>
      </c>
      <c r="G36" s="2964" t="s">
        <v>2147</v>
      </c>
      <c r="H36" s="2965" t="s">
        <v>2147</v>
      </c>
      <c r="I36" s="2931"/>
      <c r="J36" s="2963">
        <f t="shared" si="2"/>
        <v>3299.6252775361418</v>
      </c>
    </row>
    <row r="37" spans="2:10" ht="18" customHeight="1" x14ac:dyDescent="0.2">
      <c r="B37" s="232" t="s">
        <v>714</v>
      </c>
      <c r="C37" s="2961"/>
      <c r="D37" s="2905" t="s">
        <v>2154</v>
      </c>
      <c r="E37" s="2962">
        <f>Table3.D!F17</f>
        <v>11.877532399723595</v>
      </c>
      <c r="F37" s="2964" t="s">
        <v>2147</v>
      </c>
      <c r="G37" s="2964" t="s">
        <v>2147</v>
      </c>
      <c r="H37" s="2965" t="s">
        <v>2147</v>
      </c>
      <c r="I37" s="2931"/>
      <c r="J37" s="2963">
        <f t="shared" si="2"/>
        <v>3147.5460859267528</v>
      </c>
    </row>
    <row r="38" spans="2:10" ht="18" customHeight="1" x14ac:dyDescent="0.2">
      <c r="B38" s="1705" t="s">
        <v>715</v>
      </c>
      <c r="C38" s="2961"/>
      <c r="D38" s="2905" t="s">
        <v>2154</v>
      </c>
      <c r="E38" s="2962">
        <f>Table3.D!F18</f>
        <v>5.7559518937706708E-2</v>
      </c>
      <c r="F38" s="2964" t="s">
        <v>2147</v>
      </c>
      <c r="G38" s="2964" t="s">
        <v>2147</v>
      </c>
      <c r="H38" s="2965" t="s">
        <v>2147</v>
      </c>
      <c r="I38" s="2931"/>
      <c r="J38" s="2963">
        <f t="shared" si="2"/>
        <v>15.253272518492277</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10.318359498455337</v>
      </c>
      <c r="F41" s="2969" t="s">
        <v>2147</v>
      </c>
      <c r="G41" s="2969" t="s">
        <v>2147</v>
      </c>
      <c r="H41" s="2970" t="s">
        <v>2147</v>
      </c>
      <c r="I41" s="2971"/>
      <c r="J41" s="2972">
        <f t="shared" si="2"/>
        <v>2734.365267090664</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15.39420254700226</v>
      </c>
      <c r="E43" s="2979">
        <f>SUM(Table3.F!J10,Table3.F!J20,Table3.F!J23,Table3.F!J26:J27)</f>
        <v>0.6406200606940875</v>
      </c>
      <c r="F43" s="2909">
        <v>37.01190063579476</v>
      </c>
      <c r="G43" s="2909">
        <v>600.37389933308827</v>
      </c>
      <c r="H43" s="2910">
        <v>35.021810794430152</v>
      </c>
      <c r="I43" s="2980" t="s">
        <v>2146</v>
      </c>
      <c r="J43" s="2981">
        <f t="shared" si="2"/>
        <v>600.80198739999651</v>
      </c>
    </row>
    <row r="44" spans="2:10" ht="18" customHeight="1" thickBot="1" x14ac:dyDescent="0.25">
      <c r="B44" s="2641" t="s">
        <v>721</v>
      </c>
      <c r="C44" s="2982">
        <f>'Table3.G-J'!E10</f>
        <v>720.58080698204878</v>
      </c>
      <c r="D44" s="2983"/>
      <c r="E44" s="2983"/>
      <c r="F44" s="2983"/>
      <c r="G44" s="2983"/>
      <c r="H44" s="2984"/>
      <c r="I44" s="2985"/>
      <c r="J44" s="2981">
        <f t="shared" si="2"/>
        <v>720.58080698204878</v>
      </c>
    </row>
    <row r="45" spans="2:10" ht="18" customHeight="1" thickBot="1" x14ac:dyDescent="0.25">
      <c r="B45" s="2641" t="s">
        <v>722</v>
      </c>
      <c r="C45" s="2982">
        <f>'Table3.G-J'!E13</f>
        <v>792.31884057971024</v>
      </c>
      <c r="D45" s="2983"/>
      <c r="E45" s="2983"/>
      <c r="F45" s="2983"/>
      <c r="G45" s="2983"/>
      <c r="H45" s="2984"/>
      <c r="I45" s="2985"/>
      <c r="J45" s="2981">
        <f t="shared" si="2"/>
        <v>792.31884057971024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26577.897000000001</v>
      </c>
      <c r="D10" s="3241"/>
      <c r="E10" s="3241"/>
      <c r="F10" s="3131">
        <f>IF(SUM(C10)=0,"NA",G10*1000/C10)</f>
        <v>56.753609351780831</v>
      </c>
      <c r="G10" s="3242">
        <f>G15</f>
        <v>1508.3915837298678</v>
      </c>
      <c r="I10" s="275" t="s">
        <v>738</v>
      </c>
      <c r="J10" s="276" t="s">
        <v>739</v>
      </c>
      <c r="K10" s="691">
        <v>448.70575176627398</v>
      </c>
      <c r="L10" s="691">
        <v>362.63545044754397</v>
      </c>
      <c r="M10" s="3147">
        <v>514.06060606060601</v>
      </c>
      <c r="N10" s="3147">
        <v>45.234380093678801</v>
      </c>
      <c r="O10" s="2911">
        <v>53.9926733670614</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13.632791475311899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26577.897000000001</v>
      </c>
      <c r="D15" s="3248"/>
      <c r="E15" s="3248"/>
      <c r="F15" s="3131">
        <f>IF(SUM(C15)=0,"NA",G15*1000/C15)</f>
        <v>56.753609351780831</v>
      </c>
      <c r="G15" s="3249">
        <f>G20</f>
        <v>1508.3915837298678</v>
      </c>
      <c r="I15" s="1777" t="s">
        <v>748</v>
      </c>
      <c r="J15" s="1849" t="s">
        <v>297</v>
      </c>
      <c r="K15" s="3445">
        <v>75</v>
      </c>
      <c r="L15" s="3445">
        <v>57.882379880384299</v>
      </c>
      <c r="M15" s="1560">
        <v>80.659614714358497</v>
      </c>
      <c r="N15" s="1560">
        <v>66.351485221062802</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1508.3915837298678</v>
      </c>
      <c r="I20" s="72"/>
      <c r="J20" s="288"/>
      <c r="K20" s="288"/>
      <c r="L20" s="288"/>
      <c r="M20" s="288"/>
      <c r="N20" s="288"/>
      <c r="O20" s="288"/>
    </row>
    <row r="21" spans="2:15" ht="18" customHeight="1" x14ac:dyDescent="0.2">
      <c r="B21" s="2633" t="s">
        <v>2196</v>
      </c>
      <c r="C21" s="3272">
        <v>3219.8249999999998</v>
      </c>
      <c r="D21" s="3257">
        <v>225.36632029186501</v>
      </c>
      <c r="E21" s="3257">
        <v>6.1513999216903903</v>
      </c>
      <c r="F21" s="3131">
        <f t="shared" ref="F21:F30" si="0">IF(SUM(C21)=0,"NA",G21*1000/C21)</f>
        <v>91.634578116960583</v>
      </c>
      <c r="G21" s="3239">
        <v>295.04730548544256</v>
      </c>
      <c r="I21" s="72"/>
      <c r="J21" s="288"/>
      <c r="K21" s="288"/>
      <c r="L21" s="288"/>
      <c r="M21" s="288"/>
      <c r="N21" s="288"/>
      <c r="O21" s="288"/>
    </row>
    <row r="22" spans="2:15" ht="18" customHeight="1" x14ac:dyDescent="0.2">
      <c r="B22" s="2633" t="s">
        <v>2197</v>
      </c>
      <c r="C22" s="3272">
        <v>22812.38</v>
      </c>
      <c r="D22" s="3257">
        <v>125.527041166448</v>
      </c>
      <c r="E22" s="3257">
        <v>6.21225</v>
      </c>
      <c r="F22" s="3131">
        <f t="shared" si="0"/>
        <v>51.544540741181173</v>
      </c>
      <c r="G22" s="3239">
        <v>1175.8536503133066</v>
      </c>
      <c r="I22" s="72"/>
      <c r="J22" s="288"/>
      <c r="K22" s="288"/>
      <c r="L22" s="288"/>
      <c r="M22" s="288"/>
      <c r="N22" s="288"/>
      <c r="O22" s="288"/>
    </row>
    <row r="23" spans="2:15" ht="18" customHeight="1" x14ac:dyDescent="0.2">
      <c r="B23" s="2633" t="s">
        <v>2198</v>
      </c>
      <c r="C23" s="3272">
        <v>545.69200000000001</v>
      </c>
      <c r="D23" s="3257">
        <v>199.673083796973</v>
      </c>
      <c r="E23" s="3257">
        <v>5.2054580465958598</v>
      </c>
      <c r="F23" s="3131">
        <f t="shared" si="0"/>
        <v>68.702909207242556</v>
      </c>
      <c r="G23" s="3239">
        <v>37.49062793111861</v>
      </c>
      <c r="I23" s="72"/>
      <c r="J23" s="288"/>
      <c r="K23" s="288"/>
      <c r="L23" s="288"/>
      <c r="M23" s="288"/>
      <c r="N23" s="288"/>
      <c r="O23" s="288"/>
    </row>
    <row r="24" spans="2:15" ht="18" customHeight="1" x14ac:dyDescent="0.2">
      <c r="B24" s="287" t="s">
        <v>753</v>
      </c>
      <c r="C24" s="2635">
        <f>C25</f>
        <v>115456.058</v>
      </c>
      <c r="D24" s="3258"/>
      <c r="E24" s="3258"/>
      <c r="F24" s="3131">
        <f t="shared" si="0"/>
        <v>6.8372677263655728</v>
      </c>
      <c r="G24" s="3128">
        <f>G25</f>
        <v>789.40397917679172</v>
      </c>
      <c r="I24" s="72"/>
    </row>
    <row r="25" spans="2:15" ht="18" customHeight="1" x14ac:dyDescent="0.2">
      <c r="B25" s="282" t="s">
        <v>754</v>
      </c>
      <c r="C25" s="2635">
        <f>C26</f>
        <v>115456.058</v>
      </c>
      <c r="D25" s="3258"/>
      <c r="E25" s="3258"/>
      <c r="F25" s="3131">
        <f t="shared" si="0"/>
        <v>6.8372677263655728</v>
      </c>
      <c r="G25" s="3128">
        <f>G26</f>
        <v>789.40397917679172</v>
      </c>
    </row>
    <row r="26" spans="2:15" ht="18" customHeight="1" x14ac:dyDescent="0.2">
      <c r="B26" s="2634" t="s">
        <v>2201</v>
      </c>
      <c r="C26" s="289">
        <v>115456.058</v>
      </c>
      <c r="D26" s="3259">
        <v>16.7872990622452</v>
      </c>
      <c r="E26" s="3259">
        <v>6.1617673461475198</v>
      </c>
      <c r="F26" s="3131">
        <f t="shared" si="0"/>
        <v>6.8372677263655728</v>
      </c>
      <c r="G26" s="3240">
        <v>789.40397917679172</v>
      </c>
    </row>
    <row r="27" spans="2:15" ht="18" customHeight="1" x14ac:dyDescent="0.2">
      <c r="B27" s="287" t="s">
        <v>755</v>
      </c>
      <c r="C27" s="2635">
        <f>C28</f>
        <v>2626.4450000000002</v>
      </c>
      <c r="D27" s="3258"/>
      <c r="E27" s="3258"/>
      <c r="F27" s="3131">
        <f t="shared" si="0"/>
        <v>1.4070311571649079</v>
      </c>
      <c r="G27" s="3128">
        <f>G28</f>
        <v>3.6954899475799867</v>
      </c>
    </row>
    <row r="28" spans="2:15" ht="18" customHeight="1" x14ac:dyDescent="0.2">
      <c r="B28" s="282" t="s">
        <v>756</v>
      </c>
      <c r="C28" s="2635">
        <f>C29</f>
        <v>2626.4450000000002</v>
      </c>
      <c r="D28" s="3258"/>
      <c r="E28" s="3258"/>
      <c r="F28" s="3131">
        <f t="shared" si="0"/>
        <v>1.4070311571649079</v>
      </c>
      <c r="G28" s="3128">
        <f>G29</f>
        <v>3.6954899475799867</v>
      </c>
    </row>
    <row r="29" spans="2:15" ht="18" customHeight="1" x14ac:dyDescent="0.2">
      <c r="B29" s="2634" t="s">
        <v>817</v>
      </c>
      <c r="C29" s="289">
        <v>2626.4450000000002</v>
      </c>
      <c r="D29" s="3259">
        <v>30.409492987157901</v>
      </c>
      <c r="E29" s="3259">
        <v>0.7</v>
      </c>
      <c r="F29" s="3131">
        <f t="shared" si="0"/>
        <v>1.4070311571649079</v>
      </c>
      <c r="G29" s="3240">
        <v>3.6954899475799867</v>
      </c>
    </row>
    <row r="30" spans="2:15" ht="18" customHeight="1" x14ac:dyDescent="0.2">
      <c r="B30" s="287" t="s">
        <v>757</v>
      </c>
      <c r="C30" s="2635">
        <f>SUM(C32:C39)</f>
        <v>55569.165999999997</v>
      </c>
      <c r="D30" s="3258"/>
      <c r="E30" s="3258"/>
      <c r="F30" s="3131">
        <f t="shared" si="0"/>
        <v>0.15643662890315826</v>
      </c>
      <c r="G30" s="3128">
        <f>SUM(G32:G39)</f>
        <v>8.693052999999999</v>
      </c>
    </row>
    <row r="31" spans="2:15" ht="18" customHeight="1" x14ac:dyDescent="0.2">
      <c r="B31" s="1305" t="s">
        <v>345</v>
      </c>
      <c r="C31" s="3273"/>
      <c r="D31" s="3261"/>
      <c r="E31" s="3261"/>
      <c r="F31" s="3261"/>
      <c r="G31" s="3262"/>
    </row>
    <row r="32" spans="2:15" ht="18" customHeight="1" x14ac:dyDescent="0.2">
      <c r="B32" s="286" t="s">
        <v>758</v>
      </c>
      <c r="C32" s="3267">
        <v>8.52</v>
      </c>
      <c r="D32" s="3263" t="s">
        <v>2147</v>
      </c>
      <c r="E32" s="3263" t="s">
        <v>2147</v>
      </c>
      <c r="F32" s="3131">
        <f t="shared" ref="F32:F40" si="1">IF(SUM(C32)=0,"NA",G32*1000/C32)</f>
        <v>76</v>
      </c>
      <c r="G32" s="3239">
        <v>0.64751999999999998</v>
      </c>
    </row>
    <row r="33" spans="2:7" ht="18" customHeight="1" x14ac:dyDescent="0.2">
      <c r="B33" s="286" t="s">
        <v>759</v>
      </c>
      <c r="C33" s="3267">
        <v>1.8540000000000001</v>
      </c>
      <c r="D33" s="3263" t="s">
        <v>2147</v>
      </c>
      <c r="E33" s="3263" t="s">
        <v>2147</v>
      </c>
      <c r="F33" s="3131">
        <f t="shared" si="1"/>
        <v>45.999999999999993</v>
      </c>
      <c r="G33" s="3239">
        <v>8.5283999999999999E-2</v>
      </c>
    </row>
    <row r="34" spans="2:7" ht="18" customHeight="1" x14ac:dyDescent="0.2">
      <c r="B34" s="286" t="s">
        <v>760</v>
      </c>
      <c r="C34" s="3267">
        <v>127.04300000000001</v>
      </c>
      <c r="D34" s="3263" t="s">
        <v>2147</v>
      </c>
      <c r="E34" s="3263" t="s">
        <v>2147</v>
      </c>
      <c r="F34" s="3131">
        <f t="shared" si="1"/>
        <v>20</v>
      </c>
      <c r="G34" s="3239">
        <v>2.5408600000000003</v>
      </c>
    </row>
    <row r="35" spans="2:7" ht="18" customHeight="1" x14ac:dyDescent="0.2">
      <c r="B35" s="286" t="s">
        <v>761</v>
      </c>
      <c r="C35" s="3267">
        <v>193.464</v>
      </c>
      <c r="D35" s="3263" t="s">
        <v>2147</v>
      </c>
      <c r="E35" s="3263" t="s">
        <v>2147</v>
      </c>
      <c r="F35" s="3131">
        <f t="shared" si="1"/>
        <v>5</v>
      </c>
      <c r="G35" s="3239">
        <v>0.96731999999999996</v>
      </c>
    </row>
    <row r="36" spans="2:7" ht="18" customHeight="1" x14ac:dyDescent="0.2">
      <c r="B36" s="286" t="s">
        <v>762</v>
      </c>
      <c r="C36" s="3267">
        <v>215.398</v>
      </c>
      <c r="D36" s="3263" t="s">
        <v>2147</v>
      </c>
      <c r="E36" s="3263" t="s">
        <v>2147</v>
      </c>
      <c r="F36" s="3131">
        <f t="shared" si="1"/>
        <v>18</v>
      </c>
      <c r="G36" s="3239">
        <v>3.8771640000000001</v>
      </c>
    </row>
    <row r="37" spans="2:7" ht="18" customHeight="1" x14ac:dyDescent="0.2">
      <c r="B37" s="286" t="s">
        <v>763</v>
      </c>
      <c r="C37" s="3267">
        <v>0.438</v>
      </c>
      <c r="D37" s="3263" t="s">
        <v>2147</v>
      </c>
      <c r="E37" s="3263" t="s">
        <v>2147</v>
      </c>
      <c r="F37" s="3131">
        <f t="shared" si="1"/>
        <v>10</v>
      </c>
      <c r="G37" s="3239">
        <v>4.3800000000000002E-3</v>
      </c>
    </row>
    <row r="38" spans="2:7" ht="18" customHeight="1" x14ac:dyDescent="0.2">
      <c r="B38" s="286" t="s">
        <v>764</v>
      </c>
      <c r="C38" s="3274">
        <v>54911.749000000003</v>
      </c>
      <c r="D38" s="3263" t="s">
        <v>2147</v>
      </c>
      <c r="E38" s="3263" t="s">
        <v>2147</v>
      </c>
      <c r="F38" s="3131" t="s">
        <v>2147</v>
      </c>
      <c r="G38" s="3264" t="s">
        <v>2154</v>
      </c>
    </row>
    <row r="39" spans="2:7" ht="18" customHeight="1" x14ac:dyDescent="0.2">
      <c r="B39" s="286" t="s">
        <v>765</v>
      </c>
      <c r="C39" s="2635">
        <f>SUM(C40:C44)</f>
        <v>110.7</v>
      </c>
      <c r="D39" s="3258"/>
      <c r="E39" s="3258"/>
      <c r="F39" s="3131">
        <f t="shared" si="1"/>
        <v>5.1537940379403793</v>
      </c>
      <c r="G39" s="3128">
        <f>SUM(G40:G44)</f>
        <v>0.57052499999999995</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105.02500000000001</v>
      </c>
      <c r="D42" s="2967" t="s">
        <v>2147</v>
      </c>
      <c r="E42" s="2967" t="s">
        <v>2147</v>
      </c>
      <c r="F42" s="3131">
        <f t="shared" si="2"/>
        <v>5</v>
      </c>
      <c r="G42" s="3201">
        <v>0.52512499999999995</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5.6749999999999998</v>
      </c>
      <c r="D44" s="3258"/>
      <c r="E44" s="3258"/>
      <c r="F44" s="3131">
        <f>IF(SUM(C44)=0,"NA",G44*1000/C44)</f>
        <v>8</v>
      </c>
      <c r="G44" s="3128">
        <f>G45</f>
        <v>4.5399999999999996E-2</v>
      </c>
    </row>
    <row r="45" spans="2:7" ht="18" customHeight="1" thickBot="1" x14ac:dyDescent="0.25">
      <c r="B45" s="2636" t="s">
        <v>2199</v>
      </c>
      <c r="C45" s="3276">
        <v>5.6749999999999998</v>
      </c>
      <c r="D45" s="3137" t="s">
        <v>2147</v>
      </c>
      <c r="E45" s="3137" t="s">
        <v>2147</v>
      </c>
      <c r="F45" s="3265">
        <f>IF(SUM(C45)=0,"NA",G45*1000/C45)</f>
        <v>8</v>
      </c>
      <c r="G45" s="3203">
        <v>4.5399999999999996E-2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26577.897000000001</v>
      </c>
      <c r="D10" s="2942"/>
      <c r="E10" s="2942"/>
      <c r="F10" s="2942"/>
      <c r="G10" s="2942"/>
      <c r="H10" s="2942"/>
      <c r="I10" s="3279"/>
      <c r="J10" s="3280">
        <f>IF(SUM(C10)=0,"NA",K10*1000/C10)</f>
        <v>4.8059614725823678</v>
      </c>
      <c r="K10" s="3281">
        <f>K15</f>
        <v>127.73234900426249</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26577.897000000001</v>
      </c>
      <c r="D15" s="3293"/>
      <c r="E15" s="3293"/>
      <c r="F15" s="3293"/>
      <c r="G15" s="3293"/>
      <c r="H15" s="3293"/>
      <c r="I15" s="3288"/>
      <c r="J15" s="3287">
        <f>IF(SUM(C15)=0,"NA",K15*1000/C15)</f>
        <v>4.8059614725823678</v>
      </c>
      <c r="K15" s="3281">
        <f>SUM(K17:K20)</f>
        <v>127.73234900426249</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26577.897000000001</v>
      </c>
      <c r="D20" s="3293"/>
      <c r="E20" s="3293"/>
      <c r="F20" s="3293"/>
      <c r="G20" s="3293"/>
      <c r="H20" s="3293"/>
      <c r="I20" s="3288"/>
      <c r="J20" s="3301">
        <f>IF(SUM(C20)=0,"NA",K20*1000/C20)</f>
        <v>4.8059614725823678</v>
      </c>
      <c r="K20" s="3281">
        <f>SUM(K21:K23)</f>
        <v>127.73234900426249</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3219.8249999999998</v>
      </c>
      <c r="D21" s="3325">
        <v>7.24405298350724</v>
      </c>
      <c r="E21" s="3325">
        <v>92.721348858568263</v>
      </c>
      <c r="F21" s="3325">
        <v>3.4598157924500002E-2</v>
      </c>
      <c r="G21" s="3298">
        <f>Table3.A!K10</f>
        <v>448.70575176627398</v>
      </c>
      <c r="H21" s="3299">
        <v>3.2372522106849901</v>
      </c>
      <c r="I21" s="3300">
        <v>0.24</v>
      </c>
      <c r="J21" s="3301">
        <f>IF(SUM(C21)=0,"NA",K21*1000/C21)</f>
        <v>8.6983302663399282</v>
      </c>
      <c r="K21" s="3277">
        <v>28.007101249817961</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22812.38</v>
      </c>
      <c r="D22" s="3325" t="s">
        <v>2146</v>
      </c>
      <c r="E22" s="3325">
        <v>88.723363505210401</v>
      </c>
      <c r="F22" s="3325">
        <v>11.276636494789599</v>
      </c>
      <c r="G22" s="3298">
        <f>Table3.A!L10</f>
        <v>362.63545044754397</v>
      </c>
      <c r="H22" s="3299" t="s">
        <v>2147</v>
      </c>
      <c r="I22" s="3300" t="s">
        <v>2147</v>
      </c>
      <c r="J22" s="3301">
        <f t="shared" ref="J22:J45" si="0">IF(SUM(C22)=0,"NA",K22*1000/C22)</f>
        <v>4.2887352046552243</v>
      </c>
      <c r="K22" s="3277">
        <v>97.836257207972736</v>
      </c>
      <c r="M22" s="1594" t="s">
        <v>800</v>
      </c>
      <c r="N22" s="4486" t="s">
        <v>2196</v>
      </c>
      <c r="O22" s="1690" t="s">
        <v>802</v>
      </c>
      <c r="P22" s="1691" t="s">
        <v>791</v>
      </c>
      <c r="Q22" s="3774">
        <v>3.51955512891367</v>
      </c>
      <c r="R22" s="300" t="s">
        <v>2146</v>
      </c>
      <c r="S22" s="3772">
        <v>5.7989854711670201</v>
      </c>
      <c r="T22" s="3772">
        <v>0.80322244134408549</v>
      </c>
      <c r="U22" s="3772" t="s">
        <v>2146</v>
      </c>
      <c r="V22" s="3772" t="s">
        <v>2153</v>
      </c>
      <c r="W22" s="3772" t="s">
        <v>2146</v>
      </c>
      <c r="X22" s="3772">
        <v>89.878236958575201</v>
      </c>
      <c r="Y22" s="301" t="s">
        <v>2146</v>
      </c>
      <c r="Z22" s="301" t="s">
        <v>2146</v>
      </c>
      <c r="AA22" s="301" t="s">
        <v>2146</v>
      </c>
      <c r="AB22" s="1306" t="s">
        <v>2146</v>
      </c>
    </row>
    <row r="23" spans="2:28" s="84" customFormat="1" ht="18" customHeight="1" x14ac:dyDescent="0.2">
      <c r="B23" s="2642" t="s">
        <v>2198</v>
      </c>
      <c r="C23" s="3325">
        <f>Table3.A!C23</f>
        <v>545.69200000000001</v>
      </c>
      <c r="D23" s="3325" t="s">
        <v>2146</v>
      </c>
      <c r="E23" s="3325">
        <v>100</v>
      </c>
      <c r="F23" s="3325" t="s">
        <v>2146</v>
      </c>
      <c r="G23" s="3298">
        <f>Table3.A!M10</f>
        <v>514.06060606060601</v>
      </c>
      <c r="H23" s="3299">
        <v>1.68951753766497</v>
      </c>
      <c r="I23" s="3300">
        <v>0.19</v>
      </c>
      <c r="J23" s="3301">
        <f t="shared" si="0"/>
        <v>3.4616423668878911</v>
      </c>
      <c r="K23" s="3277">
        <v>1.8889905464717871</v>
      </c>
      <c r="M23" s="1664" t="s">
        <v>813</v>
      </c>
      <c r="N23" s="4487"/>
      <c r="O23" s="1692" t="s">
        <v>794</v>
      </c>
      <c r="P23" s="1693" t="s">
        <v>792</v>
      </c>
      <c r="Q23" s="3776">
        <v>4.2888554927590601</v>
      </c>
      <c r="R23" s="277" t="s">
        <v>2146</v>
      </c>
      <c r="S23" s="691">
        <v>5.1951036226774097</v>
      </c>
      <c r="T23" s="3147">
        <v>1.0529743437851267</v>
      </c>
      <c r="U23" s="3147" t="s">
        <v>2146</v>
      </c>
      <c r="V23" s="3147" t="s">
        <v>2153</v>
      </c>
      <c r="W23" s="3147" t="s">
        <v>2146</v>
      </c>
      <c r="X23" s="3147">
        <v>89.463066540778399</v>
      </c>
      <c r="Y23" s="278" t="s">
        <v>2146</v>
      </c>
      <c r="Z23" s="278" t="s">
        <v>2146</v>
      </c>
      <c r="AA23" s="278" t="s">
        <v>2146</v>
      </c>
      <c r="AB23" s="279" t="s">
        <v>2146</v>
      </c>
    </row>
    <row r="24" spans="2:28" s="84" customFormat="1" ht="18" customHeight="1" thickBot="1" x14ac:dyDescent="0.25">
      <c r="B24" s="1643" t="s">
        <v>811</v>
      </c>
      <c r="C24" s="4184">
        <f>C25</f>
        <v>115456.058</v>
      </c>
      <c r="D24" s="3303"/>
      <c r="E24" s="3303"/>
      <c r="F24" s="3303"/>
      <c r="G24" s="3303"/>
      <c r="H24" s="3303"/>
      <c r="I24" s="3304"/>
      <c r="J24" s="3301">
        <f t="shared" si="0"/>
        <v>0.35121846529714196</v>
      </c>
      <c r="K24" s="3281">
        <f>K25</f>
        <v>40.550299500017815</v>
      </c>
      <c r="M24" s="1656"/>
      <c r="N24" s="4487"/>
      <c r="O24" s="1694"/>
      <c r="P24" s="1693" t="s">
        <v>793</v>
      </c>
      <c r="Q24" s="4208">
        <v>2.5989598177026298</v>
      </c>
      <c r="R24" s="304" t="s">
        <v>2146</v>
      </c>
      <c r="S24" s="1559">
        <v>7.5442028041645903</v>
      </c>
      <c r="T24" s="1560">
        <v>1.4980115615924905</v>
      </c>
      <c r="U24" s="1560" t="s">
        <v>2146</v>
      </c>
      <c r="V24" s="1560" t="s">
        <v>2153</v>
      </c>
      <c r="W24" s="1560" t="s">
        <v>2146</v>
      </c>
      <c r="X24" s="1560">
        <v>88.358825816540303</v>
      </c>
      <c r="Y24" s="305" t="s">
        <v>2146</v>
      </c>
      <c r="Z24" s="305" t="s">
        <v>2146</v>
      </c>
      <c r="AA24" s="305" t="s">
        <v>2146</v>
      </c>
      <c r="AB24" s="442" t="s">
        <v>2146</v>
      </c>
    </row>
    <row r="25" spans="2:28" s="84" customFormat="1" ht="18" customHeight="1" x14ac:dyDescent="0.2">
      <c r="B25" s="1644" t="s">
        <v>812</v>
      </c>
      <c r="C25" s="4184">
        <f>C26</f>
        <v>115456.058</v>
      </c>
      <c r="D25" s="3250"/>
      <c r="E25" s="3250"/>
      <c r="F25" s="3250"/>
      <c r="G25" s="3250"/>
      <c r="H25" s="3250"/>
      <c r="I25" s="3260"/>
      <c r="J25" s="3301">
        <f t="shared" si="0"/>
        <v>0.35121846529714196</v>
      </c>
      <c r="K25" s="3281">
        <f>K26</f>
        <v>40.550299500017815</v>
      </c>
      <c r="M25" s="1656"/>
      <c r="N25" s="4487"/>
      <c r="O25" s="1695" t="s">
        <v>2026</v>
      </c>
      <c r="P25" s="1691" t="s">
        <v>791</v>
      </c>
      <c r="Q25" s="4209">
        <v>0.70004167277609997</v>
      </c>
      <c r="R25" s="1308" t="s">
        <v>2146</v>
      </c>
      <c r="S25" s="692">
        <v>3.791076038953E-2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115456.058</v>
      </c>
      <c r="D26" s="3325" t="s">
        <v>2146</v>
      </c>
      <c r="E26" s="3325">
        <v>100</v>
      </c>
      <c r="F26" s="3325" t="s">
        <v>2146</v>
      </c>
      <c r="G26" s="3305">
        <f>Table3.A!N10</f>
        <v>45.234380093678801</v>
      </c>
      <c r="H26" s="3033" t="s">
        <v>2147</v>
      </c>
      <c r="I26" s="3126" t="s">
        <v>2147</v>
      </c>
      <c r="J26" s="3301">
        <f t="shared" si="0"/>
        <v>0.35121846529714196</v>
      </c>
      <c r="K26" s="3277">
        <v>40.550299500017815</v>
      </c>
      <c r="M26" s="1656"/>
      <c r="N26" s="4487"/>
      <c r="O26" s="1696"/>
      <c r="P26" s="1693" t="s">
        <v>792</v>
      </c>
      <c r="Q26" s="3776">
        <v>0.74492695207795001</v>
      </c>
      <c r="R26" s="277" t="s">
        <v>2146</v>
      </c>
      <c r="S26" s="691">
        <v>8.7213895350719994E-2</v>
      </c>
      <c r="T26" s="3147">
        <v>2.0000000000000004</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2626.4450000000002</v>
      </c>
      <c r="D27" s="3250"/>
      <c r="E27" s="3250"/>
      <c r="F27" s="3250"/>
      <c r="G27" s="3250"/>
      <c r="H27" s="3250"/>
      <c r="I27" s="3260"/>
      <c r="J27" s="3301">
        <f t="shared" si="0"/>
        <v>21.52724159720103</v>
      </c>
      <c r="K27" s="3281">
        <f>K28</f>
        <v>56.540116056760667</v>
      </c>
      <c r="M27" s="1656"/>
      <c r="N27" s="4488"/>
      <c r="O27" s="1697"/>
      <c r="P27" s="1693" t="s">
        <v>793</v>
      </c>
      <c r="Q27" s="4208">
        <v>0.8</v>
      </c>
      <c r="R27" s="304" t="s">
        <v>2146</v>
      </c>
      <c r="S27" s="1559">
        <v>0.33881578947368002</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2626.4450000000002</v>
      </c>
      <c r="D28" s="3250"/>
      <c r="E28" s="3250"/>
      <c r="F28" s="3250"/>
      <c r="G28" s="3250"/>
      <c r="H28" s="3250"/>
      <c r="I28" s="3260"/>
      <c r="J28" s="3301">
        <f t="shared" si="0"/>
        <v>21.52724159720103</v>
      </c>
      <c r="K28" s="3281">
        <f>K29</f>
        <v>56.540116056760667</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2626.4450000000002</v>
      </c>
      <c r="D29" s="3325">
        <v>0.83401702041984005</v>
      </c>
      <c r="E29" s="3325">
        <v>99.165982979580164</v>
      </c>
      <c r="F29" s="3325" t="s">
        <v>2146</v>
      </c>
      <c r="G29" s="3305">
        <f>Table3.A!O10</f>
        <v>53.9926733670614</v>
      </c>
      <c r="H29" s="3033">
        <v>0.29669890718718001</v>
      </c>
      <c r="I29" s="3126">
        <v>0.45</v>
      </c>
      <c r="J29" s="3301">
        <f t="shared" si="0"/>
        <v>21.52724159720103</v>
      </c>
      <c r="K29" s="3277">
        <v>56.540116056760667</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55569.165999999997</v>
      </c>
      <c r="D30" s="3250"/>
      <c r="E30" s="3250"/>
      <c r="F30" s="3250"/>
      <c r="G30" s="3250"/>
      <c r="H30" s="3250"/>
      <c r="I30" s="3260"/>
      <c r="J30" s="3301">
        <f t="shared" si="0"/>
        <v>5.5017225317047586E-2</v>
      </c>
      <c r="K30" s="3281">
        <f>SUM(K32:K39)</f>
        <v>3.0572613265024198</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8.52</v>
      </c>
      <c r="D32" s="3325" t="s">
        <v>2146</v>
      </c>
      <c r="E32" s="3325" t="s">
        <v>2146</v>
      </c>
      <c r="F32" s="3325">
        <v>100</v>
      </c>
      <c r="G32" s="3307" t="s">
        <v>2147</v>
      </c>
      <c r="H32" s="3307" t="s">
        <v>2147</v>
      </c>
      <c r="I32" s="3307" t="s">
        <v>2147</v>
      </c>
      <c r="J32" s="3301">
        <f t="shared" si="0"/>
        <v>11.569996682399509</v>
      </c>
      <c r="K32" s="3277">
        <v>9.8576371734043822E-2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1.8540000000000001</v>
      </c>
      <c r="D33" s="3325" t="s">
        <v>2146</v>
      </c>
      <c r="E33" s="3325">
        <v>32.254584681769103</v>
      </c>
      <c r="F33" s="3325">
        <v>67.745415318230897</v>
      </c>
      <c r="G33" s="3307" t="s">
        <v>2147</v>
      </c>
      <c r="H33" s="3307" t="s">
        <v>2147</v>
      </c>
      <c r="I33" s="3307" t="s">
        <v>2147</v>
      </c>
      <c r="J33" s="3287">
        <f t="shared" si="0"/>
        <v>8.8056601063977098</v>
      </c>
      <c r="K33" s="3277">
        <v>1.6325693837261356E-2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127.04300000000001</v>
      </c>
      <c r="D34" s="3325" t="s">
        <v>2146</v>
      </c>
      <c r="E34" s="3325">
        <v>100</v>
      </c>
      <c r="F34" s="3325" t="e">
        <v>#VALUE!</v>
      </c>
      <c r="G34" s="3307" t="s">
        <v>2147</v>
      </c>
      <c r="H34" s="3307" t="s">
        <v>2147</v>
      </c>
      <c r="I34" s="3307" t="s">
        <v>2147</v>
      </c>
      <c r="J34" s="3287">
        <f t="shared" si="0"/>
        <v>0.99987625650366152</v>
      </c>
      <c r="K34" s="3277">
        <v>0.12702727925499468</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193.464</v>
      </c>
      <c r="D35" s="3325" t="s">
        <v>2146</v>
      </c>
      <c r="E35" s="3325">
        <v>99.880081048670547</v>
      </c>
      <c r="F35" s="3325">
        <v>0.11991895132945</v>
      </c>
      <c r="G35" s="3307" t="s">
        <v>2147</v>
      </c>
      <c r="H35" s="3307" t="s">
        <v>2147</v>
      </c>
      <c r="I35" s="3307" t="s">
        <v>2147</v>
      </c>
      <c r="J35" s="3287">
        <f t="shared" si="0"/>
        <v>0.35854682778624897</v>
      </c>
      <c r="K35" s="3277">
        <v>6.9365903490838876E-2</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215.398</v>
      </c>
      <c r="D36" s="3325" t="s">
        <v>2146</v>
      </c>
      <c r="E36" s="3325">
        <v>97.100251627220317</v>
      </c>
      <c r="F36" s="3325">
        <v>2.89974837277969</v>
      </c>
      <c r="G36" s="3307" t="s">
        <v>2147</v>
      </c>
      <c r="H36" s="3307" t="s">
        <v>2147</v>
      </c>
      <c r="I36" s="3307" t="s">
        <v>2147</v>
      </c>
      <c r="J36" s="3287">
        <f t="shared" si="0"/>
        <v>3.2481478736062028</v>
      </c>
      <c r="K36" s="3277">
        <v>0.69964455567902883</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0.438</v>
      </c>
      <c r="D37" s="3325" t="s">
        <v>2146</v>
      </c>
      <c r="E37" s="3325">
        <v>99.315068493150676</v>
      </c>
      <c r="F37" s="3325">
        <v>0.68493150684932003</v>
      </c>
      <c r="G37" s="3307" t="s">
        <v>2147</v>
      </c>
      <c r="H37" s="3307" t="s">
        <v>2147</v>
      </c>
      <c r="I37" s="3307" t="s">
        <v>2147</v>
      </c>
      <c r="J37" s="3287">
        <f t="shared" si="0"/>
        <v>1.0194433065330875</v>
      </c>
      <c r="K37" s="3277">
        <v>4.465161682614923E-4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54911.749000000003</v>
      </c>
      <c r="D38" s="3325">
        <v>0.94157674084789</v>
      </c>
      <c r="E38" s="3325">
        <v>99.058423259152107</v>
      </c>
      <c r="F38" s="3325" t="s">
        <v>2146</v>
      </c>
      <c r="G38" s="3307" t="s">
        <v>2147</v>
      </c>
      <c r="H38" s="3307" t="s">
        <v>2147</v>
      </c>
      <c r="I38" s="3307" t="s">
        <v>2147</v>
      </c>
      <c r="J38" s="3287">
        <f t="shared" si="0"/>
        <v>3.6537160747245057E-2</v>
      </c>
      <c r="K38" s="3277">
        <v>2.0063194001253732</v>
      </c>
      <c r="M38" s="1656"/>
      <c r="N38" s="4487"/>
      <c r="O38" s="1696"/>
      <c r="P38" s="1693" t="s">
        <v>792</v>
      </c>
      <c r="Q38" s="3776">
        <v>0.76151268608555001</v>
      </c>
      <c r="R38" s="277" t="s">
        <v>2146</v>
      </c>
      <c r="S38" s="277" t="s">
        <v>2146</v>
      </c>
      <c r="T38" s="3147" t="s">
        <v>2153</v>
      </c>
      <c r="U38" s="3147" t="s">
        <v>2146</v>
      </c>
      <c r="V38" s="3147">
        <v>2.0506027807891448E-2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110.7</v>
      </c>
      <c r="D39" s="3294"/>
      <c r="E39" s="3294"/>
      <c r="F39" s="3294"/>
      <c r="G39" s="3294"/>
      <c r="H39" s="3294"/>
      <c r="I39" s="3295"/>
      <c r="J39" s="3287">
        <f t="shared" si="0"/>
        <v>0.35732254934613611</v>
      </c>
      <c r="K39" s="3281">
        <f>SUM(K40:K44)</f>
        <v>3.9555606212617271E-2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82.7</v>
      </c>
      <c r="R40" s="300" t="s">
        <v>2146</v>
      </c>
      <c r="S40" s="300" t="s">
        <v>2146</v>
      </c>
      <c r="T40" s="3773" t="s">
        <v>2153</v>
      </c>
      <c r="U40" s="3773" t="s">
        <v>2153</v>
      </c>
      <c r="V40" s="3773">
        <v>13.624999999999998</v>
      </c>
      <c r="W40" s="3773" t="s">
        <v>2153</v>
      </c>
      <c r="X40" s="301" t="s">
        <v>2146</v>
      </c>
      <c r="Y40" s="301" t="s">
        <v>2146</v>
      </c>
      <c r="Z40" s="3773" t="s">
        <v>2146</v>
      </c>
      <c r="AA40" s="301" t="s">
        <v>2146</v>
      </c>
      <c r="AB40" s="3775">
        <v>8.9</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84.937251361650297</v>
      </c>
      <c r="R41" s="277" t="s">
        <v>2146</v>
      </c>
      <c r="S41" s="277" t="s">
        <v>2146</v>
      </c>
      <c r="T41" s="3147" t="s">
        <v>2153</v>
      </c>
      <c r="U41" s="3147" t="s">
        <v>2153</v>
      </c>
      <c r="V41" s="3147">
        <v>12.015508256178348</v>
      </c>
      <c r="W41" s="3147" t="s">
        <v>2153</v>
      </c>
      <c r="X41" s="278" t="s">
        <v>2146</v>
      </c>
      <c r="Y41" s="278" t="s">
        <v>2146</v>
      </c>
      <c r="Z41" s="3147">
        <v>0.43609407879516998</v>
      </c>
      <c r="AA41" s="278" t="s">
        <v>2146</v>
      </c>
      <c r="AB41" s="2911">
        <v>6.54731251198388</v>
      </c>
    </row>
    <row r="42" spans="2:28" s="84" customFormat="1" ht="18" customHeight="1" thickBot="1" x14ac:dyDescent="0.25">
      <c r="B42" s="350" t="s">
        <v>828</v>
      </c>
      <c r="C42" s="3307">
        <f>Table3.A!C42</f>
        <v>105.02500000000001</v>
      </c>
      <c r="D42" s="3325" t="s">
        <v>2146</v>
      </c>
      <c r="E42" s="3325">
        <v>100</v>
      </c>
      <c r="F42" s="3325" t="s">
        <v>2146</v>
      </c>
      <c r="G42" s="3307" t="s">
        <v>2147</v>
      </c>
      <c r="H42" s="3307" t="s">
        <v>2147</v>
      </c>
      <c r="I42" s="3307" t="s">
        <v>2147</v>
      </c>
      <c r="J42" s="3287">
        <f t="shared" si="0"/>
        <v>0.35732254934613616</v>
      </c>
      <c r="K42" s="3277">
        <v>3.7527800745077951E-2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1.6330275229357802</v>
      </c>
      <c r="W43" s="3773" t="s">
        <v>2153</v>
      </c>
      <c r="X43" s="301" t="s">
        <v>2146</v>
      </c>
      <c r="Y43" s="301" t="s">
        <v>2146</v>
      </c>
      <c r="Z43" s="3773" t="s">
        <v>2146</v>
      </c>
      <c r="AA43" s="301" t="s">
        <v>2146</v>
      </c>
      <c r="AB43" s="3775">
        <v>3.6179775280900002E-2</v>
      </c>
    </row>
    <row r="44" spans="2:28" s="84" customFormat="1" ht="18" customHeight="1" x14ac:dyDescent="0.2">
      <c r="B44" s="2644" t="s">
        <v>2091</v>
      </c>
      <c r="C44" s="4184">
        <f>C45</f>
        <v>5.6749999999999998</v>
      </c>
      <c r="D44" s="3294"/>
      <c r="E44" s="3294"/>
      <c r="F44" s="3294"/>
      <c r="G44" s="3294"/>
      <c r="H44" s="3294"/>
      <c r="I44" s="3295"/>
      <c r="J44" s="3287">
        <f t="shared" si="0"/>
        <v>0.35732254934613616</v>
      </c>
      <c r="K44" s="3281">
        <f>K45</f>
        <v>2.0278054675393225E-3</v>
      </c>
      <c r="M44" s="4491"/>
      <c r="N44" s="4492"/>
      <c r="O44" s="1696"/>
      <c r="P44" s="1693" t="s">
        <v>792</v>
      </c>
      <c r="Q44" s="3776">
        <v>0.75491756049685999</v>
      </c>
      <c r="R44" s="277" t="s">
        <v>2146</v>
      </c>
      <c r="S44" s="277" t="s">
        <v>2146</v>
      </c>
      <c r="T44" s="3147" t="s">
        <v>2153</v>
      </c>
      <c r="U44" s="3147" t="s">
        <v>2153</v>
      </c>
      <c r="V44" s="3147">
        <v>1.7991999710245861</v>
      </c>
      <c r="W44" s="3147" t="s">
        <v>2153</v>
      </c>
      <c r="X44" s="278" t="s">
        <v>2146</v>
      </c>
      <c r="Y44" s="278" t="s">
        <v>2146</v>
      </c>
      <c r="Z44" s="3147">
        <v>0.1</v>
      </c>
      <c r="AA44" s="278" t="s">
        <v>2146</v>
      </c>
      <c r="AB44" s="2911">
        <v>3.7485790179419998E-2</v>
      </c>
    </row>
    <row r="45" spans="2:28" s="84" customFormat="1" ht="18" customHeight="1" thickBot="1" x14ac:dyDescent="0.25">
      <c r="B45" s="2648" t="s">
        <v>2199</v>
      </c>
      <c r="C45" s="4186">
        <f>Table3.A!C45</f>
        <v>5.6749999999999998</v>
      </c>
      <c r="D45" s="3040" t="s">
        <v>2146</v>
      </c>
      <c r="E45" s="3040">
        <v>100</v>
      </c>
      <c r="F45" s="3040" t="s">
        <v>2146</v>
      </c>
      <c r="G45" s="3040" t="s">
        <v>2147</v>
      </c>
      <c r="H45" s="3040" t="s">
        <v>2147</v>
      </c>
      <c r="I45" s="3308" t="s">
        <v>2147</v>
      </c>
      <c r="J45" s="3309">
        <f t="shared" si="0"/>
        <v>0.35732254934613616</v>
      </c>
      <c r="K45" s="3278">
        <v>2.0278054675393225E-3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50.221262662111656</v>
      </c>
      <c r="U46" s="3773" t="s">
        <v>2146</v>
      </c>
      <c r="V46" s="3773" t="s">
        <v>2146</v>
      </c>
      <c r="W46" s="3773" t="s">
        <v>2153</v>
      </c>
      <c r="X46" s="3773">
        <v>0.2</v>
      </c>
      <c r="Y46" s="3773">
        <v>17.259530481641701</v>
      </c>
      <c r="Z46" s="3773">
        <v>0.47089340747175001</v>
      </c>
      <c r="AA46" s="301" t="s">
        <v>2146</v>
      </c>
      <c r="AB46" s="3775">
        <v>99.8</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45.871132971839913</v>
      </c>
      <c r="U47" s="3147" t="s">
        <v>2146</v>
      </c>
      <c r="V47" s="3147" t="s">
        <v>2146</v>
      </c>
      <c r="W47" s="3147" t="s">
        <v>2153</v>
      </c>
      <c r="X47" s="3147">
        <v>0.2</v>
      </c>
      <c r="Y47" s="3147">
        <v>18.366724418762701</v>
      </c>
      <c r="Z47" s="3147">
        <v>0.30269149991513</v>
      </c>
      <c r="AA47" s="278" t="s">
        <v>2146</v>
      </c>
      <c r="AB47" s="2911">
        <v>99.8</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1.353257311966E-2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26577.897000000001</v>
      </c>
      <c r="D10" s="3490"/>
      <c r="E10" s="3491"/>
      <c r="F10" s="3478">
        <f>F15</f>
        <v>17368373.346321024</v>
      </c>
      <c r="G10" s="3478" t="str">
        <f t="shared" ref="G10:R10" si="0">G15</f>
        <v>NO</v>
      </c>
      <c r="H10" s="3478">
        <f t="shared" si="0"/>
        <v>20388480.385026801</v>
      </c>
      <c r="I10" s="3478">
        <f t="shared" si="0"/>
        <v>4047287.3448651265</v>
      </c>
      <c r="J10" s="3478" t="str">
        <f t="shared" si="0"/>
        <v>NO</v>
      </c>
      <c r="K10" s="3478">
        <f t="shared" si="0"/>
        <v>52677385.967184871</v>
      </c>
      <c r="L10" s="3478" t="str">
        <f t="shared" si="0"/>
        <v>NO</v>
      </c>
      <c r="M10" s="3478">
        <f t="shared" si="0"/>
        <v>1163065834.7070839</v>
      </c>
      <c r="N10" s="3478" t="str">
        <f t="shared" si="0"/>
        <v>NO</v>
      </c>
      <c r="O10" s="3478" t="str">
        <f t="shared" si="0"/>
        <v>NO</v>
      </c>
      <c r="P10" s="3478" t="str">
        <f t="shared" si="0"/>
        <v>NO</v>
      </c>
      <c r="Q10" s="3478" t="str">
        <f t="shared" si="0"/>
        <v>NO</v>
      </c>
      <c r="R10" s="3478">
        <f t="shared" si="0"/>
        <v>1257547361.7504818</v>
      </c>
      <c r="S10" s="2651"/>
      <c r="T10" s="2652"/>
      <c r="U10" s="3456">
        <f>IF(SUM(X10)=0,"NA",X10*1000/C10)</f>
        <v>1.7694596523552153E-2</v>
      </c>
      <c r="V10" s="3448"/>
      <c r="W10" s="3449"/>
      <c r="X10" s="3311">
        <f t="shared" ref="X10" si="1">X15</f>
        <v>0.47028516385952718</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26577.897000000001</v>
      </c>
      <c r="D15" s="3493"/>
      <c r="E15" s="3493"/>
      <c r="F15" s="2649">
        <f>F20</f>
        <v>17368373.346321024</v>
      </c>
      <c r="G15" s="2649" t="str">
        <f t="shared" ref="G15:R15" si="2">G20</f>
        <v>NO</v>
      </c>
      <c r="H15" s="2649">
        <f t="shared" si="2"/>
        <v>20388480.385026801</v>
      </c>
      <c r="I15" s="2649">
        <f t="shared" si="2"/>
        <v>4047287.3448651265</v>
      </c>
      <c r="J15" s="2649" t="str">
        <f t="shared" si="2"/>
        <v>NO</v>
      </c>
      <c r="K15" s="2649">
        <f t="shared" si="2"/>
        <v>52677385.967184871</v>
      </c>
      <c r="L15" s="2649" t="str">
        <f t="shared" si="2"/>
        <v>NO</v>
      </c>
      <c r="M15" s="2649">
        <f t="shared" si="2"/>
        <v>1163065834.7070839</v>
      </c>
      <c r="N15" s="2649" t="str">
        <f t="shared" si="2"/>
        <v>NO</v>
      </c>
      <c r="O15" s="2649" t="str">
        <f t="shared" si="2"/>
        <v>NO</v>
      </c>
      <c r="P15" s="2649" t="str">
        <f t="shared" si="2"/>
        <v>NO</v>
      </c>
      <c r="Q15" s="2649" t="str">
        <f t="shared" si="2"/>
        <v>NO</v>
      </c>
      <c r="R15" s="2649">
        <f t="shared" si="2"/>
        <v>1257547361.7504818</v>
      </c>
      <c r="S15" s="2657"/>
      <c r="T15" s="2658"/>
      <c r="U15" s="3456">
        <f>IF(SUM(X15)=0,"NA",X15*1000/C15)</f>
        <v>1.7694596523552153E-2</v>
      </c>
      <c r="V15" s="3454"/>
      <c r="W15" s="3455"/>
      <c r="X15" s="3314">
        <f t="shared" ref="X15" si="3">X20</f>
        <v>0.47028516385952718</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26577.897000000001</v>
      </c>
      <c r="D20" s="3492"/>
      <c r="E20" s="3492"/>
      <c r="F20" s="2649">
        <f>IF(SUM(F21:F23)=0,"NO",SUM(F21:F23))</f>
        <v>17368373.346321024</v>
      </c>
      <c r="G20" s="2649" t="str">
        <f t="shared" ref="G20:Q20" si="6">IF(SUM(G21:G23)=0,"NO",SUM(G21:G23))</f>
        <v>NO</v>
      </c>
      <c r="H20" s="2649">
        <f t="shared" si="6"/>
        <v>20388480.385026801</v>
      </c>
      <c r="I20" s="2649">
        <f t="shared" si="6"/>
        <v>4047287.3448651265</v>
      </c>
      <c r="J20" s="2649" t="str">
        <f t="shared" si="6"/>
        <v>NO</v>
      </c>
      <c r="K20" s="2649">
        <f t="shared" si="6"/>
        <v>52677385.967184871</v>
      </c>
      <c r="L20" s="2649" t="str">
        <f t="shared" si="6"/>
        <v>NO</v>
      </c>
      <c r="M20" s="2649">
        <f t="shared" si="6"/>
        <v>1163065834.7070839</v>
      </c>
      <c r="N20" s="2649" t="str">
        <f t="shared" si="6"/>
        <v>NO</v>
      </c>
      <c r="O20" s="2649" t="str">
        <f t="shared" si="6"/>
        <v>NO</v>
      </c>
      <c r="P20" s="2649" t="str">
        <f t="shared" si="6"/>
        <v>NO</v>
      </c>
      <c r="Q20" s="2649" t="str">
        <f t="shared" si="6"/>
        <v>NO</v>
      </c>
      <c r="R20" s="3482">
        <f>IF(SUM(F20:Q20)=0,"NO",SUM(F20:Q20))</f>
        <v>1257547361.7504818</v>
      </c>
      <c r="S20" s="2657"/>
      <c r="T20" s="2658"/>
      <c r="U20" s="3456">
        <f t="shared" si="4"/>
        <v>1.7694596523552153E-2</v>
      </c>
      <c r="V20" s="3454"/>
      <c r="W20" s="3455"/>
      <c r="X20" s="3314">
        <f t="shared" ref="X20" si="7">IF(SUM(X21:X23)=0,"NO",SUM(X21:X23))</f>
        <v>0.47028516385952718</v>
      </c>
      <c r="Y20" s="3173"/>
      <c r="Z20" s="3457"/>
    </row>
    <row r="21" spans="2:26" ht="18" customHeight="1" x14ac:dyDescent="0.2">
      <c r="B21" s="2647" t="s">
        <v>2196</v>
      </c>
      <c r="C21" s="3495">
        <f>Table3.A!C21</f>
        <v>3219.8249999999998</v>
      </c>
      <c r="D21" s="3307">
        <v>122.99606741625259</v>
      </c>
      <c r="E21" s="3494">
        <f>'Table3.B(a)'!G21</f>
        <v>448.70575176627398</v>
      </c>
      <c r="F21" s="3479">
        <v>16664167.876464</v>
      </c>
      <c r="G21" s="3479" t="s">
        <v>2146</v>
      </c>
      <c r="H21" s="3479">
        <v>20388480.385026801</v>
      </c>
      <c r="I21" s="3479">
        <v>4047287.3448651265</v>
      </c>
      <c r="J21" s="3479" t="s">
        <v>2146</v>
      </c>
      <c r="K21" s="3479" t="s">
        <v>2153</v>
      </c>
      <c r="L21" s="3479" t="s">
        <v>2146</v>
      </c>
      <c r="M21" s="3479">
        <v>354925827.96375299</v>
      </c>
      <c r="N21" s="3479" t="s">
        <v>2146</v>
      </c>
      <c r="O21" s="3479" t="s">
        <v>2146</v>
      </c>
      <c r="P21" s="3479" t="s">
        <v>2146</v>
      </c>
      <c r="Q21" s="3479" t="s">
        <v>2146</v>
      </c>
      <c r="R21" s="3482">
        <f t="shared" ref="R21:R45" si="8">IF(SUM(F21:Q21)=0,"NO",SUM(F21:Q21))</f>
        <v>396025763.57010889</v>
      </c>
      <c r="S21" s="2657"/>
      <c r="T21" s="2658"/>
      <c r="U21" s="3456">
        <f t="shared" si="4"/>
        <v>9.8763488240856921E-3</v>
      </c>
      <c r="V21" s="3454"/>
      <c r="W21" s="3455"/>
      <c r="X21" s="3315">
        <v>3.1800114852511711E-2</v>
      </c>
      <c r="Y21" s="3173"/>
      <c r="Z21" s="3457"/>
    </row>
    <row r="22" spans="2:26" ht="18" customHeight="1" x14ac:dyDescent="0.2">
      <c r="B22" s="2647" t="s">
        <v>2197</v>
      </c>
      <c r="C22" s="3495">
        <f>Table3.A!C22</f>
        <v>22812.38</v>
      </c>
      <c r="D22" s="3307">
        <v>35.425502081548963</v>
      </c>
      <c r="E22" s="3494">
        <f>'Table3.B(a)'!G22</f>
        <v>362.63545044754397</v>
      </c>
      <c r="F22" s="3483" t="s">
        <v>2146</v>
      </c>
      <c r="G22" s="3479" t="s">
        <v>2146</v>
      </c>
      <c r="H22" s="3483" t="s">
        <v>2146</v>
      </c>
      <c r="I22" s="3483" t="s">
        <v>2146</v>
      </c>
      <c r="J22" s="3483" t="s">
        <v>2146</v>
      </c>
      <c r="K22" s="3483" t="s">
        <v>2146</v>
      </c>
      <c r="L22" s="3483" t="s">
        <v>2146</v>
      </c>
      <c r="M22" s="3483">
        <v>808140006.74333096</v>
      </c>
      <c r="N22" s="3483" t="s">
        <v>2146</v>
      </c>
      <c r="O22" s="3483" t="s">
        <v>2146</v>
      </c>
      <c r="P22" s="3483" t="s">
        <v>2146</v>
      </c>
      <c r="Q22" s="3483" t="s">
        <v>2146</v>
      </c>
      <c r="R22" s="3482">
        <f t="shared" si="8"/>
        <v>808140006.74333096</v>
      </c>
      <c r="S22" s="2657"/>
      <c r="T22" s="2658"/>
      <c r="U22" s="3456" t="str">
        <f>IF(SUM(X22)=0,"NA",X22*1000/C22)</f>
        <v>NA</v>
      </c>
      <c r="V22" s="3454"/>
      <c r="W22" s="3455"/>
      <c r="X22" s="3315" t="s">
        <v>2147</v>
      </c>
      <c r="Y22" s="3173"/>
      <c r="Z22" s="3457"/>
    </row>
    <row r="23" spans="2:26" ht="18" customHeight="1" x14ac:dyDescent="0.2">
      <c r="B23" s="2647" t="s">
        <v>2198</v>
      </c>
      <c r="C23" s="3495">
        <f>Table3.A!C23</f>
        <v>545.69200000000001</v>
      </c>
      <c r="D23" s="3307">
        <v>71.693389382947259</v>
      </c>
      <c r="E23" s="3494">
        <f>'Table3.B(a)'!G23</f>
        <v>514.06060606060601</v>
      </c>
      <c r="F23" s="3483">
        <v>704205.46985702496</v>
      </c>
      <c r="G23" s="3479" t="s">
        <v>2146</v>
      </c>
      <c r="H23" s="3483" t="s">
        <v>2146</v>
      </c>
      <c r="I23" s="3483" t="s">
        <v>2153</v>
      </c>
      <c r="J23" s="3483" t="s">
        <v>2153</v>
      </c>
      <c r="K23" s="3483">
        <v>52677385.967184871</v>
      </c>
      <c r="L23" s="3483" t="s">
        <v>2146</v>
      </c>
      <c r="M23" s="3483" t="s">
        <v>2146</v>
      </c>
      <c r="N23" s="3483" t="s">
        <v>2146</v>
      </c>
      <c r="O23" s="3483" t="s">
        <v>2146</v>
      </c>
      <c r="P23" s="3483" t="s">
        <v>2146</v>
      </c>
      <c r="Q23" s="3483" t="s">
        <v>2146</v>
      </c>
      <c r="R23" s="3482">
        <f t="shared" si="8"/>
        <v>53381591.437041894</v>
      </c>
      <c r="S23" s="2657"/>
      <c r="T23" s="2658"/>
      <c r="U23" s="3456">
        <f t="shared" ref="U23:U30" si="9">IF(SUM(X23)=0,"NA",X23*1000/C23)</f>
        <v>0.803539449006061</v>
      </c>
      <c r="V23" s="3454"/>
      <c r="W23" s="3455"/>
      <c r="X23" s="3315">
        <v>0.43848504900701546</v>
      </c>
      <c r="Y23" s="3173"/>
      <c r="Z23" s="3457"/>
    </row>
    <row r="24" spans="2:26" ht="18" customHeight="1" x14ac:dyDescent="0.2">
      <c r="B24" s="351" t="s">
        <v>811</v>
      </c>
      <c r="C24" s="3314">
        <f>C25</f>
        <v>115456.058</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805039134.44234097</v>
      </c>
      <c r="N24" s="2649" t="str">
        <f t="shared" si="10"/>
        <v>NO</v>
      </c>
      <c r="O24" s="2649" t="str">
        <f t="shared" si="10"/>
        <v>NO</v>
      </c>
      <c r="P24" s="2649" t="str">
        <f t="shared" si="10"/>
        <v>NO</v>
      </c>
      <c r="Q24" s="2649" t="str">
        <f t="shared" si="10"/>
        <v>NO</v>
      </c>
      <c r="R24" s="3482">
        <f t="shared" si="8"/>
        <v>805039134.44234097</v>
      </c>
      <c r="S24" s="2657"/>
      <c r="T24" s="2658"/>
      <c r="U24" s="3456" t="str">
        <f t="shared" si="9"/>
        <v>NA</v>
      </c>
      <c r="V24" s="3454"/>
      <c r="W24" s="3455"/>
      <c r="X24" s="3314" t="str">
        <f t="shared" ref="X24:X25" si="11">X25</f>
        <v>NA</v>
      </c>
      <c r="Y24" s="3173"/>
      <c r="Z24" s="3457"/>
    </row>
    <row r="25" spans="2:26" ht="18" customHeight="1" x14ac:dyDescent="0.2">
      <c r="B25" s="350" t="s">
        <v>812</v>
      </c>
      <c r="C25" s="3314">
        <f>C26</f>
        <v>115456.058</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805039134.44234097</v>
      </c>
      <c r="N25" s="2649" t="str">
        <f t="shared" si="10"/>
        <v>NO</v>
      </c>
      <c r="O25" s="2649" t="str">
        <f t="shared" si="10"/>
        <v>NO</v>
      </c>
      <c r="P25" s="2649" t="str">
        <f t="shared" si="10"/>
        <v>NO</v>
      </c>
      <c r="Q25" s="2649" t="str">
        <f t="shared" si="10"/>
        <v>NO</v>
      </c>
      <c r="R25" s="3482">
        <f t="shared" si="8"/>
        <v>805039134.44234097</v>
      </c>
      <c r="S25" s="2657"/>
      <c r="T25" s="2658"/>
      <c r="U25" s="3456" t="str">
        <f t="shared" si="9"/>
        <v>NA</v>
      </c>
      <c r="V25" s="3454"/>
      <c r="W25" s="3455"/>
      <c r="X25" s="3314" t="str">
        <f t="shared" si="11"/>
        <v>NA</v>
      </c>
      <c r="Y25" s="3173"/>
      <c r="Z25" s="3457"/>
    </row>
    <row r="26" spans="2:26" ht="18" customHeight="1" x14ac:dyDescent="0.2">
      <c r="B26" s="2642" t="s">
        <v>2201</v>
      </c>
      <c r="C26" s="3495">
        <f>Table3.A!C26</f>
        <v>115456.058</v>
      </c>
      <c r="D26" s="3307">
        <v>6.972688556908297</v>
      </c>
      <c r="E26" s="3494">
        <f>'Table3.B(a)'!G26</f>
        <v>45.234380093678801</v>
      </c>
      <c r="F26" s="3483" t="s">
        <v>2146</v>
      </c>
      <c r="G26" s="3479" t="s">
        <v>2146</v>
      </c>
      <c r="H26" s="3483" t="s">
        <v>2146</v>
      </c>
      <c r="I26" s="3483" t="s">
        <v>2146</v>
      </c>
      <c r="J26" s="3483" t="s">
        <v>2146</v>
      </c>
      <c r="K26" s="3483" t="s">
        <v>2146</v>
      </c>
      <c r="L26" s="3483" t="s">
        <v>2146</v>
      </c>
      <c r="M26" s="3479">
        <v>805039134.44234097</v>
      </c>
      <c r="N26" s="3483" t="s">
        <v>2146</v>
      </c>
      <c r="O26" s="3483" t="s">
        <v>2146</v>
      </c>
      <c r="P26" s="3483" t="s">
        <v>2146</v>
      </c>
      <c r="Q26" s="3483" t="s">
        <v>2146</v>
      </c>
      <c r="R26" s="3482">
        <f t="shared" si="8"/>
        <v>805039134.44234097</v>
      </c>
      <c r="S26" s="2657"/>
      <c r="T26" s="2658"/>
      <c r="U26" s="3456" t="str">
        <f t="shared" si="9"/>
        <v>NA</v>
      </c>
      <c r="V26" s="3454"/>
      <c r="W26" s="3455"/>
      <c r="X26" s="3315" t="s">
        <v>2147</v>
      </c>
      <c r="Y26" s="3173"/>
      <c r="Z26" s="3457"/>
    </row>
    <row r="27" spans="2:26" ht="18" customHeight="1" x14ac:dyDescent="0.2">
      <c r="B27" s="351" t="s">
        <v>814</v>
      </c>
      <c r="C27" s="3314">
        <f>C28</f>
        <v>2626.4450000000002</v>
      </c>
      <c r="D27" s="3492"/>
      <c r="E27" s="3492"/>
      <c r="F27" s="2649">
        <f>F28</f>
        <v>36052223.0703163</v>
      </c>
      <c r="G27" s="2649" t="str">
        <f t="shared" ref="G27:G28" si="12">G28</f>
        <v>NO</v>
      </c>
      <c r="H27" s="2649" t="str">
        <f t="shared" ref="H27:H28" si="13">H28</f>
        <v>NO</v>
      </c>
      <c r="I27" s="2649" t="str">
        <f t="shared" ref="I27:I28" si="14">I28</f>
        <v>IE</v>
      </c>
      <c r="J27" s="2649" t="str">
        <f t="shared" ref="J27:J28" si="15">J28</f>
        <v>IE</v>
      </c>
      <c r="K27" s="2649">
        <f t="shared" ref="K27:K28" si="16">K28</f>
        <v>4912489.6352860816</v>
      </c>
      <c r="L27" s="2649" t="str">
        <f t="shared" ref="L27:L28" si="17">L28</f>
        <v>IE</v>
      </c>
      <c r="M27" s="2649" t="str">
        <f t="shared" ref="M27:M28" si="18">M28</f>
        <v>NO</v>
      </c>
      <c r="N27" s="2649" t="str">
        <f t="shared" ref="N27:N28" si="19">N28</f>
        <v>NO</v>
      </c>
      <c r="O27" s="2649">
        <f t="shared" ref="O27:O28" si="20">O28</f>
        <v>184325.15140471299</v>
      </c>
      <c r="P27" s="2649" t="str">
        <f t="shared" ref="P27:P28" si="21">P28</f>
        <v>NO</v>
      </c>
      <c r="Q27" s="2649">
        <f t="shared" ref="Q27:Q28" si="22">Q28</f>
        <v>2778481.2332515898</v>
      </c>
      <c r="R27" s="3482">
        <f t="shared" si="8"/>
        <v>43927519.09025868</v>
      </c>
      <c r="S27" s="2657"/>
      <c r="T27" s="2658"/>
      <c r="U27" s="3456">
        <f t="shared" si="9"/>
        <v>4.302551307200661E-2</v>
      </c>
      <c r="V27" s="3454"/>
      <c r="W27" s="3455"/>
      <c r="X27" s="3314">
        <f t="shared" ref="X27:X28" si="23">X28</f>
        <v>0.11300414368040641</v>
      </c>
      <c r="Y27" s="3173"/>
      <c r="Z27" s="3457"/>
    </row>
    <row r="28" spans="2:26" ht="18" customHeight="1" x14ac:dyDescent="0.2">
      <c r="B28" s="350" t="s">
        <v>815</v>
      </c>
      <c r="C28" s="3314">
        <f>C29</f>
        <v>2626.4450000000002</v>
      </c>
      <c r="D28" s="3492"/>
      <c r="E28" s="3492"/>
      <c r="F28" s="2649">
        <f>F29</f>
        <v>36052223.0703163</v>
      </c>
      <c r="G28" s="2649" t="str">
        <f t="shared" si="12"/>
        <v>NO</v>
      </c>
      <c r="H28" s="2649" t="str">
        <f t="shared" si="13"/>
        <v>NO</v>
      </c>
      <c r="I28" s="2649" t="str">
        <f t="shared" si="14"/>
        <v>IE</v>
      </c>
      <c r="J28" s="2649" t="str">
        <f t="shared" si="15"/>
        <v>IE</v>
      </c>
      <c r="K28" s="2649">
        <f t="shared" si="16"/>
        <v>4912489.6352860816</v>
      </c>
      <c r="L28" s="2649" t="str">
        <f t="shared" si="17"/>
        <v>IE</v>
      </c>
      <c r="M28" s="2649" t="str">
        <f t="shared" si="18"/>
        <v>NO</v>
      </c>
      <c r="N28" s="2649" t="str">
        <f t="shared" si="19"/>
        <v>NO</v>
      </c>
      <c r="O28" s="2649">
        <f t="shared" si="20"/>
        <v>184325.15140471299</v>
      </c>
      <c r="P28" s="2649" t="str">
        <f t="shared" si="21"/>
        <v>NO</v>
      </c>
      <c r="Q28" s="2649">
        <f t="shared" si="22"/>
        <v>2778481.2332515898</v>
      </c>
      <c r="R28" s="3482">
        <f t="shared" si="8"/>
        <v>43927519.09025868</v>
      </c>
      <c r="S28" s="2657"/>
      <c r="T28" s="2658"/>
      <c r="U28" s="3456">
        <f t="shared" si="9"/>
        <v>4.302551307200661E-2</v>
      </c>
      <c r="V28" s="3454"/>
      <c r="W28" s="3455"/>
      <c r="X28" s="3314">
        <f t="shared" si="23"/>
        <v>0.11300414368040641</v>
      </c>
      <c r="Y28" s="3173"/>
      <c r="Z28" s="3457"/>
    </row>
    <row r="29" spans="2:26" ht="18" customHeight="1" x14ac:dyDescent="0.2">
      <c r="B29" s="2642" t="s">
        <v>817</v>
      </c>
      <c r="C29" s="3495">
        <f>Table3.A!C29</f>
        <v>2626.4450000000002</v>
      </c>
      <c r="D29" s="3307">
        <v>15.970566424824957</v>
      </c>
      <c r="E29" s="3494">
        <f>'Table3.B(a)'!G29</f>
        <v>53.9926733670614</v>
      </c>
      <c r="F29" s="3479">
        <v>36052223.0703163</v>
      </c>
      <c r="G29" s="3479" t="s">
        <v>2146</v>
      </c>
      <c r="H29" s="3479" t="s">
        <v>2146</v>
      </c>
      <c r="I29" s="3479" t="s">
        <v>2153</v>
      </c>
      <c r="J29" s="3479" t="s">
        <v>2153</v>
      </c>
      <c r="K29" s="3479">
        <v>4912489.6352860816</v>
      </c>
      <c r="L29" s="3479" t="s">
        <v>2153</v>
      </c>
      <c r="M29" s="3479" t="s">
        <v>2146</v>
      </c>
      <c r="N29" s="3479" t="s">
        <v>2146</v>
      </c>
      <c r="O29" s="3479">
        <v>184325.15140471299</v>
      </c>
      <c r="P29" s="3479" t="s">
        <v>2146</v>
      </c>
      <c r="Q29" s="3479">
        <v>2778481.2332515898</v>
      </c>
      <c r="R29" s="3482">
        <f t="shared" si="8"/>
        <v>43927519.09025868</v>
      </c>
      <c r="S29" s="2657"/>
      <c r="T29" s="2658"/>
      <c r="U29" s="3456">
        <f t="shared" si="9"/>
        <v>4.302551307200661E-2</v>
      </c>
      <c r="V29" s="3454"/>
      <c r="W29" s="3455"/>
      <c r="X29" s="3315">
        <v>0.11300414368040641</v>
      </c>
      <c r="Y29" s="3173"/>
      <c r="Z29" s="3457"/>
    </row>
    <row r="30" spans="2:26" ht="18" customHeight="1" x14ac:dyDescent="0.2">
      <c r="B30" s="351" t="s">
        <v>861</v>
      </c>
      <c r="C30" s="3314">
        <f>IF(SUM(C32:C39)=0,"NO",SUM(C32:C39))</f>
        <v>55569.165999999997</v>
      </c>
      <c r="D30" s="3492"/>
      <c r="E30" s="3492"/>
      <c r="F30" s="2649" t="str">
        <f>IF(SUM(F32:F39)=0,"NO",SUM(F32:F39))</f>
        <v>NO</v>
      </c>
      <c r="G30" s="2649" t="str">
        <f t="shared" ref="G30:Q30" si="24">IF(SUM(G32:G39)=0,"NO",SUM(G32:G39))</f>
        <v>NO</v>
      </c>
      <c r="H30" s="2649" t="str">
        <f t="shared" si="24"/>
        <v>NO</v>
      </c>
      <c r="I30" s="2649">
        <f t="shared" si="24"/>
        <v>12946960.147463167</v>
      </c>
      <c r="J30" s="2649" t="str">
        <f t="shared" si="24"/>
        <v>NO</v>
      </c>
      <c r="K30" s="2649" t="str">
        <f t="shared" si="24"/>
        <v>NO</v>
      </c>
      <c r="L30" s="2649" t="str">
        <f t="shared" si="24"/>
        <v>NO</v>
      </c>
      <c r="M30" s="2649">
        <f t="shared" si="24"/>
        <v>12802144.294228762</v>
      </c>
      <c r="N30" s="2649">
        <f t="shared" si="24"/>
        <v>5437084.7653179001</v>
      </c>
      <c r="O30" s="2649">
        <f t="shared" si="24"/>
        <v>80186.698855149007</v>
      </c>
      <c r="P30" s="2649" t="str">
        <f t="shared" si="24"/>
        <v>NO</v>
      </c>
      <c r="Q30" s="2649">
        <f t="shared" si="24"/>
        <v>36054294.020152301</v>
      </c>
      <c r="R30" s="3482">
        <f t="shared" si="8"/>
        <v>67320669.926017284</v>
      </c>
      <c r="S30" s="2657"/>
      <c r="T30" s="2658"/>
      <c r="U30" s="3456">
        <f t="shared" si="9"/>
        <v>4.387734857228244E-3</v>
      </c>
      <c r="V30" s="3454"/>
      <c r="W30" s="3455"/>
      <c r="X30" s="3314">
        <f t="shared" ref="X30" si="25">IF(SUM(X32:X39)=0,"NO",SUM(X32:X39))</f>
        <v>0.24382276664530259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8.52</v>
      </c>
      <c r="D32" s="3307">
        <v>39.5</v>
      </c>
      <c r="E32" s="3494" t="str">
        <f>'Table3.B(a)'!G32</f>
        <v>NA</v>
      </c>
      <c r="F32" s="3479" t="s">
        <v>2146</v>
      </c>
      <c r="G32" s="3479" t="s">
        <v>2146</v>
      </c>
      <c r="H32" s="3479" t="s">
        <v>2146</v>
      </c>
      <c r="I32" s="3479" t="s">
        <v>2146</v>
      </c>
      <c r="J32" s="3479" t="s">
        <v>2146</v>
      </c>
      <c r="K32" s="3479" t="s">
        <v>2146</v>
      </c>
      <c r="L32" s="3479" t="s">
        <v>2146</v>
      </c>
      <c r="M32" s="3479">
        <v>336540</v>
      </c>
      <c r="N32" s="3479" t="s">
        <v>2146</v>
      </c>
      <c r="O32" s="3479" t="s">
        <v>2146</v>
      </c>
      <c r="P32" s="3479" t="s">
        <v>2146</v>
      </c>
      <c r="Q32" s="3479" t="s">
        <v>2146</v>
      </c>
      <c r="R32" s="3482">
        <f t="shared" si="8"/>
        <v>336540</v>
      </c>
      <c r="S32" s="2657"/>
      <c r="T32" s="2658"/>
      <c r="U32" s="3456" t="str">
        <f>IF(SUM(X32)=0,"NA",X32*1000/C32)</f>
        <v>NA</v>
      </c>
      <c r="V32" s="3454"/>
      <c r="W32" s="3455"/>
      <c r="X32" s="3315" t="s">
        <v>2147</v>
      </c>
      <c r="Y32" s="3173"/>
      <c r="Z32" s="3457"/>
    </row>
    <row r="33" spans="2:26" ht="18" customHeight="1" x14ac:dyDescent="0.2">
      <c r="B33" s="350" t="s">
        <v>819</v>
      </c>
      <c r="C33" s="3495">
        <f>Table3.A!C33</f>
        <v>1.8540000000000001</v>
      </c>
      <c r="D33" s="3307">
        <v>39.5</v>
      </c>
      <c r="E33" s="3494" t="str">
        <f>'Table3.B(a)'!G33</f>
        <v>NA</v>
      </c>
      <c r="F33" s="3479" t="s">
        <v>2146</v>
      </c>
      <c r="G33" s="3479" t="s">
        <v>2146</v>
      </c>
      <c r="H33" s="3479" t="s">
        <v>2146</v>
      </c>
      <c r="I33" s="3479" t="s">
        <v>2146</v>
      </c>
      <c r="J33" s="3479" t="s">
        <v>2146</v>
      </c>
      <c r="K33" s="3479" t="s">
        <v>2146</v>
      </c>
      <c r="L33" s="3479" t="s">
        <v>2146</v>
      </c>
      <c r="M33" s="3479">
        <v>73233</v>
      </c>
      <c r="N33" s="3479" t="s">
        <v>2146</v>
      </c>
      <c r="O33" s="3479" t="s">
        <v>2146</v>
      </c>
      <c r="P33" s="3479" t="s">
        <v>2146</v>
      </c>
      <c r="Q33" s="3479" t="s">
        <v>2146</v>
      </c>
      <c r="R33" s="3482">
        <f t="shared" si="8"/>
        <v>73233</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127.04300000000001</v>
      </c>
      <c r="D34" s="3307">
        <v>13.2</v>
      </c>
      <c r="E34" s="3494" t="str">
        <f>'Table3.B(a)'!G34</f>
        <v>NA</v>
      </c>
      <c r="F34" s="3479" t="s">
        <v>2146</v>
      </c>
      <c r="G34" s="3479" t="s">
        <v>2146</v>
      </c>
      <c r="H34" s="3479" t="s">
        <v>2146</v>
      </c>
      <c r="I34" s="3479" t="s">
        <v>2146</v>
      </c>
      <c r="J34" s="3479" t="s">
        <v>2146</v>
      </c>
      <c r="K34" s="3479" t="s">
        <v>2146</v>
      </c>
      <c r="L34" s="3479" t="s">
        <v>2146</v>
      </c>
      <c r="M34" s="3479">
        <v>1676967.6</v>
      </c>
      <c r="N34" s="3479" t="s">
        <v>2146</v>
      </c>
      <c r="O34" s="3479" t="s">
        <v>2146</v>
      </c>
      <c r="P34" s="3479" t="s">
        <v>2146</v>
      </c>
      <c r="Q34" s="3479" t="s">
        <v>2146</v>
      </c>
      <c r="R34" s="3482">
        <f t="shared" si="8"/>
        <v>1676967.6</v>
      </c>
      <c r="S34" s="2657"/>
      <c r="T34" s="2658"/>
      <c r="U34" s="3456" t="str">
        <f t="shared" si="26"/>
        <v>NA</v>
      </c>
      <c r="V34" s="3454"/>
      <c r="W34" s="3455"/>
      <c r="X34" s="3315" t="s">
        <v>2147</v>
      </c>
      <c r="Y34" s="3173"/>
      <c r="Z34" s="3457"/>
    </row>
    <row r="35" spans="2:26" ht="18" customHeight="1" x14ac:dyDescent="0.2">
      <c r="B35" s="350" t="s">
        <v>821</v>
      </c>
      <c r="C35" s="3495">
        <f>Table3.A!C35</f>
        <v>193.464</v>
      </c>
      <c r="D35" s="3307">
        <v>7</v>
      </c>
      <c r="E35" s="3494" t="str">
        <f>'Table3.B(a)'!G35</f>
        <v>NA</v>
      </c>
      <c r="F35" s="3479" t="s">
        <v>2146</v>
      </c>
      <c r="G35" s="3479" t="s">
        <v>2146</v>
      </c>
      <c r="H35" s="3479" t="s">
        <v>2146</v>
      </c>
      <c r="I35" s="3479" t="s">
        <v>2146</v>
      </c>
      <c r="J35" s="3479" t="s">
        <v>2146</v>
      </c>
      <c r="K35" s="3479" t="s">
        <v>2146</v>
      </c>
      <c r="L35" s="3479" t="s">
        <v>2146</v>
      </c>
      <c r="M35" s="3479">
        <v>1354248.0000000002</v>
      </c>
      <c r="N35" s="3479" t="s">
        <v>2146</v>
      </c>
      <c r="O35" s="3479" t="s">
        <v>2146</v>
      </c>
      <c r="P35" s="3479" t="s">
        <v>2146</v>
      </c>
      <c r="Q35" s="3479" t="s">
        <v>2146</v>
      </c>
      <c r="R35" s="3482">
        <f t="shared" si="8"/>
        <v>1354248.0000000002</v>
      </c>
      <c r="S35" s="2657"/>
      <c r="T35" s="2658"/>
      <c r="U35" s="3456" t="str">
        <f t="shared" si="26"/>
        <v>NA</v>
      </c>
      <c r="V35" s="3454"/>
      <c r="W35" s="3455"/>
      <c r="X35" s="3315" t="s">
        <v>2147</v>
      </c>
      <c r="Y35" s="3173"/>
      <c r="Z35" s="3457"/>
    </row>
    <row r="36" spans="2:26" ht="18" customHeight="1" x14ac:dyDescent="0.2">
      <c r="B36" s="350" t="s">
        <v>822</v>
      </c>
      <c r="C36" s="3495">
        <f>Table3.A!C36</f>
        <v>215.398</v>
      </c>
      <c r="D36" s="3307">
        <v>39.5</v>
      </c>
      <c r="E36" s="3494" t="str">
        <f>'Table3.B(a)'!G36</f>
        <v>NA</v>
      </c>
      <c r="F36" s="3479" t="s">
        <v>2146</v>
      </c>
      <c r="G36" s="3479" t="s">
        <v>2146</v>
      </c>
      <c r="H36" s="3479" t="s">
        <v>2146</v>
      </c>
      <c r="I36" s="3479" t="s">
        <v>2146</v>
      </c>
      <c r="J36" s="3479" t="s">
        <v>2146</v>
      </c>
      <c r="K36" s="3479" t="s">
        <v>2146</v>
      </c>
      <c r="L36" s="3479" t="s">
        <v>2146</v>
      </c>
      <c r="M36" s="3479">
        <v>8508221</v>
      </c>
      <c r="N36" s="3479" t="s">
        <v>2146</v>
      </c>
      <c r="O36" s="3479" t="s">
        <v>2146</v>
      </c>
      <c r="P36" s="3479" t="s">
        <v>2146</v>
      </c>
      <c r="Q36" s="3479" t="s">
        <v>2146</v>
      </c>
      <c r="R36" s="3482">
        <f t="shared" si="8"/>
        <v>8508221</v>
      </c>
      <c r="S36" s="2657"/>
      <c r="T36" s="2658"/>
      <c r="U36" s="3456" t="str">
        <f t="shared" si="26"/>
        <v>NA</v>
      </c>
      <c r="V36" s="3454"/>
      <c r="W36" s="3455"/>
      <c r="X36" s="3315" t="s">
        <v>2147</v>
      </c>
      <c r="Y36" s="3173"/>
      <c r="Z36" s="3457"/>
    </row>
    <row r="37" spans="2:26" ht="18" customHeight="1" x14ac:dyDescent="0.2">
      <c r="B37" s="350" t="s">
        <v>862</v>
      </c>
      <c r="C37" s="3495">
        <f>Table3.A!C37</f>
        <v>0.438</v>
      </c>
      <c r="D37" s="3307">
        <v>13.2</v>
      </c>
      <c r="E37" s="3494" t="str">
        <f>'Table3.B(a)'!G37</f>
        <v>NA</v>
      </c>
      <c r="F37" s="3479" t="s">
        <v>2146</v>
      </c>
      <c r="G37" s="3479" t="s">
        <v>2146</v>
      </c>
      <c r="H37" s="3479" t="s">
        <v>2146</v>
      </c>
      <c r="I37" s="3479" t="s">
        <v>2146</v>
      </c>
      <c r="J37" s="3479" t="s">
        <v>2146</v>
      </c>
      <c r="K37" s="3479" t="s">
        <v>2146</v>
      </c>
      <c r="L37" s="3479" t="s">
        <v>2146</v>
      </c>
      <c r="M37" s="3479">
        <v>5781.5999999999995</v>
      </c>
      <c r="N37" s="3479" t="s">
        <v>2146</v>
      </c>
      <c r="O37" s="3479" t="s">
        <v>2146</v>
      </c>
      <c r="P37" s="3479" t="s">
        <v>2146</v>
      </c>
      <c r="Q37" s="3479" t="s">
        <v>2146</v>
      </c>
      <c r="R37" s="3482">
        <f t="shared" si="8"/>
        <v>5781.5999999999995</v>
      </c>
      <c r="S37" s="2657"/>
      <c r="T37" s="2658"/>
      <c r="U37" s="3456" t="str">
        <f t="shared" si="26"/>
        <v>NA</v>
      </c>
      <c r="V37" s="3454"/>
      <c r="W37" s="3455"/>
      <c r="X37" s="3315" t="s">
        <v>2147</v>
      </c>
      <c r="Y37" s="3173"/>
      <c r="Z37" s="3457"/>
    </row>
    <row r="38" spans="2:26" ht="18" customHeight="1" x14ac:dyDescent="0.2">
      <c r="B38" s="350" t="s">
        <v>824</v>
      </c>
      <c r="C38" s="3495">
        <f>Table3.A!C38</f>
        <v>54911.749000000003</v>
      </c>
      <c r="D38" s="3307">
        <v>0.65790195914744998</v>
      </c>
      <c r="E38" s="3494" t="str">
        <f>'Table3.B(a)'!G38</f>
        <v>NA</v>
      </c>
      <c r="F38" s="3479" t="s">
        <v>2146</v>
      </c>
      <c r="G38" s="3479" t="s">
        <v>2146</v>
      </c>
      <c r="H38" s="3479" t="s">
        <v>2146</v>
      </c>
      <c r="I38" s="3479">
        <v>12946960.147463167</v>
      </c>
      <c r="J38" s="3479" t="s">
        <v>2153</v>
      </c>
      <c r="K38" s="3479" t="s">
        <v>2153</v>
      </c>
      <c r="L38" s="3479" t="s">
        <v>2153</v>
      </c>
      <c r="M38" s="3479">
        <v>72253.094228762202</v>
      </c>
      <c r="N38" s="3479">
        <v>5437084.7653179001</v>
      </c>
      <c r="O38" s="3479">
        <v>80186.698855149007</v>
      </c>
      <c r="P38" s="3479" t="s">
        <v>2146</v>
      </c>
      <c r="Q38" s="3479">
        <v>36054294.020152301</v>
      </c>
      <c r="R38" s="3482">
        <f t="shared" si="8"/>
        <v>54590778.726017281</v>
      </c>
      <c r="S38" s="2657"/>
      <c r="T38" s="2658"/>
      <c r="U38" s="3456">
        <f t="shared" si="26"/>
        <v>4.4402659009331966E-3</v>
      </c>
      <c r="V38" s="3454"/>
      <c r="W38" s="3455"/>
      <c r="X38" s="3315">
        <v>0.24382276664530259</v>
      </c>
      <c r="Y38" s="3173"/>
      <c r="Z38" s="3457"/>
    </row>
    <row r="39" spans="2:26" ht="18" customHeight="1" x14ac:dyDescent="0.2">
      <c r="B39" s="350" t="s">
        <v>825</v>
      </c>
      <c r="C39" s="3314">
        <f>IF(SUM(C40:C44)=0,"NO",SUM(C40:C44))</f>
        <v>110.7</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774900</v>
      </c>
      <c r="N39" s="2649" t="str">
        <f t="shared" si="27"/>
        <v>NO</v>
      </c>
      <c r="O39" s="2649" t="str">
        <f t="shared" si="27"/>
        <v>NO</v>
      </c>
      <c r="P39" s="2649" t="str">
        <f t="shared" si="27"/>
        <v>NO</v>
      </c>
      <c r="Q39" s="2649" t="str">
        <f t="shared" si="27"/>
        <v>NO</v>
      </c>
      <c r="R39" s="3482">
        <f t="shared" si="8"/>
        <v>774900</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105.02500000000001</v>
      </c>
      <c r="D42" s="3307">
        <v>7</v>
      </c>
      <c r="E42" s="3494" t="str">
        <f>'Table3.B(a)'!G42</f>
        <v>NA</v>
      </c>
      <c r="F42" s="3479" t="s">
        <v>2146</v>
      </c>
      <c r="G42" s="3479" t="s">
        <v>2146</v>
      </c>
      <c r="H42" s="3479" t="s">
        <v>2146</v>
      </c>
      <c r="I42" s="3479" t="s">
        <v>2146</v>
      </c>
      <c r="J42" s="3479" t="s">
        <v>2146</v>
      </c>
      <c r="K42" s="3479" t="s">
        <v>2146</v>
      </c>
      <c r="L42" s="3479" t="s">
        <v>2146</v>
      </c>
      <c r="M42" s="3479">
        <v>735175</v>
      </c>
      <c r="N42" s="3479" t="s">
        <v>2146</v>
      </c>
      <c r="O42" s="3479" t="s">
        <v>2146</v>
      </c>
      <c r="P42" s="3479" t="s">
        <v>2146</v>
      </c>
      <c r="Q42" s="3479" t="s">
        <v>2146</v>
      </c>
      <c r="R42" s="3482">
        <f t="shared" si="8"/>
        <v>735175</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5.6749999999999998</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39725</v>
      </c>
      <c r="N44" s="2649" t="str">
        <f t="shared" si="28"/>
        <v>NO</v>
      </c>
      <c r="O44" s="2649" t="str">
        <f t="shared" si="28"/>
        <v>NO</v>
      </c>
      <c r="P44" s="2649" t="str">
        <f t="shared" si="28"/>
        <v>NO</v>
      </c>
      <c r="Q44" s="2649" t="str">
        <f t="shared" si="28"/>
        <v>NO</v>
      </c>
      <c r="R44" s="3482">
        <f t="shared" si="8"/>
        <v>39725</v>
      </c>
      <c r="S44" s="2657"/>
      <c r="T44" s="2658"/>
      <c r="U44" s="3456" t="str">
        <f t="shared" si="26"/>
        <v>NA</v>
      </c>
      <c r="V44" s="3454"/>
      <c r="W44" s="3455"/>
      <c r="X44" s="3314" t="str">
        <f>X45</f>
        <v>NA</v>
      </c>
      <c r="Y44" s="3173"/>
      <c r="Z44" s="3457"/>
    </row>
    <row r="45" spans="2:26" ht="18" customHeight="1" x14ac:dyDescent="0.2">
      <c r="B45" s="2646" t="s">
        <v>2199</v>
      </c>
      <c r="C45" s="3495">
        <f>Table3.A!C45</f>
        <v>5.6749999999999998</v>
      </c>
      <c r="D45" s="3307">
        <v>7</v>
      </c>
      <c r="E45" s="3494" t="str">
        <f>'Table3.B(a)'!G45</f>
        <v>NA</v>
      </c>
      <c r="F45" s="3479" t="s">
        <v>2146</v>
      </c>
      <c r="G45" s="3479" t="s">
        <v>2146</v>
      </c>
      <c r="H45" s="3479" t="s">
        <v>2146</v>
      </c>
      <c r="I45" s="3479" t="s">
        <v>2146</v>
      </c>
      <c r="J45" s="3479" t="s">
        <v>2146</v>
      </c>
      <c r="K45" s="3479" t="s">
        <v>2146</v>
      </c>
      <c r="L45" s="3479" t="s">
        <v>2146</v>
      </c>
      <c r="M45" s="3479">
        <v>39725</v>
      </c>
      <c r="N45" s="3479" t="s">
        <v>2146</v>
      </c>
      <c r="O45" s="3479" t="s">
        <v>2146</v>
      </c>
      <c r="P45" s="3479" t="s">
        <v>2146</v>
      </c>
      <c r="Q45" s="3479" t="s">
        <v>2146</v>
      </c>
      <c r="R45" s="3482">
        <f t="shared" si="8"/>
        <v>39725</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73240664.832077697</v>
      </c>
      <c r="T46" s="3447">
        <v>215435.07757465099</v>
      </c>
      <c r="U46" s="3466"/>
      <c r="V46" s="3467">
        <f>IF(SUM(S46)=0,"NA",Y46*1000000/S46)</f>
        <v>3.5611458524487942E-3</v>
      </c>
      <c r="W46" s="3468">
        <f>IF(SUM(T46)=0,"NA",Z46*1000000/T46)</f>
        <v>1.7285714285714279E-2</v>
      </c>
      <c r="X46" s="3316"/>
      <c r="Y46" s="3320">
        <v>0.26082068979734574</v>
      </c>
      <c r="Z46" s="3321">
        <v>3.7239491980761087E-3</v>
      </c>
    </row>
    <row r="47" spans="2:26" ht="18" customHeight="1" x14ac:dyDescent="0.2">
      <c r="B47" s="358" t="s">
        <v>863</v>
      </c>
      <c r="C47" s="359"/>
      <c r="D47" s="359"/>
      <c r="E47" s="359"/>
      <c r="F47" s="3485">
        <f>IF(SUM(F30,F27,F24,F10)=0,"NO",SUM(F30,F27,F24,F10))</f>
        <v>53420596.416637324</v>
      </c>
      <c r="G47" s="3485" t="str">
        <f t="shared" ref="G47:Q47" si="29">IF(SUM(G30,G27,G24,G10)=0,"NO",SUM(G30,G27,G24,G10))</f>
        <v>NO</v>
      </c>
      <c r="H47" s="3485">
        <f t="shared" si="29"/>
        <v>20388480.385026801</v>
      </c>
      <c r="I47" s="3485">
        <f t="shared" si="29"/>
        <v>16994247.492328294</v>
      </c>
      <c r="J47" s="3485" t="str">
        <f t="shared" si="29"/>
        <v>NO</v>
      </c>
      <c r="K47" s="3485">
        <f t="shared" si="29"/>
        <v>57589875.602470949</v>
      </c>
      <c r="L47" s="3485" t="str">
        <f t="shared" si="29"/>
        <v>NO</v>
      </c>
      <c r="M47" s="3409"/>
      <c r="N47" s="3485">
        <f t="shared" si="29"/>
        <v>5437084.7653179001</v>
      </c>
      <c r="O47" s="3485">
        <f t="shared" si="29"/>
        <v>264511.85025986203</v>
      </c>
      <c r="P47" s="3409"/>
      <c r="Q47" s="3485">
        <f t="shared" si="29"/>
        <v>38832775.253403887</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3.8257709574092538E-2</v>
      </c>
      <c r="J48" s="3486" t="str">
        <f t="shared" si="30"/>
        <v>NA</v>
      </c>
      <c r="K48" s="3486" t="str">
        <f t="shared" si="30"/>
        <v>NA</v>
      </c>
      <c r="L48" s="3486" t="str">
        <f t="shared" si="30"/>
        <v>NA</v>
      </c>
      <c r="M48" s="87"/>
      <c r="N48" s="3486">
        <f t="shared" si="30"/>
        <v>1.5714285714286527E-2</v>
      </c>
      <c r="O48" s="3486" t="str">
        <f t="shared" si="30"/>
        <v>NA</v>
      </c>
      <c r="P48" s="87"/>
      <c r="Q48" s="3486">
        <f t="shared" si="30"/>
        <v>2.3565450870130277E-3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0.65016098499174624</v>
      </c>
      <c r="J49" s="3487" t="s">
        <v>2153</v>
      </c>
      <c r="K49" s="3487" t="s">
        <v>2153</v>
      </c>
      <c r="L49" s="3487" t="s">
        <v>2153</v>
      </c>
      <c r="M49" s="3474"/>
      <c r="N49" s="3488">
        <v>8.5439903454999994E-2</v>
      </c>
      <c r="O49" s="3488" t="s">
        <v>2147</v>
      </c>
      <c r="P49" s="3474"/>
      <c r="Q49" s="3488">
        <v>9.151118573849E-2</v>
      </c>
      <c r="R49" s="1312"/>
      <c r="S49" s="1313"/>
      <c r="T49" s="1314"/>
      <c r="U49" s="3473">
        <f>X49*1000/SUM(C10,C24,C27,C30)</f>
        <v>4.1308188930761405E-3</v>
      </c>
      <c r="V49" s="3474"/>
      <c r="W49" s="3475"/>
      <c r="X49" s="3319">
        <f>SUM(X10,X24,X27,X30)</f>
        <v>0.82711207418523613</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23.626046499999998</v>
      </c>
    </row>
    <row r="11" spans="1:9" ht="18" customHeight="1" x14ac:dyDescent="0.2">
      <c r="B11" s="439" t="s">
        <v>876</v>
      </c>
      <c r="C11" s="4147">
        <v>1.48685</v>
      </c>
      <c r="D11" s="243" t="s">
        <v>2146</v>
      </c>
      <c r="E11" s="283" t="s">
        <v>2146</v>
      </c>
      <c r="F11" s="2305">
        <f>IF(SUM(C11)=0,"NA",G11/C11)</f>
        <v>15.889999999999999</v>
      </c>
      <c r="G11" s="3093">
        <v>23.626046499999998</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1.48685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32.207950403762091</v>
      </c>
      <c r="H10" s="397" t="s">
        <v>897</v>
      </c>
      <c r="I10" s="398" t="s">
        <v>898</v>
      </c>
      <c r="J10" s="399">
        <v>0.21</v>
      </c>
    </row>
    <row r="11" spans="2:10" ht="24" customHeight="1" x14ac:dyDescent="0.2">
      <c r="B11" s="2431" t="s">
        <v>1949</v>
      </c>
      <c r="C11" s="2432" t="s">
        <v>899</v>
      </c>
      <c r="D11" s="3720">
        <v>857164.20187785779</v>
      </c>
      <c r="E11" s="3714">
        <f>IF(SUM(D11)=0,"NA",F11*1000/D11/(44/28))</f>
        <v>4.8430848316998801E-3</v>
      </c>
      <c r="F11" s="3425">
        <v>6.523501198328379</v>
      </c>
      <c r="H11" s="397" t="s">
        <v>900</v>
      </c>
      <c r="I11" s="398" t="s">
        <v>901</v>
      </c>
      <c r="J11" s="399">
        <v>0.24</v>
      </c>
    </row>
    <row r="12" spans="2:10" ht="24" customHeight="1" thickBot="1" x14ac:dyDescent="0.25">
      <c r="B12" s="2431" t="s">
        <v>1950</v>
      </c>
      <c r="C12" s="2433" t="s">
        <v>902</v>
      </c>
      <c r="D12" s="3721">
        <f>IF(SUM(D13:D15)=0,"NO",SUM(D13:D15))</f>
        <v>90146.093516824971</v>
      </c>
      <c r="E12" s="3715">
        <f t="shared" ref="E12:E23" si="0">IF(SUM(D12)=0,"NA",F12*1000/D12/(44/28))</f>
        <v>8.5412746893467235E-3</v>
      </c>
      <c r="F12" s="3426">
        <f>IF(SUM(F13:F15)=0,"NO",SUM(F13:F15))</f>
        <v>1.2099411451265911</v>
      </c>
      <c r="H12" s="407" t="s">
        <v>903</v>
      </c>
      <c r="I12" s="408" t="s">
        <v>2147</v>
      </c>
      <c r="J12" s="2668" t="s">
        <v>2147</v>
      </c>
    </row>
    <row r="13" spans="2:10" ht="24" customHeight="1" x14ac:dyDescent="0.2">
      <c r="B13" s="2431" t="s">
        <v>904</v>
      </c>
      <c r="C13" s="2432" t="s">
        <v>905</v>
      </c>
      <c r="D13" s="3722">
        <v>83349.726084707494</v>
      </c>
      <c r="E13" s="3714">
        <f t="shared" si="0"/>
        <v>8.5038700581852068E-3</v>
      </c>
      <c r="F13" s="3425">
        <v>1.1138210914437869</v>
      </c>
      <c r="H13" s="1436" t="s">
        <v>906</v>
      </c>
      <c r="I13" s="1078"/>
      <c r="J13" s="1078"/>
    </row>
    <row r="14" spans="2:10" ht="24" customHeight="1" x14ac:dyDescent="0.2">
      <c r="B14" s="2431" t="s">
        <v>907</v>
      </c>
      <c r="C14" s="2432" t="s">
        <v>908</v>
      </c>
      <c r="D14" s="3722">
        <v>6796.3674321174694</v>
      </c>
      <c r="E14" s="3714">
        <f t="shared" si="0"/>
        <v>9.0000000000000063E-3</v>
      </c>
      <c r="F14" s="3425">
        <v>9.6120053682804282E-2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1980907.1134436531</v>
      </c>
      <c r="E16" s="3714">
        <f t="shared" si="0"/>
        <v>4.0000000000000001E-3</v>
      </c>
      <c r="F16" s="3425">
        <v>12.451416141645819</v>
      </c>
    </row>
    <row r="17" spans="2:11" ht="24" customHeight="1" x14ac:dyDescent="0.2">
      <c r="B17" s="2431" t="s">
        <v>913</v>
      </c>
      <c r="C17" s="2432" t="s">
        <v>914</v>
      </c>
      <c r="D17" s="3722">
        <v>755842.97089150152</v>
      </c>
      <c r="E17" s="3714">
        <f t="shared" si="0"/>
        <v>0.01</v>
      </c>
      <c r="F17" s="3425">
        <v>11.877532399723595</v>
      </c>
    </row>
    <row r="18" spans="2:11" ht="24" customHeight="1" x14ac:dyDescent="0.2">
      <c r="B18" s="2431" t="s">
        <v>1951</v>
      </c>
      <c r="C18" s="2432" t="s">
        <v>915</v>
      </c>
      <c r="D18" s="3722">
        <v>18314.392389270299</v>
      </c>
      <c r="E18" s="3716">
        <f t="shared" si="0"/>
        <v>2.0000000000000018E-3</v>
      </c>
      <c r="F18" s="3427">
        <v>5.7559518937706708E-2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10.318359498455337</v>
      </c>
    </row>
    <row r="22" spans="2:11" ht="24" customHeight="1" x14ac:dyDescent="0.2">
      <c r="B22" s="2438" t="s">
        <v>1953</v>
      </c>
      <c r="C22" s="2432" t="s">
        <v>919</v>
      </c>
      <c r="D22" s="3722">
        <v>529141.27199394396</v>
      </c>
      <c r="E22" s="3714">
        <f t="shared" si="0"/>
        <v>2.8803507843277406E-3</v>
      </c>
      <c r="F22" s="3425">
        <v>2.3950338936981828</v>
      </c>
    </row>
    <row r="23" spans="2:11" ht="24" customHeight="1" thickBot="1" x14ac:dyDescent="0.25">
      <c r="B23" s="410" t="s">
        <v>920</v>
      </c>
      <c r="C23" s="411" t="s">
        <v>921</v>
      </c>
      <c r="D23" s="3725">
        <v>459022.95270364499</v>
      </c>
      <c r="E23" s="3719">
        <f t="shared" si="0"/>
        <v>1.0984453531655244E-2</v>
      </c>
      <c r="F23" s="3430">
        <v>7.9233256047571547</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21464800</v>
      </c>
      <c r="N9" s="4179">
        <v>5987240.5</v>
      </c>
      <c r="O9" s="4179">
        <v>338039.8</v>
      </c>
      <c r="P9" s="4180">
        <v>1888844.3</v>
      </c>
      <c r="Q9" s="4180">
        <v>1798331.4</v>
      </c>
      <c r="R9" s="4180">
        <v>347569.11528079602</v>
      </c>
      <c r="S9" s="4180">
        <v>1361920.2</v>
      </c>
      <c r="T9" s="4180">
        <v>706852.1</v>
      </c>
      <c r="U9" s="4180">
        <v>2699155.1757999999</v>
      </c>
      <c r="V9" s="4180">
        <v>40185368.160000004</v>
      </c>
      <c r="W9" s="4180">
        <v>46964.769899999999</v>
      </c>
      <c r="X9" s="4181">
        <v>1712029.1</v>
      </c>
    </row>
    <row r="10" spans="2:24" ht="18" customHeight="1" thickTop="1" x14ac:dyDescent="0.2">
      <c r="B10" s="437" t="s">
        <v>947</v>
      </c>
      <c r="C10" s="376"/>
      <c r="D10" s="438"/>
      <c r="E10" s="438"/>
      <c r="F10" s="4149">
        <f>IF(SUM(F11:F14)=0,"NO",SUM(F11:F14))</f>
        <v>6607.8050147139202</v>
      </c>
      <c r="G10" s="4150">
        <f>IF(SUM($F10)=0,"NA",I10/$F10*1000)</f>
        <v>1.8832708901696871</v>
      </c>
      <c r="H10" s="4151">
        <f>IF(SUM($F10)=0,"NA",J10/$F10*1000)</f>
        <v>7.6149538907117731E-2</v>
      </c>
      <c r="I10" s="3192">
        <f>IF(SUM(I11:I14)=0,"NO",SUM(I11:I14))</f>
        <v>12.444286832128007</v>
      </c>
      <c r="J10" s="420">
        <f>IF(SUM(J11:J14)=0,"NO",SUM(J11:J14))</f>
        <v>0.50318130505860537</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3735.2505914030298</v>
      </c>
      <c r="G11" s="4153">
        <f>IF(SUM($F11)=0,"NA",I11/$F11*1000)</f>
        <v>1.8666666666666663</v>
      </c>
      <c r="H11" s="4154">
        <f>IF(SUM($F11)=0,"NA",J11/$F11*1000)</f>
        <v>7.165714285714285E-2</v>
      </c>
      <c r="I11" s="3326">
        <v>6.9724677706189873</v>
      </c>
      <c r="J11" s="3327">
        <v>0.26765738523539423</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900.49389518147996</v>
      </c>
      <c r="G12" s="4155">
        <f t="shared" ref="G12:G28" si="0">IF(SUM($F12)=0,"NA",I12/$F12*1000)</f>
        <v>1.8666666666666669</v>
      </c>
      <c r="H12" s="4154">
        <f t="shared" ref="H12:H28" si="1">IF(SUM($F12)=0,"NA",J12/$F12*1000)</f>
        <v>8.3600000000000008E-2</v>
      </c>
      <c r="I12" s="3180">
        <v>1.6809219376720961</v>
      </c>
      <c r="J12" s="3327">
        <v>7.5281289637171733E-2</v>
      </c>
      <c r="L12" s="1324" t="s">
        <v>952</v>
      </c>
      <c r="M12" s="4177">
        <v>0.27464881423282</v>
      </c>
      <c r="N12" s="4177">
        <v>0.28714977125208002</v>
      </c>
      <c r="O12" s="4177">
        <v>0.26330653303411</v>
      </c>
      <c r="P12" s="4178">
        <v>0.24228475344889999</v>
      </c>
      <c r="Q12" s="4178">
        <v>0.30650095345784001</v>
      </c>
      <c r="R12" s="4178">
        <v>0.27230726701618002</v>
      </c>
      <c r="S12" s="4178">
        <v>0.81499999999999995</v>
      </c>
      <c r="T12" s="4178">
        <v>0.32139387763250998</v>
      </c>
      <c r="U12" s="4178">
        <v>0.26416054693681956</v>
      </c>
      <c r="V12" s="4178">
        <v>0.35477456487415515</v>
      </c>
      <c r="W12" s="4178">
        <v>0.17814998977576768</v>
      </c>
      <c r="X12" s="4152">
        <v>0.29523516809264228</v>
      </c>
    </row>
    <row r="13" spans="2:24" ht="18" customHeight="1" thickBot="1" x14ac:dyDescent="0.25">
      <c r="B13" s="439" t="s">
        <v>953</v>
      </c>
      <c r="C13" s="440" t="s">
        <v>2147</v>
      </c>
      <c r="D13" s="440" t="s">
        <v>2147</v>
      </c>
      <c r="E13" s="440" t="s">
        <v>2147</v>
      </c>
      <c r="F13" s="4152">
        <v>58.830785689514599</v>
      </c>
      <c r="G13" s="4155">
        <f t="shared" si="0"/>
        <v>1.9600000000000013</v>
      </c>
      <c r="H13" s="4154">
        <f t="shared" si="1"/>
        <v>5.9714285714285761E-2</v>
      </c>
      <c r="I13" s="3180">
        <v>0.11530833995144868</v>
      </c>
      <c r="J13" s="3327">
        <v>3.5130383454595885E-3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1913.2297424398953</v>
      </c>
      <c r="G14" s="4157">
        <f t="shared" si="0"/>
        <v>1.9211434478318774</v>
      </c>
      <c r="H14" s="4158">
        <f t="shared" si="1"/>
        <v>8.1918856039059032E-2</v>
      </c>
      <c r="I14" s="3199">
        <f>IF(SUM(I15:I19)=0,"NO",SUM(I15:I19))</f>
        <v>3.6755887838854751</v>
      </c>
      <c r="J14" s="3085">
        <f>IF(SUM(J15:J19)=0,"NO",SUM(J15:J19))</f>
        <v>0.15672959184057977</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263.59958910462501</v>
      </c>
      <c r="G15" s="4159">
        <f t="shared" si="0"/>
        <v>1.86666666666667</v>
      </c>
      <c r="H15" s="4160">
        <f t="shared" si="1"/>
        <v>9.5542857142857304E-2</v>
      </c>
      <c r="I15" s="3328">
        <v>0.49205256632863426</v>
      </c>
      <c r="J15" s="3327">
        <v>2.518505788473907E-2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330.608344704469</v>
      </c>
      <c r="G16" s="4161">
        <f t="shared" si="0"/>
        <v>1.8666666666666689</v>
      </c>
      <c r="H16" s="4162">
        <f t="shared" si="1"/>
        <v>7.1657142857142933E-2</v>
      </c>
      <c r="I16" s="3329">
        <v>0.61713557678167619</v>
      </c>
      <c r="J16" s="3327">
        <v>2.3690449386251693E-2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58.368317562408102</v>
      </c>
      <c r="G17" s="4161">
        <f t="shared" si="0"/>
        <v>1.8666666666666658</v>
      </c>
      <c r="H17" s="4162">
        <f t="shared" si="1"/>
        <v>7.1657142857142822E-2</v>
      </c>
      <c r="I17" s="3329">
        <v>0.10895419278316174</v>
      </c>
      <c r="J17" s="3327">
        <v>4.1825068699005551E-3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1116.71354997504</v>
      </c>
      <c r="G18" s="4161">
        <f t="shared" si="0"/>
        <v>1.96</v>
      </c>
      <c r="H18" s="4162">
        <f t="shared" si="1"/>
        <v>8.359999999999998E-2</v>
      </c>
      <c r="I18" s="3329">
        <v>2.1887585579510782</v>
      </c>
      <c r="J18" s="3327">
        <v>9.3357252777913333E-2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143.93994109335301</v>
      </c>
      <c r="G19" s="4161">
        <f t="shared" si="0"/>
        <v>1.8666666666666629</v>
      </c>
      <c r="H19" s="4162">
        <f t="shared" si="1"/>
        <v>7.1657142857142697E-2</v>
      </c>
      <c r="I19" s="3329">
        <v>0.26868789004092508</v>
      </c>
      <c r="J19" s="3327">
        <v>1.0314324921775102E-2</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407.92175304825901</v>
      </c>
      <c r="G20" s="4165">
        <f t="shared" si="0"/>
        <v>1.866666666666668</v>
      </c>
      <c r="H20" s="4166">
        <f t="shared" si="1"/>
        <v>0.10748571428571431</v>
      </c>
      <c r="I20" s="3220">
        <f>I21</f>
        <v>0.76145393902341729</v>
      </c>
      <c r="J20" s="449">
        <f>J21</f>
        <v>4.3845760999072877E-2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407.92175304825901</v>
      </c>
      <c r="G21" s="4168">
        <f t="shared" si="0"/>
        <v>1.866666666666668</v>
      </c>
      <c r="H21" s="4158">
        <f t="shared" si="1"/>
        <v>0.10748571428571431</v>
      </c>
      <c r="I21" s="3199">
        <f>I22</f>
        <v>0.76145393902341729</v>
      </c>
      <c r="J21" s="3085">
        <f>J22</f>
        <v>4.3845760999072877E-2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407.92175304825901</v>
      </c>
      <c r="G22" s="4170">
        <f t="shared" si="0"/>
        <v>1.866666666666668</v>
      </c>
      <c r="H22" s="4171">
        <f t="shared" si="1"/>
        <v>0.10748571428571431</v>
      </c>
      <c r="I22" s="3330">
        <v>0.76145393902341729</v>
      </c>
      <c r="J22" s="3331">
        <v>4.3845760999072877E-2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684.32383215704294</v>
      </c>
      <c r="G26" s="4175">
        <f t="shared" si="0"/>
        <v>1.8666666666666671</v>
      </c>
      <c r="H26" s="4176">
        <f t="shared" si="1"/>
        <v>5.9714285714285734E-2</v>
      </c>
      <c r="I26" s="3332">
        <v>1.2774044866931471</v>
      </c>
      <c r="J26" s="3333">
        <v>4.0863908834520575E-2</v>
      </c>
      <c r="L26" s="159"/>
    </row>
    <row r="27" spans="2:24" ht="18" customHeight="1" x14ac:dyDescent="0.2">
      <c r="B27" s="446" t="s">
        <v>963</v>
      </c>
      <c r="C27" s="447"/>
      <c r="D27" s="448"/>
      <c r="E27" s="448"/>
      <c r="F27" s="4164">
        <f>IF(SUM(F28:F29)=0,"NO",SUM(F28:F29))</f>
        <v>487.89451791569178</v>
      </c>
      <c r="G27" s="4165">
        <f t="shared" si="0"/>
        <v>1.8673243000347055</v>
      </c>
      <c r="H27" s="4166">
        <f t="shared" si="1"/>
        <v>0.1080747658882288</v>
      </c>
      <c r="I27" s="3220">
        <f>IF(SUM(I28:I29)=0,"NO",SUM(I28:I29))</f>
        <v>0.91105728915768924</v>
      </c>
      <c r="J27" s="449">
        <f>IF(SUM(J28:J29)=0,"NO",SUM(J28:J29))</f>
        <v>5.2729085801888641E-2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3.4377398042617799</v>
      </c>
      <c r="G28" s="4161">
        <f t="shared" si="0"/>
        <v>1.9600000000000009</v>
      </c>
      <c r="H28" s="4162">
        <f t="shared" si="1"/>
        <v>0.19108571428571436</v>
      </c>
      <c r="I28" s="3329">
        <v>6.737970016353091E-3</v>
      </c>
      <c r="J28" s="3327">
        <v>6.5690296602579409E-4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484.45677811143003</v>
      </c>
      <c r="G29" s="4161">
        <f t="shared" ref="G29" si="2">IF(SUM($F29)=0,"NA",I29/$F29*1000)</f>
        <v>1.8666666666666669</v>
      </c>
      <c r="H29" s="4162">
        <f t="shared" ref="H29" si="3">IF(SUM($F29)=0,"NA",J29/$F29*1000)</f>
        <v>0.10748571428571428</v>
      </c>
      <c r="I29" s="3329">
        <v>0.90431931914133612</v>
      </c>
      <c r="J29" s="3327">
        <v>5.2072182835862846E-2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720.58080698204878</v>
      </c>
    </row>
    <row r="11" spans="2:5" s="83" customFormat="1" ht="18" customHeight="1" x14ac:dyDescent="0.2">
      <c r="B11" s="1854" t="s">
        <v>972</v>
      </c>
      <c r="C11" s="4187">
        <v>1621445.83459151</v>
      </c>
      <c r="D11" s="3594">
        <f>IF(SUM(C11)=0,"NA",E11*1000/(44/12)/C11)</f>
        <v>0.10800000000000021</v>
      </c>
      <c r="E11" s="3431">
        <v>642.09255049823923</v>
      </c>
    </row>
    <row r="12" spans="2:5" s="83" customFormat="1" ht="18" customHeight="1" x14ac:dyDescent="0.2">
      <c r="B12" s="1854" t="s">
        <v>973</v>
      </c>
      <c r="C12" s="4187">
        <v>173327.02940848601</v>
      </c>
      <c r="D12" s="3594">
        <f t="shared" ref="D12:D16" si="0">IF(SUM(C12)=0,"NA",E12*1000/(44/12)/C12)</f>
        <v>0.12350000000000029</v>
      </c>
      <c r="E12" s="3431">
        <v>78.488256483809579</v>
      </c>
    </row>
    <row r="13" spans="2:5" s="83" customFormat="1" ht="18" customHeight="1" x14ac:dyDescent="0.2">
      <c r="B13" s="846" t="s">
        <v>974</v>
      </c>
      <c r="C13" s="4188">
        <v>1080434.7826087</v>
      </c>
      <c r="D13" s="4189">
        <f t="shared" si="0"/>
        <v>0.19999999999999923</v>
      </c>
      <c r="E13" s="3432">
        <v>792.31884057971024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27019.109398414876</v>
      </c>
      <c r="D10" s="2989">
        <f t="shared" ref="D10:H10" si="0">IF(SUM(D11,D14,D17,D20,D23,D26,D29:D30)=0,"NO",SUM(D11,D14,D17,D20,D23,D26,D29:D30))</f>
        <v>655.48495132024084</v>
      </c>
      <c r="E10" s="2989">
        <f t="shared" si="0"/>
        <v>16.099685221292003</v>
      </c>
      <c r="F10" s="2989">
        <f t="shared" si="0"/>
        <v>933.77463891491891</v>
      </c>
      <c r="G10" s="2989">
        <f t="shared" si="0"/>
        <v>24617.656450198516</v>
      </c>
      <c r="H10" s="2990">
        <f t="shared" si="0"/>
        <v>689.28387238375842</v>
      </c>
      <c r="I10" s="2991">
        <f>IF(SUM(C10:E10)=0,"NO",SUM(C10)+28*SUM(D10)+265*SUM(E10))</f>
        <v>49639.104619024001</v>
      </c>
    </row>
    <row r="11" spans="2:9" ht="18" customHeight="1" x14ac:dyDescent="0.2">
      <c r="B11" s="473" t="s">
        <v>981</v>
      </c>
      <c r="C11" s="2992">
        <f>IF(SUM(C12:C13)=0,"NO",SUM(C12:C13))</f>
        <v>-37278.770755724319</v>
      </c>
      <c r="D11" s="2992">
        <f t="shared" ref="D11:H11" si="1">IF(SUM(D12:D13)=0,"NO",SUM(D12:D13))</f>
        <v>203.68258593676029</v>
      </c>
      <c r="E11" s="2992">
        <f t="shared" si="1"/>
        <v>4.4446220989247163</v>
      </c>
      <c r="F11" s="2992">
        <f t="shared" si="1"/>
        <v>237.53644059042151</v>
      </c>
      <c r="G11" s="2992">
        <f t="shared" si="1"/>
        <v>6250.6035590251404</v>
      </c>
      <c r="H11" s="2993">
        <f t="shared" si="1"/>
        <v>176.0268135605728</v>
      </c>
      <c r="I11" s="2994">
        <f t="shared" ref="I11:I32" si="2">IF(SUM(C11:E11)=0,"NO",SUM(C11)+28*SUM(D11)+265*SUM(E11))</f>
        <v>-30397.833493279981</v>
      </c>
    </row>
    <row r="12" spans="2:9" ht="18" customHeight="1" x14ac:dyDescent="0.2">
      <c r="B12" s="474" t="s">
        <v>982</v>
      </c>
      <c r="C12" s="2995">
        <f>IF(SUM(Table4.A!U11,'Table4(IV)'!J12)=0,"NO",SUM(Table4.A!U11,'Table4(IV)'!J12))</f>
        <v>-16631.959099389907</v>
      </c>
      <c r="D12" s="2995">
        <f>'Table4(IV)'!K12</f>
        <v>202.18707219638006</v>
      </c>
      <c r="E12" s="2995">
        <f>IF(SUM('Table4(III)'!I12,'Table4(IV)'!L12)=0,"NO",SUM('Table4(III)'!I12,'Table4(IV)'!L12))</f>
        <v>3.7938276182642987</v>
      </c>
      <c r="F12" s="2905">
        <v>236.5101982615393</v>
      </c>
      <c r="G12" s="2905">
        <v>6213.6157491540944</v>
      </c>
      <c r="H12" s="2906">
        <v>172.16432971043744</v>
      </c>
      <c r="I12" s="2996">
        <f t="shared" si="2"/>
        <v>-9965.3567590512284</v>
      </c>
    </row>
    <row r="13" spans="2:9" ht="18" customHeight="1" thickBot="1" x14ac:dyDescent="0.25">
      <c r="B13" s="475" t="s">
        <v>983</v>
      </c>
      <c r="C13" s="2997">
        <f>IF(SUM(Table4.A!U16,'Table4(IV)'!J19)=0,"NO",SUM(Table4.A!U16,'Table4(IV)'!J19))</f>
        <v>-20646.811656334412</v>
      </c>
      <c r="D13" s="2997">
        <f>'Table4(IV)'!K19</f>
        <v>1.4955137403802352</v>
      </c>
      <c r="E13" s="2997">
        <f>IF(SUM('Table4(III)'!I13,'Table4(IV)'!L19)=0,"NO",SUM('Table4(III)'!I13,'Table4(IV)'!L19))</f>
        <v>0.65079448066041767</v>
      </c>
      <c r="F13" s="2908">
        <v>1.0262423288822053</v>
      </c>
      <c r="G13" s="2908">
        <v>36.98780987104562</v>
      </c>
      <c r="H13" s="2907">
        <v>3.8624838501353582</v>
      </c>
      <c r="I13" s="2998">
        <f t="shared" si="2"/>
        <v>-20432.476734228756</v>
      </c>
    </row>
    <row r="14" spans="2:9" ht="18" customHeight="1" x14ac:dyDescent="0.2">
      <c r="B14" s="473" t="s">
        <v>984</v>
      </c>
      <c r="C14" s="2992">
        <f>IF(SUM(C15:C16)=0,"NO",SUM(C15:C16))</f>
        <v>4846.7204649307096</v>
      </c>
      <c r="D14" s="2992">
        <f t="shared" ref="D14" si="3">IF(SUM(D15:D16)=0,"NO",SUM(D15:D16))</f>
        <v>4.6514591999999997</v>
      </c>
      <c r="E14" s="2992">
        <f t="shared" ref="E14" si="4">IF(SUM(E15:E16)=0,"NO",SUM(E15:E16))</f>
        <v>0.23714124362800956</v>
      </c>
      <c r="F14" s="2992">
        <f t="shared" ref="F14" si="5">IF(SUM(F15:F16)=0,"NO",SUM(F15:F16))</f>
        <v>3.5024380285714281</v>
      </c>
      <c r="G14" s="2992">
        <f t="shared" ref="G14" si="6">IF(SUM(G15:G16)=0,"NO",SUM(G15:G16))</f>
        <v>137.17497733333337</v>
      </c>
      <c r="H14" s="2993">
        <f t="shared" ref="H14" si="7">IF(SUM(H15:H16)=0,"NO",SUM(H15:H16))</f>
        <v>16.581590666666667</v>
      </c>
      <c r="I14" s="2999">
        <f t="shared" si="2"/>
        <v>5039.8037520921316</v>
      </c>
    </row>
    <row r="15" spans="2:9" ht="18" customHeight="1" x14ac:dyDescent="0.2">
      <c r="B15" s="474" t="s">
        <v>985</v>
      </c>
      <c r="C15" s="2995">
        <f>IF(SUM(Table4.B!S11,'Table4(IV)'!J26)=0,"NO",SUM(Table4.B!S11,'Table4(IV)'!J26))</f>
        <v>-1787.6647085443349</v>
      </c>
      <c r="D15" s="2995" t="str">
        <f>'Table4(IV)'!K26</f>
        <v>IE</v>
      </c>
      <c r="E15" s="2995" t="str">
        <f>'Table4(IV)'!L26</f>
        <v>IE</v>
      </c>
      <c r="F15" s="2905" t="s">
        <v>2153</v>
      </c>
      <c r="G15" s="2905" t="s">
        <v>2153</v>
      </c>
      <c r="H15" s="2906" t="s">
        <v>2153</v>
      </c>
      <c r="I15" s="2996">
        <f t="shared" si="2"/>
        <v>-1787.6647085443349</v>
      </c>
    </row>
    <row r="16" spans="2:9" ht="18" customHeight="1" thickBot="1" x14ac:dyDescent="0.25">
      <c r="B16" s="475" t="s">
        <v>986</v>
      </c>
      <c r="C16" s="2997">
        <f>IF(SUM(Table4.B!S13,'Table4(IV)'!J31)=0,"IE",SUM(Table4.B!S13,'Table4(IV)'!J31))</f>
        <v>6634.3851734750442</v>
      </c>
      <c r="D16" s="2997">
        <f>'Table4(IV)'!K31</f>
        <v>4.6514591999999997</v>
      </c>
      <c r="E16" s="2997">
        <f>IF(SUM('Table4(III)'!I21,'Table4(IV)'!L31)=0,"IE",SUM('Table4(III)'!I21,'Table4(IV)'!L31))</f>
        <v>0.23714124362800956</v>
      </c>
      <c r="F16" s="2908">
        <v>3.5024380285714281</v>
      </c>
      <c r="G16" s="2908">
        <v>137.17497733333337</v>
      </c>
      <c r="H16" s="2907">
        <v>16.581590666666667</v>
      </c>
      <c r="I16" s="2998">
        <f t="shared" si="2"/>
        <v>6827.4684606364663</v>
      </c>
    </row>
    <row r="17" spans="2:9" ht="18" customHeight="1" x14ac:dyDescent="0.2">
      <c r="B17" s="473" t="s">
        <v>987</v>
      </c>
      <c r="C17" s="2992">
        <f>IF(SUM(C18:C19)=0,"NO",SUM(C18:C19))</f>
        <v>59677.83172522884</v>
      </c>
      <c r="D17" s="2992">
        <f t="shared" ref="D17" si="8">IF(SUM(D18:D19)=0,"NO",SUM(D18:D19))</f>
        <v>350.7844926693287</v>
      </c>
      <c r="E17" s="2992">
        <f t="shared" ref="E17" si="9">IF(SUM(E18:E19)=0,"NO",SUM(E18:E19))</f>
        <v>10.924468425358238</v>
      </c>
      <c r="F17" s="2992">
        <f t="shared" ref="F17" si="10">IF(SUM(F18:F19)=0,"NO",SUM(F18:F19))</f>
        <v>665.84500700711499</v>
      </c>
      <c r="G17" s="2992">
        <f t="shared" ref="G17" si="11">IF(SUM(G18:G19)=0,"NO",SUM(G18:G19))</f>
        <v>17548.797139574748</v>
      </c>
      <c r="H17" s="2993">
        <f t="shared" ref="H17" si="12">IF(SUM(H18:H19)=0,"NO",SUM(H18:H19))</f>
        <v>484.99175542227931</v>
      </c>
      <c r="I17" s="2999">
        <f t="shared" si="2"/>
        <v>72394.781652689984</v>
      </c>
    </row>
    <row r="18" spans="2:9" ht="18" customHeight="1" x14ac:dyDescent="0.2">
      <c r="B18" s="474" t="s">
        <v>988</v>
      </c>
      <c r="C18" s="2995">
        <f>IF(SUM(Table4.C!S11,'Table4(IV)'!J37)=0,"IE",SUM(Table4.C!S11,'Table4(IV)'!J37))</f>
        <v>-10160.216750783289</v>
      </c>
      <c r="D18" s="2995">
        <f>'Table4(IV)'!K37</f>
        <v>258.39842873110888</v>
      </c>
      <c r="E18" s="2995">
        <f>IF(SUM('Table4(III)'!I29,'Table4(IV)'!L37)=0,"NO",SUM('Table4(III)'!I29,'Table4(IV)'!L37))</f>
        <v>8.6071013739699929</v>
      </c>
      <c r="F18" s="2905">
        <v>595.37520808366844</v>
      </c>
      <c r="G18" s="2905">
        <v>14812.93639715992</v>
      </c>
      <c r="H18" s="2906">
        <v>158.8641732322867</v>
      </c>
      <c r="I18" s="2996">
        <f t="shared" si="2"/>
        <v>-644.17888221019257</v>
      </c>
    </row>
    <row r="19" spans="2:9" ht="18" customHeight="1" thickBot="1" x14ac:dyDescent="0.25">
      <c r="B19" s="475" t="s">
        <v>989</v>
      </c>
      <c r="C19" s="2997">
        <f>IF(SUM(Table4.C!S15,'Table4(IV)'!J42)=0,"IE",SUM(Table4.C!S15,'Table4(IV)'!J42))</f>
        <v>69838.048476012133</v>
      </c>
      <c r="D19" s="2997">
        <f>'Table4(IV)'!K42</f>
        <v>92.386063938219834</v>
      </c>
      <c r="E19" s="2997">
        <f>IF(SUM('Table4(III)'!I30,'Table4(IV)'!L42)=0,"NO",SUM('Table4(III)'!I30,'Table4(IV)'!L42))</f>
        <v>2.3173670513882452</v>
      </c>
      <c r="F19" s="2908">
        <v>70.469798923446575</v>
      </c>
      <c r="G19" s="2908">
        <v>2735.8607424148299</v>
      </c>
      <c r="H19" s="2907">
        <v>326.12758218999261</v>
      </c>
      <c r="I19" s="2998">
        <f t="shared" si="2"/>
        <v>73038.960534900179</v>
      </c>
    </row>
    <row r="20" spans="2:9" ht="18" customHeight="1" x14ac:dyDescent="0.2">
      <c r="B20" s="473" t="s">
        <v>2027</v>
      </c>
      <c r="C20" s="2992">
        <f>IF(SUM(C21:C22)=0,"NO",SUM(C21:C22))</f>
        <v>1126.000824608037</v>
      </c>
      <c r="D20" s="2992">
        <f t="shared" ref="D20" si="13">IF(SUM(D21:D22)=0,"NO",SUM(D21:D22))</f>
        <v>93.194662314151884</v>
      </c>
      <c r="E20" s="2992">
        <f t="shared" ref="E20" si="14">IF(SUM(E21:E22)=0,"NO",SUM(E21:E22))</f>
        <v>0.33938700527281834</v>
      </c>
      <c r="F20" s="2992">
        <f t="shared" ref="F20" si="15">IF(SUM(F21:F22)=0,"NO",SUM(F21:F22))</f>
        <v>24.502500153096623</v>
      </c>
      <c r="G20" s="2992">
        <f t="shared" ref="G20" si="16">IF(SUM(G21:G22)=0,"NO",SUM(G21:G22))</f>
        <v>587.5434819319612</v>
      </c>
      <c r="H20" s="2993">
        <f t="shared" ref="H20" si="17">IF(SUM(H21:H22)=0,"NO",SUM(H21:H22))</f>
        <v>0.37700706757300845</v>
      </c>
      <c r="I20" s="2999">
        <f t="shared" si="2"/>
        <v>3825.3889258015865</v>
      </c>
    </row>
    <row r="21" spans="2:9" ht="18" customHeight="1" x14ac:dyDescent="0.2">
      <c r="B21" s="474" t="s">
        <v>990</v>
      </c>
      <c r="C21" s="2995">
        <f>IF(SUM(Table4.D!S11,'Table4(IV)'!J49)=0,"IE",SUM(Table4.D!S11,'Table4(IV)'!J49))</f>
        <v>1074.8141579413702</v>
      </c>
      <c r="D21" s="2995">
        <f>IF(SUM('Table4(IV)'!K49,'Table4(II)'!J270)=0,"NO",SUM('Table4(IV)'!K49,'Table4(II)'!J270))</f>
        <v>79.677484128405354</v>
      </c>
      <c r="E21" s="2995">
        <f>IF(SUM('Table4(II)'!I270,'Table4(III)'!I38,'Table4(IV)'!L49)=0,"NO",SUM('Table4(II)'!I270,'Table4(III)'!I38,'Table4(IV)'!L49))</f>
        <v>0.33938700527281834</v>
      </c>
      <c r="F21" s="2905">
        <v>24.502500153096623</v>
      </c>
      <c r="G21" s="2905">
        <v>587.5434819319612</v>
      </c>
      <c r="H21" s="2906">
        <v>0.37700706757300845</v>
      </c>
      <c r="I21" s="2996">
        <f t="shared" si="2"/>
        <v>3395.7212699340166</v>
      </c>
    </row>
    <row r="22" spans="2:9" ht="18" customHeight="1" thickBot="1" x14ac:dyDescent="0.25">
      <c r="B22" s="475" t="s">
        <v>991</v>
      </c>
      <c r="C22" s="2997">
        <f>IF(SUM(Table4.D!S23,'Table4(II)'!H320,'Table4(IV)'!J54)=0,"NO",SUM(Table4.D!S23,'Table4(II)'!H320,'Table4(IV)'!J54))</f>
        <v>51.186666666666667</v>
      </c>
      <c r="D22" s="2997">
        <f>IF(SUM('Table4(IV)'!K54,'Table4(II)'!J320)=0,"NO",SUM('Table4(IV)'!K54,'Table4(II)'!J320))</f>
        <v>13.517178185746529</v>
      </c>
      <c r="E22" s="2997" t="str">
        <f>IF(SUM('Table4(II)'!I320,'Table4(III)'!I39,'Table4(IV)'!L54)=0,"NO",SUM('Table4(II)'!I320,'Table4(III)'!I39,'Table4(IV)'!L54))</f>
        <v>NO</v>
      </c>
      <c r="F22" s="2908" t="s">
        <v>2153</v>
      </c>
      <c r="G22" s="2908" t="s">
        <v>2153</v>
      </c>
      <c r="H22" s="2907" t="s">
        <v>2153</v>
      </c>
      <c r="I22" s="2998">
        <f t="shared" si="2"/>
        <v>429.66765586756947</v>
      </c>
    </row>
    <row r="23" spans="2:9" ht="18" customHeight="1" x14ac:dyDescent="0.2">
      <c r="B23" s="473" t="s">
        <v>992</v>
      </c>
      <c r="C23" s="2992">
        <f>IF(SUM(C24:C25)=0,"NO",SUM(C24:C25))</f>
        <v>4984.8809461455048</v>
      </c>
      <c r="D23" s="2992">
        <f t="shared" ref="D23" si="18">IF(SUM(D24:D25)=0,"NO",SUM(D24:D25))</f>
        <v>3.1717512000000001</v>
      </c>
      <c r="E23" s="2992">
        <f t="shared" ref="E23" si="19">IF(SUM(E24:E25)=0,"NO",SUM(E24:E25))</f>
        <v>0.10035728239393597</v>
      </c>
      <c r="F23" s="2992">
        <f>IF(SUM(F24:F25)=0,"NO",SUM(F24:F25))</f>
        <v>2.3882531357142858</v>
      </c>
      <c r="G23" s="2992">
        <f t="shared" ref="G23" si="20">IF(SUM(G24:G25)=0,"NO",SUM(G24:G25))</f>
        <v>93.53729233333334</v>
      </c>
      <c r="H23" s="2993">
        <f t="shared" ref="H23" si="21">IF(SUM(H24:H25)=0,"NO",SUM(H24:H25))</f>
        <v>11.306705666666666</v>
      </c>
      <c r="I23" s="2999">
        <f t="shared" si="2"/>
        <v>5100.2846595798974</v>
      </c>
    </row>
    <row r="24" spans="2:9" ht="18" customHeight="1" x14ac:dyDescent="0.2">
      <c r="B24" s="474" t="s">
        <v>993</v>
      </c>
      <c r="C24" s="2995">
        <f>IF(SUM(Table4.E!S11,'Table4(IV)'!J60)=0,"IE",SUM(Table4.E!S11,'Table4(IV)'!J60))</f>
        <v>16.366054877084224</v>
      </c>
      <c r="D24" s="2995" t="str">
        <f>'Table4(IV)'!K60</f>
        <v>IE</v>
      </c>
      <c r="E24" s="2995">
        <f>IF(SUM('Table4(III)'!I47,'Table4(IV)'!L60)=0,"IE",SUM('Table4(III)'!I47,'Table4(IV)'!L60))</f>
        <v>9.5808037427191136E-4</v>
      </c>
      <c r="F24" s="2905" t="s">
        <v>2154</v>
      </c>
      <c r="G24" s="2905" t="s">
        <v>2154</v>
      </c>
      <c r="H24" s="2906" t="s">
        <v>2154</v>
      </c>
      <c r="I24" s="2996">
        <f t="shared" si="2"/>
        <v>16.619946176266282</v>
      </c>
    </row>
    <row r="25" spans="2:9" ht="18" customHeight="1" thickBot="1" x14ac:dyDescent="0.25">
      <c r="B25" s="475" t="s">
        <v>994</v>
      </c>
      <c r="C25" s="2997">
        <f>IF(SUM(Table4.E!S13,'Table4(IV)'!J65)=0,"IE",SUM(Table4.E!S13,'Table4(IV)'!J65))</f>
        <v>4968.5148912684208</v>
      </c>
      <c r="D25" s="2997">
        <f>'Table4(IV)'!K65</f>
        <v>3.1717512000000001</v>
      </c>
      <c r="E25" s="2997">
        <f>IF(SUM('Table4(III)'!I48,'Table4(IV)'!L65)=0,"NO",SUM('Table4(III)'!I48,'Table4(IV)'!L65))</f>
        <v>9.9399202019664068E-2</v>
      </c>
      <c r="F25" s="2908">
        <v>2.3882531357142858</v>
      </c>
      <c r="G25" s="2908">
        <v>93.53729233333334</v>
      </c>
      <c r="H25" s="2907">
        <v>11.306705666666666</v>
      </c>
      <c r="I25" s="2998">
        <f t="shared" si="2"/>
        <v>5083.6647134036311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-6338.0606437674905</v>
      </c>
      <c r="D29" s="3004"/>
      <c r="E29" s="3004"/>
      <c r="F29" s="3004"/>
      <c r="G29" s="3004"/>
      <c r="H29" s="3005"/>
      <c r="I29" s="3006">
        <f t="shared" si="2"/>
        <v>-6338.0606437674905</v>
      </c>
    </row>
    <row r="30" spans="2:9" ht="18" customHeight="1" x14ac:dyDescent="0.2">
      <c r="B30" s="1168" t="s">
        <v>2063</v>
      </c>
      <c r="C30" s="3007">
        <f>IF(SUM(C31:C32)=0,"NO",SUM(C31:C32))</f>
        <v>0.50683699359333334</v>
      </c>
      <c r="D30" s="3007" t="str">
        <f t="shared" ref="D30" si="27">IF(SUM(D31:D32)=0,"NO",SUM(D31:D32))</f>
        <v>NO</v>
      </c>
      <c r="E30" s="3007">
        <f t="shared" ref="E30" si="28">IF(SUM(E31:E32)=0,"NO",SUM(E31:E32))</f>
        <v>5.3709165714285717E-2</v>
      </c>
      <c r="F30" s="3007" t="str">
        <f t="shared" ref="F30" si="29">IF(SUM(F31:F32)=0,"NO",SUM(F31:F32))</f>
        <v>NO</v>
      </c>
      <c r="G30" s="3007" t="str">
        <f t="shared" ref="G30" si="30">IF(SUM(G31:G32)=0,"NO",SUM(G31:G32))</f>
        <v>NO</v>
      </c>
      <c r="H30" s="3008" t="str">
        <f t="shared" ref="H30" si="31">IF(SUM(H31:H32)=0,"NO",SUM(H31:H32))</f>
        <v>NO</v>
      </c>
      <c r="I30" s="3009">
        <f t="shared" si="2"/>
        <v>14.739765907879049</v>
      </c>
    </row>
    <row r="31" spans="2:9" ht="18" customHeight="1" x14ac:dyDescent="0.2">
      <c r="B31" s="2677" t="s">
        <v>2218</v>
      </c>
      <c r="C31" s="3010" t="s">
        <v>2146</v>
      </c>
      <c r="D31" s="3010" t="s">
        <v>2146</v>
      </c>
      <c r="E31" s="3010">
        <v>5.3709165714285717E-2</v>
      </c>
      <c r="F31" s="3010" t="s">
        <v>2146</v>
      </c>
      <c r="G31" s="3010" t="s">
        <v>2146</v>
      </c>
      <c r="H31" s="3011" t="s">
        <v>2146</v>
      </c>
      <c r="I31" s="3012">
        <f t="shared" si="2"/>
        <v>14.232928914285715</v>
      </c>
    </row>
    <row r="32" spans="2:9" ht="18" customHeight="1" thickBot="1" x14ac:dyDescent="0.25">
      <c r="B32" s="2676" t="s">
        <v>2219</v>
      </c>
      <c r="C32" s="3013">
        <v>0.50683699359333334</v>
      </c>
      <c r="D32" s="3013" t="s">
        <v>2146</v>
      </c>
      <c r="E32" s="3013" t="s">
        <v>2146</v>
      </c>
      <c r="F32" s="3014" t="s">
        <v>2146</v>
      </c>
      <c r="G32" s="3014" t="s">
        <v>2146</v>
      </c>
      <c r="H32" s="3014" t="s">
        <v>2146</v>
      </c>
      <c r="I32" s="2998">
        <f t="shared" si="2"/>
        <v>0.50683699359333334</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320227.94556871982</v>
      </c>
      <c r="D10" s="3765">
        <f t="shared" ref="D10:I10" si="0">IF(SUM(D11,D37,D47)=0,"NO",SUM(D11,D37,D47))</f>
        <v>1307.2679893744455</v>
      </c>
      <c r="E10" s="3765">
        <f t="shared" si="0"/>
        <v>9.7992122569808</v>
      </c>
      <c r="F10" s="3765">
        <f t="shared" si="0"/>
        <v>1792.8991296795652</v>
      </c>
      <c r="G10" s="3765">
        <f t="shared" si="0"/>
        <v>5193.571147644072</v>
      </c>
      <c r="H10" s="3765">
        <f t="shared" si="0"/>
        <v>771.06051129520233</v>
      </c>
      <c r="I10" s="3766">
        <f t="shared" si="0"/>
        <v>638.39296707385893</v>
      </c>
      <c r="J10" s="3028">
        <f t="shared" ref="J10:J40" si="1">IF(SUM(C10:E10)=0,"NO",SUM(C10,IFERROR(28*D10,0),IFERROR(265*E10,0)))</f>
        <v>359428.24051930424</v>
      </c>
    </row>
    <row r="11" spans="2:10" s="83" customFormat="1" ht="18" customHeight="1" thickBot="1" x14ac:dyDescent="0.25">
      <c r="B11" s="18" t="s">
        <v>75</v>
      </c>
      <c r="C11" s="3029">
        <f>IF(SUM(C12,C16,C24,C30,C34)=0,"NO",SUM(C12,C16,C24,C30,C34))</f>
        <v>313062.80677665863</v>
      </c>
      <c r="D11" s="3029">
        <f t="shared" ref="D11:I11" si="2">IF(SUM(D12,D16,D24,D30,D34)=0,"NO",SUM(D12,D16,D24,D30,D34))</f>
        <v>115.72716495081887</v>
      </c>
      <c r="E11" s="3029">
        <f t="shared" si="2"/>
        <v>9.7073059004298035</v>
      </c>
      <c r="F11" s="3029">
        <f t="shared" si="2"/>
        <v>1790.1360963539994</v>
      </c>
      <c r="G11" s="3029">
        <f t="shared" si="2"/>
        <v>5177.5447543557902</v>
      </c>
      <c r="H11" s="3029">
        <f t="shared" si="2"/>
        <v>587.92919878046746</v>
      </c>
      <c r="I11" s="3030">
        <f t="shared" si="2"/>
        <v>638.39296707385893</v>
      </c>
      <c r="J11" s="3031">
        <f t="shared" si="1"/>
        <v>318875.60345889546</v>
      </c>
    </row>
    <row r="12" spans="2:10" s="83" customFormat="1" ht="18" customHeight="1" x14ac:dyDescent="0.2">
      <c r="B12" s="26" t="s">
        <v>76</v>
      </c>
      <c r="C12" s="3029">
        <f>IF(SUM(C13:C15)=0,"NO",SUM(C13:C15))</f>
        <v>188804.16706406116</v>
      </c>
      <c r="D12" s="3029">
        <f t="shared" ref="D12:I12" si="3">IF(SUM(D13:D15)=0,"NO",SUM(D13:D15))</f>
        <v>9.2514407336421911</v>
      </c>
      <c r="E12" s="3029">
        <f t="shared" si="3"/>
        <v>2.232424748030748</v>
      </c>
      <c r="F12" s="3029">
        <f t="shared" si="3"/>
        <v>623.2433289745818</v>
      </c>
      <c r="G12" s="3029">
        <f t="shared" si="3"/>
        <v>98.102488647851658</v>
      </c>
      <c r="H12" s="3029">
        <f>IF(SUM(H13:H15)=0,"NO",SUM(H13:H15))</f>
        <v>15.757094744880774</v>
      </c>
      <c r="I12" s="3030">
        <f t="shared" si="3"/>
        <v>510.934636668206</v>
      </c>
      <c r="J12" s="3031">
        <f t="shared" si="1"/>
        <v>189654.79996283128</v>
      </c>
    </row>
    <row r="13" spans="2:10" s="83" customFormat="1" ht="18" customHeight="1" x14ac:dyDescent="0.2">
      <c r="B13" s="20" t="s">
        <v>77</v>
      </c>
      <c r="C13" s="3032">
        <f>'Table1.A(a)s1'!H24</f>
        <v>171374.29805800589</v>
      </c>
      <c r="D13" s="3032">
        <f>'Table1.A(a)s1'!I24</f>
        <v>3.3891471292379785</v>
      </c>
      <c r="E13" s="3032">
        <f>'Table1.A(a)s1'!J24</f>
        <v>1.9567241459169882</v>
      </c>
      <c r="F13" s="3033">
        <v>484.05925136018374</v>
      </c>
      <c r="G13" s="3033">
        <v>64.368375698873763</v>
      </c>
      <c r="H13" s="3033">
        <v>5.0360679152095953</v>
      </c>
      <c r="I13" s="3034">
        <v>495.42355924692106</v>
      </c>
      <c r="J13" s="3035">
        <f t="shared" si="1"/>
        <v>171987.72607629257</v>
      </c>
    </row>
    <row r="14" spans="2:10" s="83" customFormat="1" ht="18" customHeight="1" x14ac:dyDescent="0.2">
      <c r="B14" s="20" t="s">
        <v>78</v>
      </c>
      <c r="C14" s="3032">
        <f>'Table1.A(a)s1'!H53</f>
        <v>6782.5994809132626</v>
      </c>
      <c r="D14" s="3032">
        <f>'Table1.A(a)s1'!I53</f>
        <v>7.6620844259740181E-2</v>
      </c>
      <c r="E14" s="3032">
        <f>'Table1.A(a)s1'!J53</f>
        <v>5.5876687328138476E-2</v>
      </c>
      <c r="F14" s="3033">
        <v>38.894070973852777</v>
      </c>
      <c r="G14" s="3033">
        <v>5.3130770784415535</v>
      </c>
      <c r="H14" s="3033">
        <v>9.011435531774882E-2</v>
      </c>
      <c r="I14" s="3034">
        <v>5.3330870175438534</v>
      </c>
      <c r="J14" s="3035">
        <f t="shared" si="1"/>
        <v>6799.5521866944919</v>
      </c>
    </row>
    <row r="15" spans="2:10" s="83" customFormat="1" ht="18" customHeight="1" thickBot="1" x14ac:dyDescent="0.25">
      <c r="B15" s="21" t="s">
        <v>79</v>
      </c>
      <c r="C15" s="3036">
        <f>'Table1.A(a)s1'!H60</f>
        <v>10647.269525142023</v>
      </c>
      <c r="D15" s="3036">
        <f>'Table1.A(a)s1'!I60</f>
        <v>5.7856727601444726</v>
      </c>
      <c r="E15" s="3036">
        <f>'Table1.A(a)s1'!J60</f>
        <v>0.21982391478562124</v>
      </c>
      <c r="F15" s="3037">
        <v>100.29000664054519</v>
      </c>
      <c r="G15" s="3037">
        <v>28.421035870536343</v>
      </c>
      <c r="H15" s="3037">
        <v>10.63091247435343</v>
      </c>
      <c r="I15" s="3038">
        <v>10.177990403741118</v>
      </c>
      <c r="J15" s="3039">
        <f t="shared" si="1"/>
        <v>10867.521699844257</v>
      </c>
    </row>
    <row r="16" spans="2:10" s="83" customFormat="1" ht="18" customHeight="1" x14ac:dyDescent="0.2">
      <c r="B16" s="25" t="s">
        <v>80</v>
      </c>
      <c r="C16" s="3029">
        <f>IF(SUM(C17:C23)=0,"NO",SUM(C17:C23))</f>
        <v>37694.584804338745</v>
      </c>
      <c r="D16" s="3029">
        <f t="shared" ref="D16:I16" si="4">IF(SUM(D17:D23)=0,"NO",SUM(D17:D23))</f>
        <v>2.2860942612837478</v>
      </c>
      <c r="E16" s="3029">
        <f t="shared" si="4"/>
        <v>1.3209948143262535</v>
      </c>
      <c r="F16" s="3029">
        <f t="shared" si="4"/>
        <v>521.1114146196503</v>
      </c>
      <c r="G16" s="3029">
        <f t="shared" si="4"/>
        <v>168.61416758273799</v>
      </c>
      <c r="H16" s="3029">
        <f t="shared" si="4"/>
        <v>67.426748283104189</v>
      </c>
      <c r="I16" s="3030">
        <f t="shared" si="4"/>
        <v>95.790698213123591</v>
      </c>
      <c r="J16" s="3031">
        <f t="shared" si="1"/>
        <v>38108.659069451147</v>
      </c>
    </row>
    <row r="17" spans="2:10" s="83" customFormat="1" ht="18" customHeight="1" x14ac:dyDescent="0.2">
      <c r="B17" s="20" t="s">
        <v>81</v>
      </c>
      <c r="C17" s="3032">
        <f>'Table1.A(a)s2'!H17</f>
        <v>2682.5544706619339</v>
      </c>
      <c r="D17" s="3032">
        <f>'Table1.A(a)s2'!I17</f>
        <v>0.10631582284701462</v>
      </c>
      <c r="E17" s="3032">
        <f>'Table1.A(a)s2'!J17</f>
        <v>3.3732700739377605E-2</v>
      </c>
      <c r="F17" s="3033">
        <v>30.349133689350968</v>
      </c>
      <c r="G17" s="3033">
        <v>8.5035364620119243</v>
      </c>
      <c r="H17" s="3033">
        <v>4.0509266073269288</v>
      </c>
      <c r="I17" s="3034">
        <v>11.233741790823212</v>
      </c>
      <c r="J17" s="3035">
        <f t="shared" si="1"/>
        <v>2694.4704793975852</v>
      </c>
    </row>
    <row r="18" spans="2:10" s="83" customFormat="1" ht="18" customHeight="1" x14ac:dyDescent="0.2">
      <c r="B18" s="20" t="s">
        <v>82</v>
      </c>
      <c r="C18" s="3032">
        <f>'Table1.A(a)s2'!H24</f>
        <v>12526.624716639435</v>
      </c>
      <c r="D18" s="3032">
        <f>'Table1.A(a)s2'!I24</f>
        <v>0.23299952689139664</v>
      </c>
      <c r="E18" s="3032">
        <f>'Table1.A(a)s2'!J24</f>
        <v>0.13486922341700278</v>
      </c>
      <c r="F18" s="3033">
        <v>79.557704222765793</v>
      </c>
      <c r="G18" s="3033">
        <v>12.656760859525511</v>
      </c>
      <c r="H18" s="3033">
        <v>1.2716360259590993</v>
      </c>
      <c r="I18" s="3034">
        <v>53.312761094396635</v>
      </c>
      <c r="J18" s="3035">
        <f t="shared" si="1"/>
        <v>12568.889047597901</v>
      </c>
    </row>
    <row r="19" spans="2:10" s="83" customFormat="1" ht="18" customHeight="1" x14ac:dyDescent="0.2">
      <c r="B19" s="20" t="s">
        <v>83</v>
      </c>
      <c r="C19" s="3032">
        <f>'Table1.A(a)s2'!H31</f>
        <v>5783.1858987758296</v>
      </c>
      <c r="D19" s="3032">
        <f>'Table1.A(a)s2'!I31</f>
        <v>0.25869297653093698</v>
      </c>
      <c r="E19" s="3032">
        <f>'Table1.A(a)s2'!J31</f>
        <v>7.1325485477537295E-2</v>
      </c>
      <c r="F19" s="3033">
        <v>45.199213446822775</v>
      </c>
      <c r="G19" s="3033">
        <v>19.048869937038212</v>
      </c>
      <c r="H19" s="3033">
        <v>13.442474628301406</v>
      </c>
      <c r="I19" s="3034">
        <v>4.1602457515342985</v>
      </c>
      <c r="J19" s="3035">
        <f t="shared" si="1"/>
        <v>5809.3305557702433</v>
      </c>
    </row>
    <row r="20" spans="2:10" s="83" customFormat="1" ht="18" customHeight="1" x14ac:dyDescent="0.2">
      <c r="B20" s="20" t="s">
        <v>84</v>
      </c>
      <c r="C20" s="3032">
        <f>'Table1.A(a)s2'!H38</f>
        <v>1476.8416811103293</v>
      </c>
      <c r="D20" s="3032">
        <f>'Table1.A(a)s2'!I38</f>
        <v>0.2015473506493507</v>
      </c>
      <c r="E20" s="3032">
        <f>'Table1.A(a)s2'!J38</f>
        <v>0.13386675064935066</v>
      </c>
      <c r="F20" s="3033">
        <v>5.8557475151515153</v>
      </c>
      <c r="G20" s="3033">
        <v>4.7703944588744589</v>
      </c>
      <c r="H20" s="3033">
        <v>0.16172580173160173</v>
      </c>
      <c r="I20" s="3034">
        <v>2.8570670715249666</v>
      </c>
      <c r="J20" s="3035">
        <f t="shared" si="1"/>
        <v>1517.9596958505892</v>
      </c>
    </row>
    <row r="21" spans="2:10" s="83" customFormat="1" ht="18" customHeight="1" x14ac:dyDescent="0.2">
      <c r="B21" s="20" t="s">
        <v>85</v>
      </c>
      <c r="C21" s="3032">
        <f>'Table1.A(a)s2'!H45</f>
        <v>3062.3972891604308</v>
      </c>
      <c r="D21" s="3032">
        <f>'Table1.A(a)s2'!I45</f>
        <v>0.95033726856572187</v>
      </c>
      <c r="E21" s="3032">
        <f>'Table1.A(a)s2'!J45</f>
        <v>0.623953927949634</v>
      </c>
      <c r="F21" s="3033">
        <v>24.083788536659959</v>
      </c>
      <c r="G21" s="3033">
        <v>23.717614504005198</v>
      </c>
      <c r="H21" s="3033">
        <v>1.0812696193011182</v>
      </c>
      <c r="I21" s="3034">
        <v>6.334996758465933</v>
      </c>
      <c r="J21" s="3035">
        <f t="shared" si="1"/>
        <v>3254.3545235869242</v>
      </c>
    </row>
    <row r="22" spans="2:10" s="83" customFormat="1" ht="18" customHeight="1" x14ac:dyDescent="0.2">
      <c r="B22" s="20" t="s">
        <v>86</v>
      </c>
      <c r="C22" s="3032">
        <f>'Table1.A(a)s2'!H52</f>
        <v>5063.3716719810454</v>
      </c>
      <c r="D22" s="3032">
        <f>'Table1.A(a)s2'!I52</f>
        <v>0.16429991838277283</v>
      </c>
      <c r="E22" s="3032">
        <f>'Table1.A(a)s2'!J52</f>
        <v>3.8574550711050412E-2</v>
      </c>
      <c r="F22" s="3033">
        <v>70.501301182972981</v>
      </c>
      <c r="G22" s="3033">
        <v>13.438762767062633</v>
      </c>
      <c r="H22" s="3033">
        <v>6.3535663056003422</v>
      </c>
      <c r="I22" s="3034">
        <v>9.0589208636977041</v>
      </c>
      <c r="J22" s="3035">
        <f t="shared" si="1"/>
        <v>5078.194325634191</v>
      </c>
    </row>
    <row r="23" spans="2:10" s="83" customFormat="1" ht="18" customHeight="1" thickBot="1" x14ac:dyDescent="0.25">
      <c r="B23" s="3060" t="s">
        <v>2115</v>
      </c>
      <c r="C23" s="3032">
        <f>'Table1.A(a)s2'!H59</f>
        <v>7099.6090760097404</v>
      </c>
      <c r="D23" s="3032">
        <f>'Table1.A(a)s2'!I59</f>
        <v>0.37190139741655409</v>
      </c>
      <c r="E23" s="3032">
        <f>'Table1.A(a)s2'!J59</f>
        <v>0.28467217538230066</v>
      </c>
      <c r="F23" s="3033">
        <v>265.56452602592634</v>
      </c>
      <c r="G23" s="3033">
        <v>86.478228594220056</v>
      </c>
      <c r="H23" s="3033">
        <v>41.065149294883696</v>
      </c>
      <c r="I23" s="3034">
        <v>8.8329648826808196</v>
      </c>
      <c r="J23" s="3035">
        <f t="shared" si="1"/>
        <v>7185.4604416137136</v>
      </c>
    </row>
    <row r="24" spans="2:10" s="83" customFormat="1" ht="18" customHeight="1" x14ac:dyDescent="0.2">
      <c r="B24" s="25" t="s">
        <v>87</v>
      </c>
      <c r="C24" s="3029">
        <f>IF(SUM(C25:C29)=0,"NO",SUM(C25:C29))</f>
        <v>70158.125555101506</v>
      </c>
      <c r="D24" s="3029">
        <f t="shared" ref="D24:I24" si="5">IF(SUM(D25:D29)=0,"NO",SUM(D25:D29))</f>
        <v>28.743196804964057</v>
      </c>
      <c r="E24" s="3029">
        <f t="shared" si="5"/>
        <v>5.5384186929027015</v>
      </c>
      <c r="F24" s="3029">
        <f t="shared" si="5"/>
        <v>386.53339131083862</v>
      </c>
      <c r="G24" s="3029">
        <f t="shared" si="5"/>
        <v>3927.5596892860422</v>
      </c>
      <c r="H24" s="3029">
        <f t="shared" si="5"/>
        <v>362.58186199021145</v>
      </c>
      <c r="I24" s="3030">
        <f t="shared" si="5"/>
        <v>25.194828890892797</v>
      </c>
      <c r="J24" s="3031">
        <f t="shared" si="1"/>
        <v>72430.616019259716</v>
      </c>
    </row>
    <row r="25" spans="2:10" s="83" customFormat="1" ht="18" customHeight="1" x14ac:dyDescent="0.2">
      <c r="B25" s="20" t="s">
        <v>88</v>
      </c>
      <c r="C25" s="1878">
        <f>'Table1.A(a)s3'!H16</f>
        <v>4747.6692761062332</v>
      </c>
      <c r="D25" s="1878">
        <f>'Table1.A(a)s3'!I16</f>
        <v>3.4096416862185473E-2</v>
      </c>
      <c r="E25" s="1878">
        <f>'Table1.A(a)s3'!J16</f>
        <v>4.683453860415028E-2</v>
      </c>
      <c r="F25" s="3033">
        <v>16.208314824273351</v>
      </c>
      <c r="G25" s="3033">
        <v>10.853477095506465</v>
      </c>
      <c r="H25" s="3033">
        <v>1.0625863262319377</v>
      </c>
      <c r="I25" s="3034">
        <v>0.56051536461060114</v>
      </c>
      <c r="J25" s="3035">
        <f t="shared" si="1"/>
        <v>4761.0351285084744</v>
      </c>
    </row>
    <row r="26" spans="2:10" s="83" customFormat="1" ht="18" customHeight="1" x14ac:dyDescent="0.2">
      <c r="B26" s="20" t="s">
        <v>89</v>
      </c>
      <c r="C26" s="1878">
        <f>'Table1.A(a)s3'!H20</f>
        <v>61457.509601451617</v>
      </c>
      <c r="D26" s="1878">
        <f>'Table1.A(a)s3'!I20</f>
        <v>24.634307539514527</v>
      </c>
      <c r="E26" s="1878">
        <f>'Table1.A(a)s3'!J20</f>
        <v>4.7821181392648926</v>
      </c>
      <c r="F26" s="3033">
        <v>311.67617897567925</v>
      </c>
      <c r="G26" s="3033">
        <v>3699.1258921139829</v>
      </c>
      <c r="H26" s="3033">
        <v>324.51232981287359</v>
      </c>
      <c r="I26" s="3034">
        <v>11.810597558526371</v>
      </c>
      <c r="J26" s="3035">
        <f t="shared" si="1"/>
        <v>63414.53151946322</v>
      </c>
    </row>
    <row r="27" spans="2:10" s="83" customFormat="1" ht="18" customHeight="1" x14ac:dyDescent="0.2">
      <c r="B27" s="20" t="s">
        <v>90</v>
      </c>
      <c r="C27" s="1878">
        <f>'Table1.A(a)s3'!H81</f>
        <v>1569.5842383667857</v>
      </c>
      <c r="D27" s="1878">
        <f>'Table1.A(a)s3'!I81</f>
        <v>8.9760000000000006E-2</v>
      </c>
      <c r="E27" s="1878">
        <f>'Table1.A(a)s3'!J81</f>
        <v>0.67320000000000002</v>
      </c>
      <c r="F27" s="3033">
        <v>34.333200000000005</v>
      </c>
      <c r="G27" s="3033">
        <v>4.5328800000000005</v>
      </c>
      <c r="H27" s="3033">
        <v>1.59324</v>
      </c>
      <c r="I27" s="3034">
        <v>1.2795196842105263</v>
      </c>
      <c r="J27" s="3035">
        <f t="shared" si="1"/>
        <v>1750.4955183667855</v>
      </c>
    </row>
    <row r="28" spans="2:10" s="83" customFormat="1" ht="18" customHeight="1" x14ac:dyDescent="0.2">
      <c r="B28" s="20" t="s">
        <v>91</v>
      </c>
      <c r="C28" s="1878">
        <f>'Table1.A(a)s3'!H88</f>
        <v>1853.1301266810585</v>
      </c>
      <c r="D28" s="1878">
        <f>'Table1.A(a)s3'!I88</f>
        <v>3.8802661531729457</v>
      </c>
      <c r="E28" s="1878">
        <f>'Table1.A(a)s3'!J88</f>
        <v>3.5195048708621966E-2</v>
      </c>
      <c r="F28" s="3033">
        <v>22.306647252490691</v>
      </c>
      <c r="G28" s="3033">
        <v>208.37661870027134</v>
      </c>
      <c r="H28" s="3033">
        <v>34.737492490428828</v>
      </c>
      <c r="I28" s="3034">
        <v>11.539214814218795</v>
      </c>
      <c r="J28" s="3035">
        <f t="shared" si="1"/>
        <v>1971.1042668776859</v>
      </c>
    </row>
    <row r="29" spans="2:10" s="83" customFormat="1" ht="18" customHeight="1" thickBot="1" x14ac:dyDescent="0.25">
      <c r="B29" s="22" t="s">
        <v>92</v>
      </c>
      <c r="C29" s="1881">
        <f>'Table1.A(a)s3'!H99</f>
        <v>530.23231249580499</v>
      </c>
      <c r="D29" s="1881">
        <f>'Table1.A(a)s3'!I99</f>
        <v>0.10476669541440195</v>
      </c>
      <c r="E29" s="1881">
        <f>'Table1.A(a)s3'!J99</f>
        <v>1.0709663250366031E-3</v>
      </c>
      <c r="F29" s="3040">
        <v>2.009050258395344</v>
      </c>
      <c r="G29" s="3040">
        <v>4.670821376281113</v>
      </c>
      <c r="H29" s="3040">
        <v>0.67621336067710958</v>
      </c>
      <c r="I29" s="3041">
        <v>4.9814693265007332E-3</v>
      </c>
      <c r="J29" s="3042">
        <f t="shared" si="1"/>
        <v>533.44958604354304</v>
      </c>
    </row>
    <row r="30" spans="2:10" ht="18" customHeight="1" x14ac:dyDescent="0.2">
      <c r="B30" s="26" t="s">
        <v>93</v>
      </c>
      <c r="C30" s="3029">
        <f>IF(SUM(C31:C33)=0,"NO",SUM(C31:C33))</f>
        <v>15779.169384823213</v>
      </c>
      <c r="D30" s="3029">
        <f t="shared" ref="D30" si="6">IF(SUM(D31:D33)=0,"NO",SUM(D31:D33))</f>
        <v>75.416760793136476</v>
      </c>
      <c r="E30" s="3029">
        <f t="shared" ref="E30" si="7">IF(SUM(E31:E33)=0,"NO",SUM(E31:E33))</f>
        <v>0.5983519156095326</v>
      </c>
      <c r="F30" s="3029">
        <f t="shared" ref="F30" si="8">IF(SUM(F31:F33)=0,"NO",SUM(F31:F33))</f>
        <v>253.78130910478131</v>
      </c>
      <c r="G30" s="3029">
        <f t="shared" ref="G30" si="9">IF(SUM(G31:G33)=0,"NO",SUM(G31:G33))</f>
        <v>977.38936701023601</v>
      </c>
      <c r="H30" s="3029">
        <f t="shared" ref="H30" si="10">IF(SUM(H31:H33)=0,"NO",SUM(H31:H33))</f>
        <v>141.59279865143185</v>
      </c>
      <c r="I30" s="3030">
        <f t="shared" ref="I30" si="11">IF(SUM(I31:I33)=0,"NO",SUM(I31:I33))</f>
        <v>6.251746153293082</v>
      </c>
      <c r="J30" s="3043">
        <f t="shared" si="1"/>
        <v>18049.401944667563</v>
      </c>
    </row>
    <row r="31" spans="2:10" ht="18" customHeight="1" x14ac:dyDescent="0.2">
      <c r="B31" s="20" t="s">
        <v>94</v>
      </c>
      <c r="C31" s="3032">
        <f>'Table1.A(a)s4'!H17</f>
        <v>4340.6186734595485</v>
      </c>
      <c r="D31" s="3032">
        <f>'Table1.A(a)s4'!I17</f>
        <v>7.7700193464755651E-2</v>
      </c>
      <c r="E31" s="3032">
        <f>'Table1.A(a)s4'!J17</f>
        <v>8.7570032341303575E-2</v>
      </c>
      <c r="F31" s="3033">
        <v>17.67355035879142</v>
      </c>
      <c r="G31" s="3033">
        <v>5.098953792561046</v>
      </c>
      <c r="H31" s="3033">
        <v>1.9326756024008285</v>
      </c>
      <c r="I31" s="3034">
        <v>2.1648173269389281</v>
      </c>
      <c r="J31" s="3035">
        <f t="shared" si="1"/>
        <v>4366.000337447007</v>
      </c>
    </row>
    <row r="32" spans="2:10" ht="18" customHeight="1" x14ac:dyDescent="0.2">
      <c r="B32" s="20" t="s">
        <v>95</v>
      </c>
      <c r="C32" s="3032">
        <f>'Table1.A(a)s4'!H38</f>
        <v>7175.2195195297381</v>
      </c>
      <c r="D32" s="3032">
        <f>'Table1.A(a)s4'!I38</f>
        <v>75.062198262009389</v>
      </c>
      <c r="E32" s="3032">
        <f>'Table1.A(a)s4'!J38</f>
        <v>0.2858243075106533</v>
      </c>
      <c r="F32" s="3033">
        <v>10.34130420053536</v>
      </c>
      <c r="G32" s="3033">
        <v>894.51959936486116</v>
      </c>
      <c r="H32" s="3033">
        <v>107.33848538669336</v>
      </c>
      <c r="I32" s="3034">
        <v>0.71622549302082072</v>
      </c>
      <c r="J32" s="3035">
        <f t="shared" si="1"/>
        <v>9352.7045123563239</v>
      </c>
    </row>
    <row r="33" spans="2:10" ht="18" customHeight="1" thickBot="1" x14ac:dyDescent="0.25">
      <c r="B33" s="20" t="s">
        <v>96</v>
      </c>
      <c r="C33" s="3032">
        <f>'Table1.A(a)s4'!H59</f>
        <v>4263.3311918339277</v>
      </c>
      <c r="D33" s="3032">
        <f>'Table1.A(a)s4'!I59</f>
        <v>0.27686233766233764</v>
      </c>
      <c r="E33" s="3032">
        <f>'Table1.A(a)s4'!J59</f>
        <v>0.22495757575757577</v>
      </c>
      <c r="F33" s="3033">
        <v>225.76645454545454</v>
      </c>
      <c r="G33" s="3033">
        <v>77.770813852813859</v>
      </c>
      <c r="H33" s="3033">
        <v>32.321637662337665</v>
      </c>
      <c r="I33" s="3034">
        <v>3.3707033333333336</v>
      </c>
      <c r="J33" s="3035">
        <f t="shared" si="1"/>
        <v>4330.6970948642311</v>
      </c>
    </row>
    <row r="34" spans="2:10" ht="18" customHeight="1" x14ac:dyDescent="0.2">
      <c r="B34" s="25" t="s">
        <v>2116</v>
      </c>
      <c r="C34" s="3029">
        <f>IF(SUM(C35:C36)=0,"NO",SUM(C35:C36))</f>
        <v>626.75996833401359</v>
      </c>
      <c r="D34" s="3029">
        <f t="shared" ref="D34:E34" si="12">IF(SUM(D35:D36)=0,"NO",SUM(D35:D36))</f>
        <v>2.9672357792401564E-2</v>
      </c>
      <c r="E34" s="3029">
        <f t="shared" si="12"/>
        <v>1.7115729560568681E-2</v>
      </c>
      <c r="F34" s="3029">
        <f t="shared" ref="F34:I34" si="13">IF(SUM(F35:F36)=0,"NO",SUM(F35:F36))</f>
        <v>5.4666523441474295</v>
      </c>
      <c r="G34" s="3029">
        <f t="shared" si="13"/>
        <v>5.8790418289229303</v>
      </c>
      <c r="H34" s="3029">
        <f t="shared" si="13"/>
        <v>0.57069511083918578</v>
      </c>
      <c r="I34" s="3030">
        <f t="shared" si="13"/>
        <v>0.22105714834346105</v>
      </c>
      <c r="J34" s="3031">
        <f t="shared" si="1"/>
        <v>632.12646268575156</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626.75996833401359</v>
      </c>
      <c r="D36" s="3044">
        <f>'Table1.A(a)s4'!I108</f>
        <v>2.9672357792401564E-2</v>
      </c>
      <c r="E36" s="3044">
        <f>'Table1.A(a)s4'!J108</f>
        <v>1.7115729560568681E-2</v>
      </c>
      <c r="F36" s="3040">
        <v>5.4666523441474295</v>
      </c>
      <c r="G36" s="3040">
        <v>5.8790418289229303</v>
      </c>
      <c r="H36" s="3040">
        <v>0.57069511083918578</v>
      </c>
      <c r="I36" s="3041">
        <v>0.22105714834346105</v>
      </c>
      <c r="J36" s="3042">
        <f t="shared" si="1"/>
        <v>632.12646268575156</v>
      </c>
    </row>
    <row r="37" spans="2:10" ht="18" customHeight="1" thickBot="1" x14ac:dyDescent="0.25">
      <c r="B37" s="18" t="s">
        <v>99</v>
      </c>
      <c r="C37" s="3029">
        <f>IF(SUM(C38,C42)=0,"NO",SUM(C38,C42))</f>
        <v>7165.1387920611951</v>
      </c>
      <c r="D37" s="3029">
        <f t="shared" ref="D37:I37" si="14">IF(SUM(D38,D42)=0,"NO",SUM(D38,D42))</f>
        <v>1191.5408244236266</v>
      </c>
      <c r="E37" s="3029">
        <f t="shared" si="14"/>
        <v>9.1906356550996562E-2</v>
      </c>
      <c r="F37" s="3029">
        <f t="shared" si="14"/>
        <v>2.7630333255657971</v>
      </c>
      <c r="G37" s="3029">
        <f t="shared" si="14"/>
        <v>16.026393288281625</v>
      </c>
      <c r="H37" s="3029">
        <f t="shared" si="14"/>
        <v>183.13131251473493</v>
      </c>
      <c r="I37" s="3030" t="str">
        <f t="shared" si="14"/>
        <v>NO</v>
      </c>
      <c r="J37" s="3031">
        <f t="shared" si="1"/>
        <v>40552.637060408757</v>
      </c>
    </row>
    <row r="38" spans="2:10" ht="18" customHeight="1" x14ac:dyDescent="0.2">
      <c r="B38" s="26" t="s">
        <v>100</v>
      </c>
      <c r="C38" s="3029">
        <f>IF(SUM(C39:C41)=0,"NO",SUM(C39:C41))</f>
        <v>1127.8534806311106</v>
      </c>
      <c r="D38" s="3029">
        <f t="shared" ref="D38" si="15">IF(SUM(D39:D41)=0,"NO",SUM(D39:D41))</f>
        <v>944.00510612910682</v>
      </c>
      <c r="E38" s="3029">
        <f t="shared" ref="E38" si="16">IF(SUM(E39:E41)=0,"NO",SUM(E39:E41))</f>
        <v>1.9356941613281385E-5</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27560.00158183563</v>
      </c>
    </row>
    <row r="39" spans="2:10" ht="18" customHeight="1" x14ac:dyDescent="0.2">
      <c r="B39" s="20" t="s">
        <v>101</v>
      </c>
      <c r="C39" s="3032">
        <f>'Table1.B.1'!G10</f>
        <v>1127.8534806311106</v>
      </c>
      <c r="D39" s="3032">
        <f>SUM('Table1.B.1'!F10,'Table1.B.1'!H10)</f>
        <v>944.00510612910682</v>
      </c>
      <c r="E39" s="3033">
        <v>1.9356941613281385E-5</v>
      </c>
      <c r="F39" s="3033" t="s">
        <v>2146</v>
      </c>
      <c r="G39" s="3033" t="s">
        <v>2146</v>
      </c>
      <c r="H39" s="3033" t="s">
        <v>2146</v>
      </c>
      <c r="I39" s="2931"/>
      <c r="J39" s="3035">
        <f t="shared" si="1"/>
        <v>27560.00158183563</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6037.2853114300842</v>
      </c>
      <c r="D42" s="3029">
        <f t="shared" ref="D42:I42" si="21">IF(SUM(D43:D46)=0,"NO",SUM(D43:D46))</f>
        <v>247.53571829451988</v>
      </c>
      <c r="E42" s="3029">
        <f t="shared" si="21"/>
        <v>9.1886999609383277E-2</v>
      </c>
      <c r="F42" s="3029">
        <f t="shared" si="21"/>
        <v>2.7630333255657971</v>
      </c>
      <c r="G42" s="3029">
        <f t="shared" si="21"/>
        <v>16.026393288281625</v>
      </c>
      <c r="H42" s="3029">
        <f t="shared" si="21"/>
        <v>183.13131251473493</v>
      </c>
      <c r="I42" s="3030" t="str">
        <f t="shared" si="21"/>
        <v>NO</v>
      </c>
      <c r="J42" s="3031">
        <f t="shared" ref="J42:J59" si="22">IF(SUM(C42:E42)=0,"NO",SUM(C42,IFERROR(28*D42,0),IFERROR(265*E42,0)))</f>
        <v>12992.635478573126</v>
      </c>
    </row>
    <row r="43" spans="2:10" ht="18" customHeight="1" x14ac:dyDescent="0.2">
      <c r="B43" s="20" t="s">
        <v>103</v>
      </c>
      <c r="C43" s="3032">
        <f>'Table1.B.2'!I10</f>
        <v>474.91275171054713</v>
      </c>
      <c r="D43" s="3032">
        <f>'Table1.B.2'!J10</f>
        <v>3.0470857411365153</v>
      </c>
      <c r="E43" s="3032">
        <f>'Table1.B.2'!K10</f>
        <v>1.4322630973123284E-2</v>
      </c>
      <c r="F43" s="3033">
        <v>0.26365920000000004</v>
      </c>
      <c r="G43" s="3033">
        <v>1.5292233599999998</v>
      </c>
      <c r="H43" s="3033">
        <v>95.655342400000009</v>
      </c>
      <c r="I43" s="3034" t="s">
        <v>2146</v>
      </c>
      <c r="J43" s="3035">
        <f t="shared" si="22"/>
        <v>564.02664967024725</v>
      </c>
    </row>
    <row r="44" spans="2:10" ht="18" customHeight="1" x14ac:dyDescent="0.2">
      <c r="B44" s="20" t="s">
        <v>104</v>
      </c>
      <c r="C44" s="3032">
        <f>SUM('Table1.B.2'!I21,'Table1.B.2'!L21)</f>
        <v>51.233695117059362</v>
      </c>
      <c r="D44" s="3032">
        <f>'Table1.B.2'!J21</f>
        <v>116.01239848170076</v>
      </c>
      <c r="E44" s="3032">
        <f>'Table1.B.2'!K21</f>
        <v>1.2947813099905734E-3</v>
      </c>
      <c r="F44" s="3033">
        <v>2.3977431666492098E-2</v>
      </c>
      <c r="G44" s="3033">
        <v>0.13906910366565417</v>
      </c>
      <c r="H44" s="3033">
        <v>62.720503175741896</v>
      </c>
      <c r="I44" s="3034" t="s">
        <v>2146</v>
      </c>
      <c r="J44" s="3035">
        <f t="shared" si="22"/>
        <v>3299.923969651828</v>
      </c>
    </row>
    <row r="45" spans="2:10" ht="18" customHeight="1" x14ac:dyDescent="0.2">
      <c r="B45" s="20" t="s">
        <v>105</v>
      </c>
      <c r="C45" s="3032">
        <f>'Table1.B.2'!I35</f>
        <v>5511.138864602478</v>
      </c>
      <c r="D45" s="3032">
        <f>'Table1.B.2'!J35</f>
        <v>128.4762340716826</v>
      </c>
      <c r="E45" s="3032">
        <f>'Table1.B.2'!K35</f>
        <v>7.6269587326269414E-2</v>
      </c>
      <c r="F45" s="3033">
        <v>2.4753966938993051</v>
      </c>
      <c r="G45" s="3033">
        <v>14.35810082461597</v>
      </c>
      <c r="H45" s="3033">
        <v>24.755466938993052</v>
      </c>
      <c r="I45" s="3034" t="s">
        <v>2146</v>
      </c>
      <c r="J45" s="3035">
        <f t="shared" si="22"/>
        <v>9128.6848592510523</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9804.7000000000007</v>
      </c>
      <c r="D52" s="3032">
        <f t="shared" ref="D52:I52" si="23">IF(SUM(D53:D54)=0,"NO",SUM(D53:D54))</f>
        <v>0.24898613499999997</v>
      </c>
      <c r="E52" s="3032">
        <f t="shared" si="23"/>
        <v>0.10482924900263157</v>
      </c>
      <c r="F52" s="3032">
        <f t="shared" si="23"/>
        <v>103.1332270044737</v>
      </c>
      <c r="G52" s="3032">
        <f t="shared" si="23"/>
        <v>13.538075621315791</v>
      </c>
      <c r="H52" s="3032">
        <f t="shared" si="23"/>
        <v>7.6894316107105265</v>
      </c>
      <c r="I52" s="3055">
        <f t="shared" si="23"/>
        <v>39.115754197031038</v>
      </c>
      <c r="J52" s="3035">
        <f t="shared" si="22"/>
        <v>9839.4513627656979</v>
      </c>
    </row>
    <row r="53" spans="2:10" ht="18" customHeight="1" x14ac:dyDescent="0.2">
      <c r="B53" s="164" t="s">
        <v>111</v>
      </c>
      <c r="C53" s="3032">
        <f>Table1.D!G10</f>
        <v>7328.88</v>
      </c>
      <c r="D53" s="3032">
        <f>Table1.D!H10</f>
        <v>1.2036134999999998E-2</v>
      </c>
      <c r="E53" s="3032">
        <f>Table1.D!I10</f>
        <v>3.7129249002631572E-2</v>
      </c>
      <c r="F53" s="3033">
        <v>37.197227004473689</v>
      </c>
      <c r="G53" s="3033">
        <v>11.548875621315791</v>
      </c>
      <c r="H53" s="3033">
        <v>5.6282816107105269</v>
      </c>
      <c r="I53" s="3034">
        <v>0.86346000000000012</v>
      </c>
      <c r="J53" s="3035">
        <f t="shared" si="22"/>
        <v>7339.0562627656973</v>
      </c>
    </row>
    <row r="54" spans="2:10" ht="18" customHeight="1" x14ac:dyDescent="0.2">
      <c r="B54" s="164" t="s">
        <v>112</v>
      </c>
      <c r="C54" s="3032">
        <f>Table1.D!G14</f>
        <v>2475.8199999999997</v>
      </c>
      <c r="D54" s="3032">
        <f>Table1.D!H14</f>
        <v>0.23694999999999997</v>
      </c>
      <c r="E54" s="3032">
        <f>Table1.D!I14</f>
        <v>6.7699999999999996E-2</v>
      </c>
      <c r="F54" s="3033">
        <v>65.936000000000007</v>
      </c>
      <c r="G54" s="3033">
        <v>1.9891999999999999</v>
      </c>
      <c r="H54" s="3033">
        <v>2.0611499999999996</v>
      </c>
      <c r="I54" s="3034">
        <v>38.252294197031034</v>
      </c>
      <c r="J54" s="3035">
        <f t="shared" si="22"/>
        <v>2500.3950999999997</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19067.450680000002</v>
      </c>
      <c r="D56" s="3056"/>
      <c r="E56" s="3056"/>
      <c r="F56" s="3056"/>
      <c r="G56" s="3056"/>
      <c r="H56" s="3056"/>
      <c r="I56" s="2971"/>
      <c r="J56" s="3039">
        <f t="shared" si="22"/>
        <v>19067.450680000002</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132994.44228903201</v>
      </c>
      <c r="D10" s="3549" t="s">
        <v>2146</v>
      </c>
      <c r="E10" s="3549">
        <v>30.210376490000002</v>
      </c>
      <c r="F10" s="3549">
        <v>597.95078497999998</v>
      </c>
      <c r="G10" s="3549" t="s">
        <v>2146</v>
      </c>
      <c r="H10" s="3549">
        <v>0.52239971799999996</v>
      </c>
      <c r="I10" s="3549" t="s">
        <v>2146</v>
      </c>
      <c r="J10" s="3549">
        <v>24.546786677</v>
      </c>
      <c r="K10" s="3549" t="s">
        <v>2146</v>
      </c>
      <c r="L10" s="3549" t="s">
        <v>2146</v>
      </c>
      <c r="M10" s="3550">
        <f>IF(SUM(C10:L10)=0,"NO",SUM(C10:L10))</f>
        <v>133647.67263689701</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9.1429049469999999</v>
      </c>
      <c r="D12" s="3549" t="s">
        <v>2146</v>
      </c>
      <c r="E12" s="3549">
        <v>39804.784981643999</v>
      </c>
      <c r="F12" s="3549" t="s">
        <v>2153</v>
      </c>
      <c r="G12" s="3549" t="s">
        <v>2146</v>
      </c>
      <c r="H12" s="3549" t="s">
        <v>2153</v>
      </c>
      <c r="I12" s="3549" t="s">
        <v>2146</v>
      </c>
      <c r="J12" s="3549" t="s">
        <v>2153</v>
      </c>
      <c r="K12" s="3549" t="s">
        <v>2146</v>
      </c>
      <c r="L12" s="3549" t="s">
        <v>2146</v>
      </c>
      <c r="M12" s="3550">
        <f t="shared" si="0"/>
        <v>39813.927886591002</v>
      </c>
    </row>
    <row r="13" spans="2:13" ht="18" customHeight="1" x14ac:dyDescent="0.2">
      <c r="B13" s="2277" t="s">
        <v>1961</v>
      </c>
      <c r="C13" s="3549">
        <v>376.420576815</v>
      </c>
      <c r="D13" s="3549" t="s">
        <v>2146</v>
      </c>
      <c r="E13" s="3549" t="s">
        <v>2153</v>
      </c>
      <c r="F13" s="3549">
        <v>519690.81113774597</v>
      </c>
      <c r="G13" s="3549" t="s">
        <v>2146</v>
      </c>
      <c r="H13" s="3549" t="s">
        <v>2153</v>
      </c>
      <c r="I13" s="3549" t="s">
        <v>2146</v>
      </c>
      <c r="J13" s="3549" t="s">
        <v>2153</v>
      </c>
      <c r="K13" s="3549" t="s">
        <v>2146</v>
      </c>
      <c r="L13" s="3549" t="s">
        <v>2146</v>
      </c>
      <c r="M13" s="3550">
        <f t="shared" si="0"/>
        <v>520067.231714561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9.0741707520000006</v>
      </c>
      <c r="D15" s="3549" t="s">
        <v>2146</v>
      </c>
      <c r="E15" s="3549">
        <v>0.63304705100000003</v>
      </c>
      <c r="F15" s="3549">
        <v>2.443871627</v>
      </c>
      <c r="G15" s="3549" t="s">
        <v>2146</v>
      </c>
      <c r="H15" s="3549">
        <v>13321.37861148</v>
      </c>
      <c r="I15" s="3549" t="s">
        <v>2146</v>
      </c>
      <c r="J15" s="3549" t="s">
        <v>2146</v>
      </c>
      <c r="K15" s="3549" t="s">
        <v>2146</v>
      </c>
      <c r="L15" s="3549" t="s">
        <v>2146</v>
      </c>
      <c r="M15" s="3550">
        <f t="shared" si="0"/>
        <v>13333.529700910001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5.0921067779999998</v>
      </c>
      <c r="D17" s="3549" t="s">
        <v>2146</v>
      </c>
      <c r="E17" s="3549" t="s">
        <v>2146</v>
      </c>
      <c r="F17" s="3549" t="s">
        <v>2146</v>
      </c>
      <c r="G17" s="3549" t="s">
        <v>2146</v>
      </c>
      <c r="H17" s="3549" t="s">
        <v>2146</v>
      </c>
      <c r="I17" s="3549" t="s">
        <v>2146</v>
      </c>
      <c r="J17" s="3549">
        <v>1268.917108442</v>
      </c>
      <c r="K17" s="3549" t="s">
        <v>2146</v>
      </c>
      <c r="L17" s="3549" t="s">
        <v>2146</v>
      </c>
      <c r="M17" s="3550">
        <f t="shared" si="0"/>
        <v>1274.00921522</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133394.17204832399</v>
      </c>
      <c r="D20" s="3551" t="str">
        <f t="shared" ref="D20:L20" si="1">IF(SUM(D10:D19)=0,"NO",SUM(D10:D19))</f>
        <v>NO</v>
      </c>
      <c r="E20" s="3551">
        <f t="shared" si="1"/>
        <v>39835.628405185002</v>
      </c>
      <c r="F20" s="3551">
        <f t="shared" si="1"/>
        <v>520291.20579435298</v>
      </c>
      <c r="G20" s="3551" t="str">
        <f t="shared" si="1"/>
        <v>NO</v>
      </c>
      <c r="H20" s="3551">
        <f t="shared" si="1"/>
        <v>13321.901011198001</v>
      </c>
      <c r="I20" s="3551" t="str">
        <f t="shared" si="1"/>
        <v>NO</v>
      </c>
      <c r="J20" s="3551">
        <f t="shared" si="1"/>
        <v>1293.463895119</v>
      </c>
      <c r="K20" s="3551">
        <f t="shared" si="1"/>
        <v>60692.328845821001</v>
      </c>
      <c r="L20" s="3551" t="str">
        <f t="shared" si="1"/>
        <v>NO</v>
      </c>
      <c r="M20" s="3550">
        <f t="shared" si="0"/>
        <v>768828.7</v>
      </c>
    </row>
    <row r="21" spans="2:13" ht="18" customHeight="1" thickBot="1" x14ac:dyDescent="0.25">
      <c r="B21" s="2279" t="s">
        <v>1968</v>
      </c>
      <c r="C21" s="3552">
        <f>IF(SUM(C20)=0,"NO",C20-M10)</f>
        <v>-253.50058857302065</v>
      </c>
      <c r="D21" s="3552" t="str">
        <f>IF(SUM(D20)=0,"NO",D20-M11)</f>
        <v>NO</v>
      </c>
      <c r="E21" s="3552">
        <f>IF(SUM(E20)=0,"NO",E20-M12)</f>
        <v>21.700518593999732</v>
      </c>
      <c r="F21" s="3552">
        <f>IF(SUM(F20)=0,"NO",F20-M13)</f>
        <v>223.97407979198033</v>
      </c>
      <c r="G21" s="3552" t="str">
        <f>IF(SUM(G20)=0,"NO",G20-M14)</f>
        <v>NO</v>
      </c>
      <c r="H21" s="3552">
        <f>IF(SUM(H20)=0,"NO",H20-M15)</f>
        <v>-11.628689712000778</v>
      </c>
      <c r="I21" s="3552" t="str">
        <f>IF(SUM(I20)=0,"NO",I20-M16)</f>
        <v>NO</v>
      </c>
      <c r="J21" s="3552">
        <f>IF(SUM(J20)=0,"NO",J20-M17)</f>
        <v>19.454679898999984</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133513.27842891528</v>
      </c>
      <c r="E10" s="3556">
        <f t="shared" ref="E10:U10" si="0">IF(SUM(E11,E16)=0,"IE",SUM(E11,E16))</f>
        <v>133394.17204832396</v>
      </c>
      <c r="F10" s="3557">
        <f t="shared" si="0"/>
        <v>119.10638059133713</v>
      </c>
      <c r="G10" s="3558">
        <f t="shared" ref="G10:K11" si="1">IFERROR(IF(SUM($D10)=0,"NA",N10/$D10),"NA")</f>
        <v>7.145705037665262E-2</v>
      </c>
      <c r="H10" s="3078">
        <f t="shared" si="1"/>
        <v>-5.945297319418035E-3</v>
      </c>
      <c r="I10" s="3078">
        <f t="shared" si="1"/>
        <v>6.5511753057234584E-2</v>
      </c>
      <c r="J10" s="3078">
        <f t="shared" si="1"/>
        <v>1.1360007070999427E-2</v>
      </c>
      <c r="K10" s="3078">
        <f t="shared" si="1"/>
        <v>9.4867102243980858E-3</v>
      </c>
      <c r="L10" s="3078">
        <f>IFERROR(IF(SUM(E10)=0,"NA",S10/E10),"NA")</f>
        <v>-9.6117095330767507E-3</v>
      </c>
      <c r="M10" s="3128">
        <f>IFERROR(IF(SUM(F10)=0,"NA",T10/F10),"NA")</f>
        <v>-0.67938411457715631</v>
      </c>
      <c r="N10" s="3559">
        <f t="shared" si="0"/>
        <v>9540.4650626470466</v>
      </c>
      <c r="O10" s="3560">
        <f t="shared" si="0"/>
        <v>-793.7761363501437</v>
      </c>
      <c r="P10" s="3560">
        <f t="shared" si="0"/>
        <v>8746.6889262969034</v>
      </c>
      <c r="Q10" s="3560">
        <f t="shared" si="0"/>
        <v>1516.7117870247928</v>
      </c>
      <c r="R10" s="3560">
        <f t="shared" si="0"/>
        <v>1266.6017835644989</v>
      </c>
      <c r="S10" s="3560">
        <f t="shared" si="0"/>
        <v>-1282.1460351337557</v>
      </c>
      <c r="T10" s="3561">
        <f t="shared" si="0"/>
        <v>-80.918982918535363</v>
      </c>
      <c r="U10" s="3562">
        <f t="shared" si="0"/>
        <v>-37278.770755724319</v>
      </c>
      <c r="W10" s="2396"/>
    </row>
    <row r="11" spans="2:23" ht="18" customHeight="1" x14ac:dyDescent="0.2">
      <c r="B11" s="502" t="s">
        <v>982</v>
      </c>
      <c r="C11" s="2256"/>
      <c r="D11" s="3563">
        <f>IF(SUM(D12:D15)=0,"IE",SUM(D12:D15))</f>
        <v>126687.880201754</v>
      </c>
      <c r="E11" s="3564">
        <f t="shared" ref="E11:U11" si="2">IF(SUM(E12:E15)=0,"IE",SUM(E12:E15))</f>
        <v>126687.880201754</v>
      </c>
      <c r="F11" s="3565" t="str">
        <f t="shared" si="2"/>
        <v>IE</v>
      </c>
      <c r="G11" s="3558">
        <f t="shared" si="1"/>
        <v>1.9916312529651564E-2</v>
      </c>
      <c r="H11" s="3078">
        <f t="shared" si="1"/>
        <v>-6.2605820221691508E-3</v>
      </c>
      <c r="I11" s="3078">
        <f t="shared" si="1"/>
        <v>1.3655730507482412E-2</v>
      </c>
      <c r="J11" s="3078">
        <f t="shared" si="1"/>
        <v>7.2449741559619304E-3</v>
      </c>
      <c r="K11" s="3078">
        <f t="shared" si="1"/>
        <v>5.5783186796159144E-3</v>
      </c>
      <c r="L11" s="3078">
        <f t="shared" ref="L11:L28" si="3">IFERROR(IF(SUM(E11)=0,"NA",S11/E11),"NA")</f>
        <v>9.325418550390532E-3</v>
      </c>
      <c r="M11" s="3128" t="str">
        <f t="shared" ref="M11:M28" si="4">IFERROR(IF(SUM(F11)=0,"NA",T11/F11),"NA")</f>
        <v>NA</v>
      </c>
      <c r="N11" s="3109">
        <f t="shared" si="2"/>
        <v>2523.1554158171894</v>
      </c>
      <c r="O11" s="3109">
        <f t="shared" si="2"/>
        <v>-793.13986521782022</v>
      </c>
      <c r="P11" s="3109">
        <f t="shared" si="2"/>
        <v>1730.0155505993691</v>
      </c>
      <c r="Q11" s="3109">
        <f t="shared" si="2"/>
        <v>917.85041793530888</v>
      </c>
      <c r="R11" s="3566">
        <f t="shared" si="2"/>
        <v>706.7053686103875</v>
      </c>
      <c r="S11" s="3566">
        <f t="shared" si="2"/>
        <v>1181.4175081430901</v>
      </c>
      <c r="T11" s="3566" t="str">
        <f t="shared" si="2"/>
        <v>IE</v>
      </c>
      <c r="U11" s="3567">
        <f t="shared" si="2"/>
        <v>-16631.959099389907</v>
      </c>
      <c r="W11" s="2397"/>
    </row>
    <row r="12" spans="2:23" ht="18" customHeight="1" x14ac:dyDescent="0.2">
      <c r="B12" s="500"/>
      <c r="C12" s="508" t="s">
        <v>2220</v>
      </c>
      <c r="D12" s="3568">
        <f>IF(SUM(E12:F12)=0,E12,SUM(E12:F12))</f>
        <v>12292.151454780638</v>
      </c>
      <c r="E12" s="3569">
        <v>12292.151454780638</v>
      </c>
      <c r="F12" s="3554" t="s">
        <v>2153</v>
      </c>
      <c r="G12" s="3558">
        <f>IFERROR(IF(SUM($D12)=0,"NA",N12/$D12),"NA")</f>
        <v>0.12790662946308859</v>
      </c>
      <c r="H12" s="3078" t="str">
        <f>IFERROR(IF(SUM($D12)=0,"NA",O12/$D12),"NA")</f>
        <v>NA</v>
      </c>
      <c r="I12" s="3078">
        <f>IFERROR(IF(SUM($D12)=0,"NA",P12/$D12),"NA")</f>
        <v>0.12790662946308859</v>
      </c>
      <c r="J12" s="3078">
        <f>IFERROR(IF(SUM($D12)=0,"NA",Q12/$D12),"NA")</f>
        <v>3.3750847294233402E-2</v>
      </c>
      <c r="K12" s="3078">
        <f>IFERROR(IF(SUM($D12)=0,"NA",R12/$D12),"NA")</f>
        <v>1.8038605659327179E-2</v>
      </c>
      <c r="L12" s="3078">
        <f t="shared" si="3"/>
        <v>5.3388162792716104E-2</v>
      </c>
      <c r="M12" s="3128" t="str">
        <f t="shared" si="4"/>
        <v>NA</v>
      </c>
      <c r="N12" s="2905">
        <v>1572.2476614307925</v>
      </c>
      <c r="O12" s="2905" t="s">
        <v>2153</v>
      </c>
      <c r="P12" s="3109">
        <f>IF(SUM(N12:O12)=0,N12,SUM(N12:O12))</f>
        <v>1572.2476614307925</v>
      </c>
      <c r="Q12" s="2905">
        <v>414.87052666789026</v>
      </c>
      <c r="R12" s="2906">
        <v>221.73327279751285</v>
      </c>
      <c r="S12" s="2906">
        <v>656.25538294055082</v>
      </c>
      <c r="T12" s="2906" t="s">
        <v>2153</v>
      </c>
      <c r="U12" s="3570">
        <f>IF(SUM(P12:T12)=0,P12,SUM(P12:T12)*-44/12)</f>
        <v>-10505.391760734738</v>
      </c>
      <c r="W12" s="2398"/>
    </row>
    <row r="13" spans="2:23" ht="18" customHeight="1" x14ac:dyDescent="0.2">
      <c r="B13" s="500"/>
      <c r="C13" s="508" t="s">
        <v>2221</v>
      </c>
      <c r="D13" s="3568">
        <f t="shared" ref="D13:D15" si="5">IF(SUM(E13:F13)=0,E13,SUM(E13:F13))</f>
        <v>682.24894237664262</v>
      </c>
      <c r="E13" s="3569">
        <v>682.24894237664262</v>
      </c>
      <c r="F13" s="3554" t="s">
        <v>2153</v>
      </c>
      <c r="G13" s="3558">
        <f t="shared" ref="G13:K28" si="6">IFERROR(IF(SUM($D13)=0,"NA",N13/$D13),"NA")</f>
        <v>0.75012693203254088</v>
      </c>
      <c r="H13" s="3078" t="str">
        <f t="shared" si="6"/>
        <v>NA</v>
      </c>
      <c r="I13" s="3078">
        <f t="shared" si="6"/>
        <v>0.75012693203254088</v>
      </c>
      <c r="J13" s="3078">
        <f t="shared" si="6"/>
        <v>2.0130025031402099E-2</v>
      </c>
      <c r="K13" s="3078">
        <f t="shared" si="6"/>
        <v>0.17296879389879349</v>
      </c>
      <c r="L13" s="3078">
        <f t="shared" si="3"/>
        <v>0.76975146839087083</v>
      </c>
      <c r="M13" s="3128" t="str">
        <f t="shared" si="4"/>
        <v>NA</v>
      </c>
      <c r="N13" s="2905">
        <v>511.77330602743666</v>
      </c>
      <c r="O13" s="2905" t="s">
        <v>2153</v>
      </c>
      <c r="P13" s="3109">
        <f t="shared" ref="P13:P15" si="7">IF(SUM(N13:O13)=0,N13,SUM(N13:O13))</f>
        <v>511.77330602743666</v>
      </c>
      <c r="Q13" s="2905">
        <v>13.733688287689423</v>
      </c>
      <c r="R13" s="2906">
        <v>118.00777670161534</v>
      </c>
      <c r="S13" s="2906">
        <v>525.1621252025393</v>
      </c>
      <c r="T13" s="2906" t="s">
        <v>2153</v>
      </c>
      <c r="U13" s="3570">
        <f t="shared" ref="U13:U15" si="8">IF(SUM(P13:T13)=0,P13,SUM(P13:T13)*-44/12)</f>
        <v>-4285.1486194706958</v>
      </c>
      <c r="W13" s="2398"/>
    </row>
    <row r="14" spans="2:23" ht="18" customHeight="1" x14ac:dyDescent="0.2">
      <c r="B14" s="500"/>
      <c r="C14" s="508" t="s">
        <v>2222</v>
      </c>
      <c r="D14" s="3568">
        <f t="shared" si="5"/>
        <v>113713.47980459672</v>
      </c>
      <c r="E14" s="3569">
        <v>113713.47980459672</v>
      </c>
      <c r="F14" s="3554" t="s">
        <v>2153</v>
      </c>
      <c r="G14" s="3558">
        <f t="shared" si="6"/>
        <v>3.8617624675065907E-3</v>
      </c>
      <c r="H14" s="3078" t="str">
        <f t="shared" si="6"/>
        <v>NA</v>
      </c>
      <c r="I14" s="3078">
        <f t="shared" si="6"/>
        <v>3.8617624675065907E-3</v>
      </c>
      <c r="J14" s="3078">
        <f t="shared" si="6"/>
        <v>5.1364780861040474E-3</v>
      </c>
      <c r="K14" s="3078">
        <f t="shared" si="6"/>
        <v>3.2270960289127065E-3</v>
      </c>
      <c r="L14" s="3078" t="str">
        <f t="shared" si="3"/>
        <v>NA</v>
      </c>
      <c r="M14" s="3128" t="str">
        <f t="shared" si="4"/>
        <v>NA</v>
      </c>
      <c r="N14" s="2905">
        <v>439.1344483589603</v>
      </c>
      <c r="O14" s="2905" t="s">
        <v>2153</v>
      </c>
      <c r="P14" s="3109">
        <f t="shared" si="7"/>
        <v>439.1344483589603</v>
      </c>
      <c r="Q14" s="2905">
        <v>584.08679711094624</v>
      </c>
      <c r="R14" s="2906">
        <v>366.96431911125933</v>
      </c>
      <c r="S14" s="2906" t="s">
        <v>2147</v>
      </c>
      <c r="T14" s="2906" t="s">
        <v>2147</v>
      </c>
      <c r="U14" s="3570">
        <f t="shared" si="8"/>
        <v>-5097.3470701309416</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-793.13986521782022</v>
      </c>
      <c r="P15" s="3109">
        <f t="shared" si="7"/>
        <v>-793.13986521782022</v>
      </c>
      <c r="Q15" s="2905">
        <v>-94.840594131217017</v>
      </c>
      <c r="R15" s="2906" t="s">
        <v>2147</v>
      </c>
      <c r="S15" s="2906" t="s">
        <v>2147</v>
      </c>
      <c r="T15" s="2906" t="s">
        <v>2147</v>
      </c>
      <c r="U15" s="3570">
        <f t="shared" si="8"/>
        <v>3255.9283509464699</v>
      </c>
      <c r="W15" s="2398"/>
    </row>
    <row r="16" spans="2:23" ht="18" customHeight="1" x14ac:dyDescent="0.2">
      <c r="B16" s="485" t="s">
        <v>1041</v>
      </c>
      <c r="C16" s="504"/>
      <c r="D16" s="3568">
        <f>IF(SUM(D17,D19,D23,D25,D27)=0,"IE",SUM(D17,D19,D23,D25,D27))</f>
        <v>6825.3982271612849</v>
      </c>
      <c r="E16" s="3571">
        <f t="shared" ref="E16:T16" si="9">IF(SUM(E17,E19,E23,E25,E27)=0,"IE",SUM(E17,E19,E23,E25,E27))</f>
        <v>6706.2918465699477</v>
      </c>
      <c r="F16" s="3572">
        <f t="shared" si="9"/>
        <v>119.10638059133713</v>
      </c>
      <c r="G16" s="3558">
        <f t="shared" si="6"/>
        <v>1.0281172487350074</v>
      </c>
      <c r="H16" s="3078">
        <f t="shared" si="6"/>
        <v>-9.3221100241662648E-5</v>
      </c>
      <c r="I16" s="3078">
        <f t="shared" si="6"/>
        <v>1.0280240276347659</v>
      </c>
      <c r="J16" s="3078">
        <f t="shared" si="6"/>
        <v>8.7740136056288859E-2</v>
      </c>
      <c r="K16" s="3078">
        <f t="shared" si="6"/>
        <v>8.2031318367042014E-2</v>
      </c>
      <c r="L16" s="3078">
        <f t="shared" si="3"/>
        <v>-0.36735107860491922</v>
      </c>
      <c r="M16" s="3128">
        <f t="shared" si="4"/>
        <v>-0.67938411457715631</v>
      </c>
      <c r="N16" s="3078">
        <f t="shared" si="9"/>
        <v>7017.3096468298581</v>
      </c>
      <c r="O16" s="3078">
        <f t="shared" si="9"/>
        <v>-0.63627113232346866</v>
      </c>
      <c r="P16" s="3078">
        <f t="shared" si="9"/>
        <v>7016.6733756975345</v>
      </c>
      <c r="Q16" s="3078">
        <f t="shared" si="9"/>
        <v>598.8613690894839</v>
      </c>
      <c r="R16" s="3573">
        <f t="shared" si="9"/>
        <v>559.89641495411149</v>
      </c>
      <c r="S16" s="3573">
        <f t="shared" si="9"/>
        <v>-2463.5635432768458</v>
      </c>
      <c r="T16" s="3573">
        <f t="shared" si="9"/>
        <v>-80.918982918535363</v>
      </c>
      <c r="U16" s="3570">
        <f>IF(SUM(U17,U19,U23,U25,U27)=0,"IE",SUM(U17,U19,U23,U25,U27))</f>
        <v>-20646.811656334412</v>
      </c>
      <c r="W16" s="2019"/>
    </row>
    <row r="17" spans="2:23" ht="18" customHeight="1" x14ac:dyDescent="0.2">
      <c r="B17" s="487" t="s">
        <v>1042</v>
      </c>
      <c r="C17" s="504"/>
      <c r="D17" s="3568">
        <f>D18</f>
        <v>60.198</v>
      </c>
      <c r="E17" s="3571">
        <f t="shared" ref="E17:U17" si="10">E18</f>
        <v>60.198</v>
      </c>
      <c r="F17" s="3572" t="str">
        <f t="shared" si="10"/>
        <v>NO</v>
      </c>
      <c r="G17" s="3558">
        <f t="shared" si="6"/>
        <v>1.7216020465796202</v>
      </c>
      <c r="H17" s="3078" t="str">
        <f t="shared" si="6"/>
        <v>NA</v>
      </c>
      <c r="I17" s="3078">
        <f t="shared" si="6"/>
        <v>1.7216020465796202</v>
      </c>
      <c r="J17" s="3078">
        <f t="shared" si="6"/>
        <v>1.5930761819329554E-2</v>
      </c>
      <c r="K17" s="3078">
        <f t="shared" si="6"/>
        <v>1.3139971427622186E-2</v>
      </c>
      <c r="L17" s="3078">
        <f t="shared" si="3"/>
        <v>-0.54676235090866809</v>
      </c>
      <c r="M17" s="3128" t="str">
        <f t="shared" si="4"/>
        <v>NA</v>
      </c>
      <c r="N17" s="3078">
        <f t="shared" si="10"/>
        <v>103.63699999999999</v>
      </c>
      <c r="O17" s="3078" t="str">
        <f t="shared" si="10"/>
        <v>IE</v>
      </c>
      <c r="P17" s="3078">
        <f t="shared" si="10"/>
        <v>103.63699999999999</v>
      </c>
      <c r="Q17" s="3078">
        <f t="shared" si="10"/>
        <v>0.95900000000000052</v>
      </c>
      <c r="R17" s="3573">
        <f t="shared" si="10"/>
        <v>0.79100000000000037</v>
      </c>
      <c r="S17" s="3573">
        <f t="shared" si="10"/>
        <v>-32.914000000000001</v>
      </c>
      <c r="T17" s="3573" t="str">
        <f t="shared" si="10"/>
        <v>NO</v>
      </c>
      <c r="U17" s="3570">
        <f t="shared" si="10"/>
        <v>-265.73433333333327</v>
      </c>
      <c r="W17" s="2019"/>
    </row>
    <row r="18" spans="2:23" ht="18" customHeight="1" x14ac:dyDescent="0.2">
      <c r="B18" s="488"/>
      <c r="C18" s="508" t="s">
        <v>278</v>
      </c>
      <c r="D18" s="3568">
        <f>IF(SUM(E18:F18)=0,E18,SUM(E18:F18))</f>
        <v>60.198</v>
      </c>
      <c r="E18" s="3569">
        <v>60.198</v>
      </c>
      <c r="F18" s="3554" t="s">
        <v>2146</v>
      </c>
      <c r="G18" s="3558">
        <f t="shared" si="6"/>
        <v>1.7216020465796202</v>
      </c>
      <c r="H18" s="3078" t="str">
        <f t="shared" si="6"/>
        <v>NA</v>
      </c>
      <c r="I18" s="3078">
        <f t="shared" si="6"/>
        <v>1.7216020465796202</v>
      </c>
      <c r="J18" s="3078">
        <f t="shared" si="6"/>
        <v>1.5930761819329554E-2</v>
      </c>
      <c r="K18" s="3078">
        <f t="shared" si="6"/>
        <v>1.3139971427622186E-2</v>
      </c>
      <c r="L18" s="3078">
        <f t="shared" si="3"/>
        <v>-0.54676235090866809</v>
      </c>
      <c r="M18" s="3128" t="str">
        <f t="shared" si="4"/>
        <v>NA</v>
      </c>
      <c r="N18" s="2905">
        <v>103.63699999999999</v>
      </c>
      <c r="O18" s="2905" t="s">
        <v>2153</v>
      </c>
      <c r="P18" s="3109">
        <f>IF(SUM(N18:O18)=0,N18,SUM(N18:O18))</f>
        <v>103.63699999999999</v>
      </c>
      <c r="Q18" s="2905">
        <v>0.95900000000000052</v>
      </c>
      <c r="R18" s="2906">
        <v>0.79100000000000037</v>
      </c>
      <c r="S18" s="2906">
        <v>-32.914000000000001</v>
      </c>
      <c r="T18" s="2906" t="s">
        <v>2146</v>
      </c>
      <c r="U18" s="3570">
        <f t="shared" ref="U18" si="11">IF(SUM(P18:T18)=0,P18,SUM(P18:T18)*-44/12)</f>
        <v>-265.73433333333327</v>
      </c>
      <c r="W18" s="2398"/>
    </row>
    <row r="19" spans="2:23" ht="18" customHeight="1" x14ac:dyDescent="0.2">
      <c r="B19" s="487" t="s">
        <v>1043</v>
      </c>
      <c r="C19" s="504"/>
      <c r="D19" s="3563">
        <f>IF(SUM(D20:D22)=0,"IE",SUM(D20:D22))</f>
        <v>6607.5188465699475</v>
      </c>
      <c r="E19" s="3571">
        <f t="shared" ref="E19:U19" si="12">IF(SUM(E20:E22)=0,"IE",SUM(E20:E22))</f>
        <v>6607.5188465699475</v>
      </c>
      <c r="F19" s="3572" t="str">
        <f t="shared" si="12"/>
        <v>IE</v>
      </c>
      <c r="G19" s="3558">
        <f t="shared" si="6"/>
        <v>0.864975680689684</v>
      </c>
      <c r="H19" s="3078">
        <f t="shared" si="6"/>
        <v>-9.6295015889930551E-5</v>
      </c>
      <c r="I19" s="3078">
        <f t="shared" si="6"/>
        <v>0.86487938567379408</v>
      </c>
      <c r="J19" s="3078">
        <f t="shared" si="6"/>
        <v>0.10681172546004883</v>
      </c>
      <c r="K19" s="3078">
        <f t="shared" si="6"/>
        <v>7.6468242894314989E-2</v>
      </c>
      <c r="L19" s="3078">
        <f t="shared" si="3"/>
        <v>-0.36208788787924928</v>
      </c>
      <c r="M19" s="3128" t="str">
        <f t="shared" si="4"/>
        <v>NA</v>
      </c>
      <c r="N19" s="3078">
        <f t="shared" si="12"/>
        <v>5715.343111981756</v>
      </c>
      <c r="O19" s="3078">
        <f t="shared" si="12"/>
        <v>-0.63627113232346866</v>
      </c>
      <c r="P19" s="3078">
        <f t="shared" si="12"/>
        <v>5714.7068408494324</v>
      </c>
      <c r="Q19" s="3078">
        <f t="shared" si="12"/>
        <v>705.76048901192769</v>
      </c>
      <c r="R19" s="3573">
        <f t="shared" si="12"/>
        <v>505.26535608827476</v>
      </c>
      <c r="S19" s="3573">
        <f t="shared" si="12"/>
        <v>-2392.5025432768457</v>
      </c>
      <c r="T19" s="3573" t="str">
        <f t="shared" si="12"/>
        <v>IE</v>
      </c>
      <c r="U19" s="3570">
        <f t="shared" si="12"/>
        <v>-16621.843856466894</v>
      </c>
      <c r="W19" s="2019"/>
    </row>
    <row r="20" spans="2:23" ht="18" customHeight="1" x14ac:dyDescent="0.2">
      <c r="B20" s="496"/>
      <c r="C20" s="508" t="s">
        <v>2223</v>
      </c>
      <c r="D20" s="3568">
        <f>IF(SUM(E20:F20)=0,E20,SUM(E20:F20))</f>
        <v>1727.0340000000015</v>
      </c>
      <c r="E20" s="3569">
        <v>1727.0340000000015</v>
      </c>
      <c r="F20" s="3554" t="s">
        <v>2146</v>
      </c>
      <c r="G20" s="3558">
        <f t="shared" si="6"/>
        <v>1.6248747853255909</v>
      </c>
      <c r="H20" s="3078" t="str">
        <f t="shared" si="6"/>
        <v>NA</v>
      </c>
      <c r="I20" s="3078">
        <f t="shared" si="6"/>
        <v>1.6248747853255909</v>
      </c>
      <c r="J20" s="3078">
        <f t="shared" si="6"/>
        <v>3.1286008266195042E-2</v>
      </c>
      <c r="K20" s="3078">
        <f t="shared" si="6"/>
        <v>2.157050758699592E-2</v>
      </c>
      <c r="L20" s="3078">
        <f t="shared" si="3"/>
        <v>-0.57328981363424103</v>
      </c>
      <c r="M20" s="3128" t="str">
        <f t="shared" si="4"/>
        <v>NA</v>
      </c>
      <c r="N20" s="2905">
        <v>2806.213999999999</v>
      </c>
      <c r="O20" s="2905" t="s">
        <v>2153</v>
      </c>
      <c r="P20" s="3109">
        <f>IF(SUM(N20:O20)=0,N20,SUM(N20:O20))</f>
        <v>2806.213999999999</v>
      </c>
      <c r="Q20" s="2905">
        <v>54.03199999999994</v>
      </c>
      <c r="R20" s="2906">
        <v>37.252999999999943</v>
      </c>
      <c r="S20" s="2906">
        <v>-990.09099999999876</v>
      </c>
      <c r="T20" s="2906" t="s">
        <v>2146</v>
      </c>
      <c r="U20" s="3570">
        <f t="shared" ref="U20:U22" si="13">IF(SUM(P20:T20)=0,P20,SUM(P20:T20)*-44/12)</f>
        <v>-6993.8293333333349</v>
      </c>
      <c r="W20" s="2398"/>
    </row>
    <row r="21" spans="2:23" ht="18" customHeight="1" x14ac:dyDescent="0.2">
      <c r="B21" s="500"/>
      <c r="C21" s="508" t="s">
        <v>2291</v>
      </c>
      <c r="D21" s="3568">
        <f>IF(SUM(E21:F21)=0,E21,SUM(E21:F21))</f>
        <v>4880.4848465699461</v>
      </c>
      <c r="E21" s="3569">
        <v>4880.4848465699461</v>
      </c>
      <c r="F21" s="3554" t="s">
        <v>2146</v>
      </c>
      <c r="G21" s="3558">
        <f t="shared" si="6"/>
        <v>0.59607379255082038</v>
      </c>
      <c r="H21" s="3078" t="str">
        <f t="shared" si="6"/>
        <v>NA</v>
      </c>
      <c r="I21" s="3078">
        <f t="shared" si="6"/>
        <v>0.59607379255082038</v>
      </c>
      <c r="J21" s="3078">
        <f t="shared" si="6"/>
        <v>0.1335599512863696</v>
      </c>
      <c r="K21" s="3078">
        <f t="shared" si="6"/>
        <v>9.5894643831790319E-2</v>
      </c>
      <c r="L21" s="3078">
        <f t="shared" si="3"/>
        <v>-0.28735086520399217</v>
      </c>
      <c r="M21" s="3128" t="str">
        <f t="shared" si="4"/>
        <v>NA</v>
      </c>
      <c r="N21" s="2905">
        <v>2909.1291119817565</v>
      </c>
      <c r="O21" s="2905" t="s">
        <v>2153</v>
      </c>
      <c r="P21" s="3109">
        <f t="shared" ref="P21:P28" si="14">IF(SUM(N21:O21)=0,N21,SUM(N21:O21))</f>
        <v>2909.1291119817565</v>
      </c>
      <c r="Q21" s="2905">
        <v>651.83731836174707</v>
      </c>
      <c r="R21" s="2906">
        <v>468.01235608827483</v>
      </c>
      <c r="S21" s="2906">
        <v>-1402.4115432768469</v>
      </c>
      <c r="T21" s="2906" t="s">
        <v>2146</v>
      </c>
      <c r="U21" s="3570">
        <f t="shared" si="13"/>
        <v>-9630.7465582347504</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-0.63627113232346866</v>
      </c>
      <c r="P22" s="3109">
        <f t="shared" si="14"/>
        <v>-0.63627113232346866</v>
      </c>
      <c r="Q22" s="2905">
        <v>-0.10882934981931504</v>
      </c>
      <c r="R22" s="2906" t="s">
        <v>2147</v>
      </c>
      <c r="S22" s="2906" t="s">
        <v>2147</v>
      </c>
      <c r="T22" s="2906" t="s">
        <v>2147</v>
      </c>
      <c r="U22" s="3570">
        <f t="shared" si="13"/>
        <v>2.7320351011902066</v>
      </c>
      <c r="W22" s="2398"/>
    </row>
    <row r="23" spans="2:23" ht="18" customHeight="1" x14ac:dyDescent="0.2">
      <c r="B23" s="487" t="s">
        <v>1044</v>
      </c>
      <c r="C23" s="504"/>
      <c r="D23" s="3568">
        <f>D24</f>
        <v>119.10638059133713</v>
      </c>
      <c r="E23" s="3571" t="str">
        <f t="shared" ref="E23" si="15">E24</f>
        <v>NO</v>
      </c>
      <c r="F23" s="3572">
        <f t="shared" ref="F23" si="16">F24</f>
        <v>119.10638059133713</v>
      </c>
      <c r="G23" s="3558">
        <f t="shared" si="6"/>
        <v>9.4345704173789038</v>
      </c>
      <c r="H23" s="3078" t="str">
        <f t="shared" si="6"/>
        <v>NA</v>
      </c>
      <c r="I23" s="3078">
        <f t="shared" si="6"/>
        <v>9.4345704173789038</v>
      </c>
      <c r="J23" s="3078">
        <f t="shared" si="6"/>
        <v>-0.90860052488501852</v>
      </c>
      <c r="K23" s="3078">
        <f t="shared" si="6"/>
        <v>0.4443175806627257</v>
      </c>
      <c r="L23" s="3078" t="str">
        <f t="shared" si="3"/>
        <v>NA</v>
      </c>
      <c r="M23" s="3128">
        <f t="shared" si="4"/>
        <v>-0.67938411457715631</v>
      </c>
      <c r="N23" s="3078">
        <f t="shared" ref="N23" si="17">N24</f>
        <v>1123.7175348481021</v>
      </c>
      <c r="O23" s="3078" t="str">
        <f t="shared" ref="O23" si="18">O24</f>
        <v>IE</v>
      </c>
      <c r="P23" s="3078">
        <f t="shared" ref="P23" si="19">P24</f>
        <v>1123.7175348481021</v>
      </c>
      <c r="Q23" s="3078">
        <f t="shared" ref="Q23" si="20">Q24</f>
        <v>-108.2201199224437</v>
      </c>
      <c r="R23" s="3573">
        <f t="shared" ref="R23" si="21">R24</f>
        <v>52.921058865836741</v>
      </c>
      <c r="S23" s="3573" t="str">
        <f t="shared" ref="S23" si="22">S24</f>
        <v>NO</v>
      </c>
      <c r="T23" s="3573">
        <f t="shared" ref="T23" si="23">T24</f>
        <v>-80.918982918535363</v>
      </c>
      <c r="U23" s="3570">
        <f t="shared" ref="U23" si="24">U24</f>
        <v>-3620.8314665341863</v>
      </c>
      <c r="W23" s="2019"/>
    </row>
    <row r="24" spans="2:23" ht="18" customHeight="1" x14ac:dyDescent="0.2">
      <c r="B24" s="488"/>
      <c r="C24" s="508" t="s">
        <v>278</v>
      </c>
      <c r="D24" s="3568">
        <f>IF(SUM(E24:F24)=0,E24,SUM(E24:F24))</f>
        <v>119.10638059133713</v>
      </c>
      <c r="E24" s="3569" t="s">
        <v>2146</v>
      </c>
      <c r="F24" s="3554">
        <v>119.10638059133713</v>
      </c>
      <c r="G24" s="3558">
        <f t="shared" si="6"/>
        <v>9.4345704173789038</v>
      </c>
      <c r="H24" s="3078" t="str">
        <f t="shared" si="6"/>
        <v>NA</v>
      </c>
      <c r="I24" s="3078">
        <f t="shared" si="6"/>
        <v>9.4345704173789038</v>
      </c>
      <c r="J24" s="3078">
        <f t="shared" si="6"/>
        <v>-0.90860052488501852</v>
      </c>
      <c r="K24" s="3078">
        <f t="shared" si="6"/>
        <v>0.4443175806627257</v>
      </c>
      <c r="L24" s="3078" t="str">
        <f t="shared" si="3"/>
        <v>NA</v>
      </c>
      <c r="M24" s="3128">
        <f t="shared" si="4"/>
        <v>-0.67938411457715631</v>
      </c>
      <c r="N24" s="2905">
        <v>1123.7175348481021</v>
      </c>
      <c r="O24" s="2905" t="s">
        <v>2153</v>
      </c>
      <c r="P24" s="3109">
        <f t="shared" si="14"/>
        <v>1123.7175348481021</v>
      </c>
      <c r="Q24" s="2905">
        <v>-108.2201199224437</v>
      </c>
      <c r="R24" s="2906">
        <v>52.921058865836741</v>
      </c>
      <c r="S24" s="2906" t="s">
        <v>2146</v>
      </c>
      <c r="T24" s="2906">
        <v>-80.918982918535363</v>
      </c>
      <c r="U24" s="3570">
        <f t="shared" ref="U24" si="25">IF(SUM(P24:T24)=0,P24,SUM(P24:T24)*-44/12)</f>
        <v>-3620.8314665341863</v>
      </c>
      <c r="W24" s="2398"/>
    </row>
    <row r="25" spans="2:23" ht="18" customHeight="1" x14ac:dyDescent="0.2">
      <c r="B25" s="487" t="s">
        <v>1045</v>
      </c>
      <c r="C25" s="504"/>
      <c r="D25" s="3568">
        <f>D26</f>
        <v>38.575000000000003</v>
      </c>
      <c r="E25" s="3571">
        <f t="shared" ref="E25" si="26">E26</f>
        <v>38.575000000000003</v>
      </c>
      <c r="F25" s="3572" t="str">
        <f t="shared" ref="F25" si="27">F26</f>
        <v>NO</v>
      </c>
      <c r="G25" s="3558">
        <f t="shared" si="6"/>
        <v>1.934206092028516</v>
      </c>
      <c r="H25" s="3078" t="str">
        <f t="shared" si="6"/>
        <v>NA</v>
      </c>
      <c r="I25" s="3078">
        <f t="shared" si="6"/>
        <v>1.934206092028516</v>
      </c>
      <c r="J25" s="3078">
        <f t="shared" si="6"/>
        <v>9.3843162670123152E-3</v>
      </c>
      <c r="K25" s="3078">
        <f t="shared" si="6"/>
        <v>2.382372002592352E-2</v>
      </c>
      <c r="L25" s="3078">
        <f t="shared" si="3"/>
        <v>-0.9889047310434218</v>
      </c>
      <c r="M25" s="3128" t="str">
        <f t="shared" si="4"/>
        <v>NA</v>
      </c>
      <c r="N25" s="3078">
        <f t="shared" ref="N25" si="28">N26</f>
        <v>74.612000000000009</v>
      </c>
      <c r="O25" s="3078" t="str">
        <f t="shared" ref="O25" si="29">O26</f>
        <v>IE</v>
      </c>
      <c r="P25" s="3078">
        <f t="shared" ref="P25" si="30">P26</f>
        <v>74.612000000000009</v>
      </c>
      <c r="Q25" s="3078">
        <f t="shared" ref="Q25" si="31">Q26</f>
        <v>0.3620000000000001</v>
      </c>
      <c r="R25" s="3573">
        <f t="shared" ref="R25" si="32">R26</f>
        <v>0.91899999999999982</v>
      </c>
      <c r="S25" s="3573">
        <f t="shared" ref="S25" si="33">S26</f>
        <v>-38.146999999999998</v>
      </c>
      <c r="T25" s="3573" t="str">
        <f t="shared" ref="T25" si="34">T26</f>
        <v>NO</v>
      </c>
      <c r="U25" s="3570">
        <f t="shared" ref="U25" si="35">U26</f>
        <v>-138.40200000000002</v>
      </c>
      <c r="W25" s="2019"/>
    </row>
    <row r="26" spans="2:23" ht="18" customHeight="1" x14ac:dyDescent="0.2">
      <c r="B26" s="488"/>
      <c r="C26" s="508" t="s">
        <v>278</v>
      </c>
      <c r="D26" s="3568">
        <f>IF(SUM(E26:F26)=0,E26,SUM(E26:F26))</f>
        <v>38.575000000000003</v>
      </c>
      <c r="E26" s="3569">
        <v>38.575000000000003</v>
      </c>
      <c r="F26" s="3554" t="s">
        <v>2146</v>
      </c>
      <c r="G26" s="3558">
        <f t="shared" si="6"/>
        <v>1.934206092028516</v>
      </c>
      <c r="H26" s="3078" t="str">
        <f t="shared" si="6"/>
        <v>NA</v>
      </c>
      <c r="I26" s="3078">
        <f t="shared" si="6"/>
        <v>1.934206092028516</v>
      </c>
      <c r="J26" s="3078">
        <f t="shared" si="6"/>
        <v>9.3843162670123152E-3</v>
      </c>
      <c r="K26" s="3078">
        <f t="shared" si="6"/>
        <v>2.382372002592352E-2</v>
      </c>
      <c r="L26" s="3078">
        <f t="shared" si="3"/>
        <v>-0.9889047310434218</v>
      </c>
      <c r="M26" s="3128" t="str">
        <f t="shared" si="4"/>
        <v>NA</v>
      </c>
      <c r="N26" s="2905">
        <v>74.612000000000009</v>
      </c>
      <c r="O26" s="2905" t="s">
        <v>2153</v>
      </c>
      <c r="P26" s="3109">
        <f t="shared" si="14"/>
        <v>74.612000000000009</v>
      </c>
      <c r="Q26" s="2905">
        <v>0.3620000000000001</v>
      </c>
      <c r="R26" s="2906">
        <v>0.91899999999999982</v>
      </c>
      <c r="S26" s="2906">
        <v>-38.146999999999998</v>
      </c>
      <c r="T26" s="2906" t="s">
        <v>2146</v>
      </c>
      <c r="U26" s="3570">
        <f t="shared" ref="U26" si="36">IF(SUM(P26:T26)=0,P26,SUM(P26:T26)*-44/12)</f>
        <v>-138.40200000000002</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39835.628405185809</v>
      </c>
      <c r="E10" s="3583">
        <f t="shared" ref="E10:F10" si="0">IF(SUM(E11,E13)=0,"IE",SUM(E11,E13))</f>
        <v>39832.628405185809</v>
      </c>
      <c r="F10" s="3584">
        <f t="shared" si="0"/>
        <v>3</v>
      </c>
      <c r="G10" s="3558">
        <f>IFERROR(IF(SUM($D10)=0,"NA",M10/$D10),"NA")</f>
        <v>2.8002961401533255E-4</v>
      </c>
      <c r="H10" s="3583">
        <f t="shared" ref="H10:J10" si="1">IFERROR(IF(SUM($D10)=0,"NA",N10/$D10),"NA")</f>
        <v>-2.1918469344049181E-2</v>
      </c>
      <c r="I10" s="3583">
        <f t="shared" si="1"/>
        <v>-2.1638439730033852E-2</v>
      </c>
      <c r="J10" s="3583">
        <f t="shared" si="1"/>
        <v>-6.6258274456049435E-3</v>
      </c>
      <c r="K10" s="3585">
        <f>IFERROR(IF(SUM(E10)=0,"NA",Q10/E10),"NA")</f>
        <v>-3.9787233748737891E-3</v>
      </c>
      <c r="L10" s="3584">
        <f>IFERROR(IF(SUM(F10)=0,"NA",R10/F10),"NA")</f>
        <v>-12.475</v>
      </c>
      <c r="M10" s="3586">
        <f>IF(SUM(M11,M13)=0,"IE",SUM(M11,M13))</f>
        <v>11.155155646362401</v>
      </c>
      <c r="N10" s="3583">
        <f t="shared" ref="N10:S10" si="2">IF(SUM(N11,N13)=0,"IE",SUM(N11,N13))</f>
        <v>-873.13599999999997</v>
      </c>
      <c r="O10" s="3587">
        <f t="shared" si="2"/>
        <v>-861.98084435363762</v>
      </c>
      <c r="P10" s="3583">
        <f t="shared" si="2"/>
        <v>-263.94400000000002</v>
      </c>
      <c r="Q10" s="3585">
        <f t="shared" si="2"/>
        <v>-158.48300971837443</v>
      </c>
      <c r="R10" s="3585">
        <f t="shared" si="2"/>
        <v>-37.424999999999997</v>
      </c>
      <c r="S10" s="3588">
        <f t="shared" si="2"/>
        <v>4846.7204649307096</v>
      </c>
      <c r="U10" s="2261"/>
    </row>
    <row r="11" spans="2:21" ht="18" customHeight="1" x14ac:dyDescent="0.2">
      <c r="B11" s="499" t="s">
        <v>985</v>
      </c>
      <c r="C11" s="2256"/>
      <c r="D11" s="3589">
        <f>D12</f>
        <v>37666.552464157998</v>
      </c>
      <c r="E11" s="3078">
        <f t="shared" ref="E11" si="3">E12</f>
        <v>37666.552464157998</v>
      </c>
      <c r="F11" s="3078" t="str">
        <f t="shared" ref="F11" si="4">F12</f>
        <v>IE</v>
      </c>
      <c r="G11" s="3558">
        <f t="shared" ref="G11:G23" si="5">IFERROR(IF(SUM($D11)=0,"NA",M11/$D11),"NA")</f>
        <v>2.9615547260337152E-4</v>
      </c>
      <c r="H11" s="3078" t="str">
        <f t="shared" ref="H11:H23" si="6">IFERROR(IF(SUM($D11)=0,"NA",N11/$D11),"NA")</f>
        <v>NA</v>
      </c>
      <c r="I11" s="3078">
        <f t="shared" ref="I11:I23" si="7">IFERROR(IF(SUM($D11)=0,"NA",O11/$D11),"NA")</f>
        <v>2.9615547260337152E-4</v>
      </c>
      <c r="J11" s="3078" t="str">
        <f t="shared" ref="J11:J23" si="8">IFERROR(IF(SUM($D11)=0,"NA",P11/$D11),"NA")</f>
        <v>NA</v>
      </c>
      <c r="K11" s="3573">
        <f t="shared" ref="K11:K23" si="9">IFERROR(IF(SUM(E11)=0,"NA",Q11/E11),"NA")</f>
        <v>1.2647554227826999E-2</v>
      </c>
      <c r="L11" s="3128" t="str">
        <f t="shared" ref="L11:L23" si="10">IFERROR(IF(SUM(F11)=0,"NA",R11/F11),"NA")</f>
        <v>NA</v>
      </c>
      <c r="M11" s="3590">
        <f t="shared" ref="M11" si="11">M12</f>
        <v>11.155155646362401</v>
      </c>
      <c r="N11" s="3591" t="str">
        <f t="shared" ref="N11" si="12">N12</f>
        <v>IE</v>
      </c>
      <c r="O11" s="3592">
        <f t="shared" ref="O11" si="13">O12</f>
        <v>11.155155646362401</v>
      </c>
      <c r="P11" s="3591" t="str">
        <f t="shared" ref="P11" si="14">P12</f>
        <v>NA</v>
      </c>
      <c r="Q11" s="3593">
        <f t="shared" ref="Q11" si="15">Q12</f>
        <v>476.38976486572892</v>
      </c>
      <c r="R11" s="3593" t="str">
        <f t="shared" ref="R11" si="16">R12</f>
        <v>IE</v>
      </c>
      <c r="S11" s="3594">
        <f t="shared" ref="S11" si="17">S12</f>
        <v>-1787.6647085443349</v>
      </c>
      <c r="U11" s="2258"/>
    </row>
    <row r="12" spans="2:21" ht="18" customHeight="1" x14ac:dyDescent="0.2">
      <c r="B12" s="501"/>
      <c r="C12" s="508" t="s">
        <v>278</v>
      </c>
      <c r="D12" s="3568">
        <f>IF(SUM(E12:F12)=0,E12,SUM(E12:F12))</f>
        <v>37666.552464157998</v>
      </c>
      <c r="E12" s="3569">
        <v>37666.552464157998</v>
      </c>
      <c r="F12" s="3554" t="s">
        <v>2153</v>
      </c>
      <c r="G12" s="3558">
        <f t="shared" si="5"/>
        <v>2.9615547260337152E-4</v>
      </c>
      <c r="H12" s="3078" t="str">
        <f t="shared" si="6"/>
        <v>NA</v>
      </c>
      <c r="I12" s="3078">
        <f t="shared" si="7"/>
        <v>2.9615547260337152E-4</v>
      </c>
      <c r="J12" s="3078" t="str">
        <f t="shared" si="8"/>
        <v>NA</v>
      </c>
      <c r="K12" s="3573">
        <f t="shared" si="9"/>
        <v>1.2647554227826999E-2</v>
      </c>
      <c r="L12" s="3128" t="str">
        <f t="shared" si="10"/>
        <v>NA</v>
      </c>
      <c r="M12" s="2905">
        <v>11.155155646362401</v>
      </c>
      <c r="N12" s="2905" t="s">
        <v>2153</v>
      </c>
      <c r="O12" s="3109">
        <f>IF(SUM(M12:N12)=0,M12,SUM(M12:N12))</f>
        <v>11.155155646362401</v>
      </c>
      <c r="P12" s="2905" t="s">
        <v>2147</v>
      </c>
      <c r="Q12" s="2906">
        <v>476.38976486572892</v>
      </c>
      <c r="R12" s="2906" t="s">
        <v>2153</v>
      </c>
      <c r="S12" s="3594">
        <f>IF(SUM(O12:R12)=0,Q12,SUM(O12:R12)*-44/12)</f>
        <v>-1787.6647085443349</v>
      </c>
      <c r="U12" s="2398"/>
    </row>
    <row r="13" spans="2:21" ht="18" customHeight="1" x14ac:dyDescent="0.2">
      <c r="B13" s="485" t="s">
        <v>1054</v>
      </c>
      <c r="C13" s="504"/>
      <c r="D13" s="3589">
        <f>IF(SUM(D14,D16,D18,D20,D22)=0,"IE",SUM(D14,D16,D18,D20,D22))</f>
        <v>2169.075941027812</v>
      </c>
      <c r="E13" s="3591">
        <f t="shared" ref="E13:F13" si="18">IF(SUM(E14,E16,E18,E20,E22)=0,"IE",SUM(E14,E16,E18,E20,E22))</f>
        <v>2166.075941027812</v>
      </c>
      <c r="F13" s="3595">
        <f t="shared" si="18"/>
        <v>3</v>
      </c>
      <c r="G13" s="3558" t="str">
        <f t="shared" si="5"/>
        <v>NA</v>
      </c>
      <c r="H13" s="3078">
        <f t="shared" si="6"/>
        <v>-0.40253823459323712</v>
      </c>
      <c r="I13" s="3078">
        <f t="shared" si="7"/>
        <v>-0.40253823459323712</v>
      </c>
      <c r="J13" s="3078">
        <f t="shared" si="8"/>
        <v>-0.12168499728733828</v>
      </c>
      <c r="K13" s="3573">
        <f t="shared" si="9"/>
        <v>-0.29309811468699182</v>
      </c>
      <c r="L13" s="3128">
        <f t="shared" si="10"/>
        <v>-12.475</v>
      </c>
      <c r="M13" s="3590" t="str">
        <f>IF(SUM(M14,M16,M18,M20,M22)=0,"IE",SUM(M14,M16,M18,M20,M22))</f>
        <v>IE</v>
      </c>
      <c r="N13" s="3591">
        <f t="shared" ref="N13" si="19">IF(SUM(N14,N16,N18,N20,N22)=0,"IE",SUM(N14,N16,N18,N20,N22))</f>
        <v>-873.13599999999997</v>
      </c>
      <c r="O13" s="3592">
        <f t="shared" ref="O13" si="20">IF(SUM(O14,O16,O18,O20,O22)=0,"IE",SUM(O14,O16,O18,O20,O22))</f>
        <v>-873.13599999999997</v>
      </c>
      <c r="P13" s="3592">
        <f t="shared" ref="P13" si="21">IF(SUM(P14,P16,P18,P20,P22)=0,"IE",SUM(P14,P16,P18,P20,P22))</f>
        <v>-263.94400000000002</v>
      </c>
      <c r="Q13" s="3592">
        <f t="shared" ref="Q13" si="22">IF(SUM(Q14,Q16,Q18,Q20,Q22)=0,"IE",SUM(Q14,Q16,Q18,Q20,Q22))</f>
        <v>-634.87277458410335</v>
      </c>
      <c r="R13" s="3592">
        <f t="shared" ref="R13" si="23">IF(SUM(R14,R16,R18,R20,R22)=0,"IE",SUM(R14,R16,R18,R20,R22))</f>
        <v>-37.424999999999997</v>
      </c>
      <c r="S13" s="3594">
        <f t="shared" ref="S13" si="24">IF(SUM(S14,S16,S18,S20,S22)=0,"IE",SUM(S14,S16,S18,S20,S22))</f>
        <v>6634.3851734750442</v>
      </c>
      <c r="U13" s="503"/>
    </row>
    <row r="14" spans="2:21" ht="18" customHeight="1" x14ac:dyDescent="0.2">
      <c r="B14" s="487" t="s">
        <v>1055</v>
      </c>
      <c r="C14" s="504"/>
      <c r="D14" s="3589">
        <f>D15</f>
        <v>2156.415</v>
      </c>
      <c r="E14" s="3078">
        <f t="shared" ref="E14" si="25">E15</f>
        <v>2156.415</v>
      </c>
      <c r="F14" s="3078" t="str">
        <f t="shared" ref="F14" si="26">F15</f>
        <v>IE</v>
      </c>
      <c r="G14" s="3558" t="str">
        <f t="shared" si="5"/>
        <v>NA</v>
      </c>
      <c r="H14" s="3078">
        <f t="shared" si="6"/>
        <v>-0.404901653902426</v>
      </c>
      <c r="I14" s="3078">
        <f t="shared" si="7"/>
        <v>-0.404901653902426</v>
      </c>
      <c r="J14" s="3078">
        <f t="shared" si="8"/>
        <v>-0.12239944537577416</v>
      </c>
      <c r="K14" s="3573">
        <f t="shared" si="9"/>
        <v>-0.28132293644776168</v>
      </c>
      <c r="L14" s="3128" t="str">
        <f t="shared" si="10"/>
        <v>NA</v>
      </c>
      <c r="M14" s="3590" t="str">
        <f t="shared" ref="M14" si="27">M15</f>
        <v>IE</v>
      </c>
      <c r="N14" s="3591">
        <f t="shared" ref="N14" si="28">N15</f>
        <v>-873.13599999999997</v>
      </c>
      <c r="O14" s="3592">
        <f t="shared" ref="O14" si="29">O15</f>
        <v>-873.13599999999997</v>
      </c>
      <c r="P14" s="3591">
        <f t="shared" ref="P14" si="30">P15</f>
        <v>-263.94400000000002</v>
      </c>
      <c r="Q14" s="3593">
        <f t="shared" ref="Q14" si="31">Q15</f>
        <v>-606.649</v>
      </c>
      <c r="R14" s="3593" t="str">
        <f t="shared" ref="R14" si="32">R15</f>
        <v>IE</v>
      </c>
      <c r="S14" s="3594">
        <f t="shared" ref="S14" si="33">S15</f>
        <v>6393.6729999999989</v>
      </c>
      <c r="U14" s="503"/>
    </row>
    <row r="15" spans="2:21" ht="18" customHeight="1" x14ac:dyDescent="0.2">
      <c r="B15" s="501"/>
      <c r="C15" s="508" t="s">
        <v>278</v>
      </c>
      <c r="D15" s="3568">
        <f>IF(SUM(E15:F15)=0,E15,SUM(E15:F15))</f>
        <v>2156.415</v>
      </c>
      <c r="E15" s="3569">
        <v>2156.415</v>
      </c>
      <c r="F15" s="3554" t="s">
        <v>2153</v>
      </c>
      <c r="G15" s="3558" t="str">
        <f t="shared" si="5"/>
        <v>NA</v>
      </c>
      <c r="H15" s="3078">
        <f t="shared" si="6"/>
        <v>-0.404901653902426</v>
      </c>
      <c r="I15" s="3078">
        <f t="shared" si="7"/>
        <v>-0.404901653902426</v>
      </c>
      <c r="J15" s="3078">
        <f t="shared" si="8"/>
        <v>-0.12239944537577416</v>
      </c>
      <c r="K15" s="3573">
        <f t="shared" si="9"/>
        <v>-0.28132293644776168</v>
      </c>
      <c r="L15" s="3128" t="str">
        <f t="shared" si="10"/>
        <v>NA</v>
      </c>
      <c r="M15" s="2905" t="s">
        <v>2153</v>
      </c>
      <c r="N15" s="2905">
        <v>-873.13599999999997</v>
      </c>
      <c r="O15" s="3109">
        <f>IF(SUM(M15:N15)=0,M15,SUM(M15:N15))</f>
        <v>-873.13599999999997</v>
      </c>
      <c r="P15" s="2905">
        <v>-263.94400000000002</v>
      </c>
      <c r="Q15" s="2906">
        <v>-606.649</v>
      </c>
      <c r="R15" s="2906" t="s">
        <v>2153</v>
      </c>
      <c r="S15" s="3594">
        <f>IF(SUM(O15:R15)=0,Q15,SUM(O15:R15)*-44/12)</f>
        <v>6393.6729999999989</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520291.20579435263</v>
      </c>
      <c r="E10" s="3583">
        <f t="shared" ref="E10:F10" si="0">IF(SUM(E11,E15)=0,"IE",SUM(E11,E15))</f>
        <v>520290.20579435263</v>
      </c>
      <c r="F10" s="3584">
        <f t="shared" si="0"/>
        <v>1</v>
      </c>
      <c r="G10" s="3558" t="str">
        <f>IFERROR(IF(SUM($D10)=0,"NA",M10/$D10),"NA")</f>
        <v>NA</v>
      </c>
      <c r="H10" s="3583">
        <f t="shared" ref="H10:J10" si="1">IFERROR(IF(SUM($D10)=0,"NA",N10/$D10),"NA")</f>
        <v>-3.3753821271716118E-2</v>
      </c>
      <c r="I10" s="3583">
        <f t="shared" si="1"/>
        <v>-3.3753821271716118E-2</v>
      </c>
      <c r="J10" s="3583">
        <f t="shared" si="1"/>
        <v>-2.2519096743483808E-3</v>
      </c>
      <c r="K10" s="3585">
        <f>IFERROR(IF(SUM(E10)=0,"NA",Q10/E10),"NA")</f>
        <v>4.7404657117666883E-3</v>
      </c>
      <c r="L10" s="3584">
        <f>IFERROR(IF(SUM(F10)=0,"NA",R10/F10),"NA")</f>
        <v>-8.7249999999999996</v>
      </c>
      <c r="M10" s="3586" t="str">
        <f>IF(SUM(M11,M15)=0,"IE",SUM(M11,M15))</f>
        <v>IE</v>
      </c>
      <c r="N10" s="3583">
        <f t="shared" ref="N10:S10" si="2">IF(SUM(N11,N15)=0,"IE",SUM(N11,N15))</f>
        <v>-17561.81636962825</v>
      </c>
      <c r="O10" s="3587">
        <f t="shared" si="2"/>
        <v>-17561.81636962825</v>
      </c>
      <c r="P10" s="3583">
        <f t="shared" si="2"/>
        <v>-1171.6487998066871</v>
      </c>
      <c r="Q10" s="3585">
        <f t="shared" si="2"/>
        <v>2466.4178807361627</v>
      </c>
      <c r="R10" s="3585">
        <f t="shared" si="2"/>
        <v>-8.7249999999999996</v>
      </c>
      <c r="S10" s="3588">
        <f t="shared" si="2"/>
        <v>59677.83172522884</v>
      </c>
      <c r="U10" s="2261"/>
    </row>
    <row r="11" spans="2:21" ht="18" customHeight="1" x14ac:dyDescent="0.2">
      <c r="B11" s="493" t="s">
        <v>988</v>
      </c>
      <c r="C11" s="483"/>
      <c r="D11" s="3599">
        <f>IF(SUM(D12:D14)=0,"IE",SUM(D12:D14))</f>
        <v>510105.72264859895</v>
      </c>
      <c r="E11" s="3564">
        <f t="shared" ref="E11:F11" si="3">IF(SUM(E12:E14)=0,"IE",SUM(E12:E14))</f>
        <v>510105.72264859895</v>
      </c>
      <c r="F11" s="3565" t="str">
        <f t="shared" si="3"/>
        <v>IE</v>
      </c>
      <c r="G11" s="3599" t="str">
        <f t="shared" ref="G11:G26" si="4">IFERROR(IF(SUM($D11)=0,"NA",M11/$D11),"NA")</f>
        <v>NA</v>
      </c>
      <c r="H11" s="3109">
        <f t="shared" ref="H11:H26" si="5">IFERROR(IF(SUM($D11)=0,"NA",N11/$D11),"NA")</f>
        <v>-4.3382568623510894E-3</v>
      </c>
      <c r="I11" s="3109">
        <f t="shared" ref="I11:I26" si="6">IFERROR(IF(SUM($D11)=0,"NA",O11/$D11),"NA")</f>
        <v>-4.3382568623510894E-3</v>
      </c>
      <c r="J11" s="3109">
        <f t="shared" ref="J11:J26" si="7">IFERROR(IF(SUM($D11)=0,"NA",P11/$D11),"NA")</f>
        <v>-3.7834700469464052E-4</v>
      </c>
      <c r="K11" s="3566">
        <f t="shared" ref="K11:K26" si="8">IFERROR(IF(SUM(E11)=0,"NA",Q11/E11),"NA")</f>
        <v>1.0148748776872472E-2</v>
      </c>
      <c r="L11" s="3249" t="str">
        <f t="shared" ref="L11:L26" si="9">IFERROR(IF(SUM(F11)=0,"NA",R11/F11),"NA")</f>
        <v>NA</v>
      </c>
      <c r="M11" s="3109" t="str">
        <f>IF(SUM(M12:M14)=0,"IE",SUM(M12:M14))</f>
        <v>IE</v>
      </c>
      <c r="N11" s="3109">
        <f t="shared" ref="N11:O11" si="10">IF(SUM(N12:N14)=0,"IE",SUM(N12:N14))</f>
        <v>-2212.9696518048459</v>
      </c>
      <c r="O11" s="3109">
        <f t="shared" si="10"/>
        <v>-2212.9696518048459</v>
      </c>
      <c r="P11" s="3109">
        <f t="shared" ref="P11" si="11">IF(SUM(P12:P14)=0,"IE",SUM(P12:P14))</f>
        <v>-192.99697224169248</v>
      </c>
      <c r="Q11" s="3566">
        <f t="shared" ref="Q11" si="12">IF(SUM(Q12:Q14)=0,"IE",SUM(Q12:Q14))</f>
        <v>5176.9348288056171</v>
      </c>
      <c r="R11" s="3566" t="str">
        <f t="shared" ref="R11" si="13">IF(SUM(R12:R14)=0,"IE",SUM(R12:R14))</f>
        <v>IE</v>
      </c>
      <c r="S11" s="3567">
        <f t="shared" ref="S11" si="14">IF(SUM(S12:S14)=0,"IE",SUM(S12:S14))</f>
        <v>-10160.216750783289</v>
      </c>
      <c r="U11" s="2397"/>
    </row>
    <row r="12" spans="2:21" ht="18" customHeight="1" x14ac:dyDescent="0.2">
      <c r="B12" s="499"/>
      <c r="C12" s="484" t="s">
        <v>2226</v>
      </c>
      <c r="D12" s="3600">
        <f>IF(SUM(E12:F12)=0,E12,SUM(E12:F12))</f>
        <v>70456.100045431085</v>
      </c>
      <c r="E12" s="3569">
        <v>70456.100045431085</v>
      </c>
      <c r="F12" s="3554" t="s">
        <v>2153</v>
      </c>
      <c r="G12" s="3558" t="str">
        <f t="shared" si="4"/>
        <v>NA</v>
      </c>
      <c r="H12" s="3078">
        <f t="shared" si="5"/>
        <v>-2.6054565312230073E-3</v>
      </c>
      <c r="I12" s="3078">
        <f t="shared" si="6"/>
        <v>-2.6054565312230073E-3</v>
      </c>
      <c r="J12" s="3078">
        <f t="shared" si="7"/>
        <v>-5.2109130624460162E-4</v>
      </c>
      <c r="K12" s="3573">
        <f t="shared" si="8"/>
        <v>-2.0843652249784065E-3</v>
      </c>
      <c r="L12" s="3128" t="str">
        <f t="shared" si="9"/>
        <v>NA</v>
      </c>
      <c r="M12" s="2905" t="s">
        <v>2153</v>
      </c>
      <c r="N12" s="2905">
        <v>-183.57030602787003</v>
      </c>
      <c r="O12" s="3109">
        <f>IF(SUM(M12:N12)=0,M12,SUM(M12:N12))</f>
        <v>-183.57030602787003</v>
      </c>
      <c r="P12" s="2905">
        <v>-36.714061205574019</v>
      </c>
      <c r="Q12" s="2906">
        <v>-146.85624482229608</v>
      </c>
      <c r="R12" s="2906" t="s">
        <v>2153</v>
      </c>
      <c r="S12" s="3570">
        <f>IF(SUM(O12:R12)=0,Q12,SUM(O12:R12)*-44/12)</f>
        <v>1346.1822442043804</v>
      </c>
      <c r="U12" s="2398"/>
    </row>
    <row r="13" spans="2:21" ht="18" customHeight="1" x14ac:dyDescent="0.2">
      <c r="B13" s="499"/>
      <c r="C13" s="484" t="s">
        <v>2227</v>
      </c>
      <c r="D13" s="3600">
        <f>IF(SUM(E13:F13)=0,E13,SUM(E13:F13))</f>
        <v>439649.6226031679</v>
      </c>
      <c r="E13" s="3569">
        <v>439649.6226031679</v>
      </c>
      <c r="F13" s="3554" t="s">
        <v>2153</v>
      </c>
      <c r="G13" s="3558" t="str">
        <f t="shared" si="4"/>
        <v>NA</v>
      </c>
      <c r="H13" s="3078" t="str">
        <f t="shared" si="5"/>
        <v>NA</v>
      </c>
      <c r="I13" s="3078" t="str">
        <f t="shared" si="6"/>
        <v>NA</v>
      </c>
      <c r="J13" s="3078" t="str">
        <f t="shared" si="7"/>
        <v>NA</v>
      </c>
      <c r="K13" s="3573">
        <f t="shared" si="8"/>
        <v>1.2109167846217442E-2</v>
      </c>
      <c r="L13" s="3128" t="str">
        <f t="shared" si="9"/>
        <v>NA</v>
      </c>
      <c r="M13" s="2905" t="s">
        <v>2147</v>
      </c>
      <c r="N13" s="2905" t="s">
        <v>2147</v>
      </c>
      <c r="O13" s="3109" t="str">
        <f>IF(SUM(M13:N13)=0,M13,SUM(M13:N13))</f>
        <v>NA</v>
      </c>
      <c r="P13" s="2905" t="s">
        <v>2147</v>
      </c>
      <c r="Q13" s="2906">
        <v>5323.7910736279136</v>
      </c>
      <c r="R13" s="2906" t="s">
        <v>2153</v>
      </c>
      <c r="S13" s="3570">
        <f>IF(SUM(O13:R13)=0,Q13,SUM(O13:R13)*-44/12)</f>
        <v>-19520.567269969015</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-2029.3993457769759</v>
      </c>
      <c r="O14" s="3109">
        <f>IF(SUM(M14:N14)=0,M14,SUM(M14:N14))</f>
        <v>-2029.3993457769759</v>
      </c>
      <c r="P14" s="2905">
        <v>-156.28291103611846</v>
      </c>
      <c r="Q14" s="2906" t="s">
        <v>2147</v>
      </c>
      <c r="R14" s="2906" t="s">
        <v>2147</v>
      </c>
      <c r="S14" s="3570">
        <f>IF(SUM(O14:R14)=0,Q14,SUM(O14:R14)*-44/12)</f>
        <v>8014.1682749813453</v>
      </c>
      <c r="U14" s="2398"/>
    </row>
    <row r="15" spans="2:21" ht="18" customHeight="1" x14ac:dyDescent="0.2">
      <c r="B15" s="485" t="s">
        <v>1066</v>
      </c>
      <c r="C15" s="486"/>
      <c r="D15" s="3589">
        <f>IF(SUM(D16,D19,D21,D23,D25)=0,"IE",SUM(D16,D19,D21,D23,D25))</f>
        <v>10185.48314575366</v>
      </c>
      <c r="E15" s="3591">
        <f t="shared" ref="E15:F15" si="15">IF(SUM(E16,E19,E21,E23,E25)=0,"IE",SUM(E16,E19,E21,E23,E25))</f>
        <v>10184.48314575366</v>
      </c>
      <c r="F15" s="3595">
        <f t="shared" si="15"/>
        <v>1</v>
      </c>
      <c r="G15" s="3558" t="str">
        <f t="shared" si="4"/>
        <v>NA</v>
      </c>
      <c r="H15" s="3078">
        <f t="shared" si="5"/>
        <v>-1.5069335934469004</v>
      </c>
      <c r="I15" s="3078">
        <f t="shared" si="6"/>
        <v>-1.5069335934469004</v>
      </c>
      <c r="J15" s="3078">
        <f t="shared" si="7"/>
        <v>-9.6083004955243148E-2</v>
      </c>
      <c r="K15" s="3573">
        <f t="shared" si="8"/>
        <v>-0.26614182666693137</v>
      </c>
      <c r="L15" s="3128">
        <f t="shared" si="9"/>
        <v>-8.7249999999999996</v>
      </c>
      <c r="M15" s="3590" t="str">
        <f>IF(SUM(M16,M19,M21,M23,M25)=0,"IE",SUM(M16,M19,M21,M23,M25))</f>
        <v>IE</v>
      </c>
      <c r="N15" s="3591">
        <f t="shared" ref="N15:S15" si="16">IF(SUM(N16,N19,N21,N23,N25)=0,"IE",SUM(N16,N19,N21,N23,N25))</f>
        <v>-15348.846717823402</v>
      </c>
      <c r="O15" s="3592">
        <f t="shared" si="16"/>
        <v>-15348.846717823402</v>
      </c>
      <c r="P15" s="3592">
        <f t="shared" si="16"/>
        <v>-978.65182756499451</v>
      </c>
      <c r="Q15" s="3592">
        <f t="shared" si="16"/>
        <v>-2710.5169480694544</v>
      </c>
      <c r="R15" s="3592">
        <f t="shared" si="16"/>
        <v>-8.7249999999999996</v>
      </c>
      <c r="S15" s="3594">
        <f t="shared" si="16"/>
        <v>69838.048476012133</v>
      </c>
      <c r="U15" s="2019"/>
    </row>
    <row r="16" spans="2:21" ht="18" customHeight="1" x14ac:dyDescent="0.2">
      <c r="B16" s="500" t="s">
        <v>1067</v>
      </c>
      <c r="C16" s="486"/>
      <c r="D16" s="3599">
        <f>IF(SUM(D17:D18)=0,"IE",SUM(D17:D18))</f>
        <v>10136.605713217114</v>
      </c>
      <c r="E16" s="3564">
        <f t="shared" ref="E16:F16" si="17">IF(SUM(E17:E18)=0,"IE",SUM(E17:E18))</f>
        <v>10136.605713217114</v>
      </c>
      <c r="F16" s="3565" t="str">
        <f t="shared" si="17"/>
        <v>IE</v>
      </c>
      <c r="G16" s="3558" t="str">
        <f t="shared" si="4"/>
        <v>NA</v>
      </c>
      <c r="H16" s="3078">
        <f t="shared" si="5"/>
        <v>-1.5141998369148413</v>
      </c>
      <c r="I16" s="3078">
        <f t="shared" si="6"/>
        <v>-1.5141998369148413</v>
      </c>
      <c r="J16" s="3078">
        <f t="shared" si="7"/>
        <v>-9.6546305070239744E-2</v>
      </c>
      <c r="K16" s="3573">
        <f t="shared" si="8"/>
        <v>-0.25571904682743984</v>
      </c>
      <c r="L16" s="3128" t="str">
        <f t="shared" si="9"/>
        <v>NA</v>
      </c>
      <c r="M16" s="3506" t="str">
        <f>IF(SUM(M17:M18)=0,"IE",SUM(M17:M18))</f>
        <v>IE</v>
      </c>
      <c r="N16" s="3506">
        <f t="shared" ref="N16:O16" si="18">IF(SUM(N17:N18)=0,"IE",SUM(N17:N18))</f>
        <v>-15348.846717823402</v>
      </c>
      <c r="O16" s="3506">
        <f t="shared" si="18"/>
        <v>-15348.846717823402</v>
      </c>
      <c r="P16" s="3506">
        <f t="shared" ref="P16" si="19">IF(SUM(P17:P18)=0,"IE",SUM(P17:P18))</f>
        <v>-978.65182756499451</v>
      </c>
      <c r="Q16" s="3601">
        <f t="shared" ref="Q16" si="20">IF(SUM(Q17:Q18)=0,"IE",SUM(Q17:Q18))</f>
        <v>-2592.1231510494613</v>
      </c>
      <c r="R16" s="3601" t="str">
        <f t="shared" ref="R16" si="21">IF(SUM(R17:R18)=0,"IE",SUM(R17:R18))</f>
        <v>IE</v>
      </c>
      <c r="S16" s="3287">
        <f t="shared" ref="S16" si="22">IF(SUM(S17:S18)=0,"IE",SUM(S17:S18))</f>
        <v>69371.946220272162</v>
      </c>
      <c r="U16" s="2400"/>
    </row>
    <row r="17" spans="2:21" ht="18" customHeight="1" x14ac:dyDescent="0.2">
      <c r="B17" s="500"/>
      <c r="C17" s="484" t="s">
        <v>2228</v>
      </c>
      <c r="D17" s="3600">
        <f>IF(SUM(E17:F17)=0,E17,SUM(E17:F17))</f>
        <v>10136.605713217114</v>
      </c>
      <c r="E17" s="3569">
        <v>10136.605713217114</v>
      </c>
      <c r="F17" s="3554" t="s">
        <v>2153</v>
      </c>
      <c r="G17" s="3558" t="str">
        <f t="shared" si="4"/>
        <v>NA</v>
      </c>
      <c r="H17" s="3078">
        <f t="shared" si="5"/>
        <v>-1.513533287846847</v>
      </c>
      <c r="I17" s="3078">
        <f t="shared" si="6"/>
        <v>-1.513533287846847</v>
      </c>
      <c r="J17" s="3078">
        <f t="shared" si="7"/>
        <v>-9.6494622636719735E-2</v>
      </c>
      <c r="K17" s="3573">
        <f t="shared" si="8"/>
        <v>-0.25571904682743984</v>
      </c>
      <c r="L17" s="3128" t="str">
        <f t="shared" si="9"/>
        <v>NA</v>
      </c>
      <c r="M17" s="2905" t="s">
        <v>2153</v>
      </c>
      <c r="N17" s="2905">
        <v>-15342.090172732633</v>
      </c>
      <c r="O17" s="3109">
        <f>IF(SUM(M17:N17)=0,M17,SUM(M17:N17))</f>
        <v>-15342.090172732633</v>
      </c>
      <c r="P17" s="2905">
        <v>-978.12794311410266</v>
      </c>
      <c r="Q17" s="2906">
        <v>-2592.1231510494613</v>
      </c>
      <c r="R17" s="2906" t="s">
        <v>2153</v>
      </c>
      <c r="S17" s="3570">
        <f>IF(SUM(O17:R17)=0,Q17,SUM(O17:R17)*-44/12)</f>
        <v>69345.251311952728</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-6.7565450907703681</v>
      </c>
      <c r="O18" s="3109">
        <f>IF(SUM(M18:N18)=0,M18,SUM(M18:N18))</f>
        <v>-6.7565450907703681</v>
      </c>
      <c r="P18" s="2905">
        <v>-0.5238844508918894</v>
      </c>
      <c r="Q18" s="2906" t="s">
        <v>2147</v>
      </c>
      <c r="R18" s="2906" t="s">
        <v>2147</v>
      </c>
      <c r="S18" s="3570">
        <f>IF(SUM(O18:R18)=0,Q18,SUM(O18:R18)*-44/12)</f>
        <v>26.694908319428279</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13321.901011197</v>
      </c>
      <c r="E10" s="3583">
        <f>IF(SUM(E11,E23)=0,"IE",SUM(E11,E23))</f>
        <v>13239.109175517653</v>
      </c>
      <c r="F10" s="3584">
        <f>IF(SUM(F11,F23)=0,"IE",SUM(F11,F23))</f>
        <v>82.791835679346875</v>
      </c>
      <c r="G10" s="3608" t="str">
        <f>IFERROR(IF(SUM($D10)=0,"NA",M10/$D10),"NA")</f>
        <v>NA</v>
      </c>
      <c r="H10" s="3609">
        <f t="shared" ref="H10:J10" si="0">IFERROR(IF(SUM($D10)=0,"NA",N10/$D10),"NA")</f>
        <v>-1.7135571414297085E-2</v>
      </c>
      <c r="I10" s="3610">
        <f t="shared" si="0"/>
        <v>-1.7135571414297085E-2</v>
      </c>
      <c r="J10" s="3609">
        <f t="shared" si="0"/>
        <v>-3.3227644689299641E-3</v>
      </c>
      <c r="K10" s="3609">
        <f>IFERROR(IF(SUM(E10)=0,"NA",Q10/E10),"NA")</f>
        <v>-2.6094813507336299E-3</v>
      </c>
      <c r="L10" s="3611" t="str">
        <f>IFERROR(IF(SUM(F10)=0,"NA",R10/F10),"NA")</f>
        <v>NA</v>
      </c>
      <c r="M10" s="3610" t="str">
        <f t="shared" ref="M10:S10" si="1">IF(SUM(M11,M23)=0,"IE",SUM(M11,M23))</f>
        <v>IE</v>
      </c>
      <c r="N10" s="3609">
        <f t="shared" si="1"/>
        <v>-228.27838615156273</v>
      </c>
      <c r="O10" s="3610">
        <f t="shared" si="1"/>
        <v>-228.27838615156273</v>
      </c>
      <c r="P10" s="3609">
        <f t="shared" si="1"/>
        <v>-44.265539338607553</v>
      </c>
      <c r="Q10" s="3612">
        <f t="shared" si="1"/>
        <v>-34.547208493839797</v>
      </c>
      <c r="R10" s="3612" t="str">
        <f t="shared" si="1"/>
        <v>IE</v>
      </c>
      <c r="S10" s="3588">
        <f t="shared" si="1"/>
        <v>1126.000824608037</v>
      </c>
      <c r="U10" s="2401"/>
    </row>
    <row r="11" spans="1:23" ht="18" customHeight="1" x14ac:dyDescent="0.2">
      <c r="B11" s="501" t="s">
        <v>990</v>
      </c>
      <c r="C11" s="483"/>
      <c r="D11" s="3613">
        <f>IF(SUM(D12,D14,D17)=0,"IE",SUM(D12,D14,D17))</f>
        <v>13286.519011197001</v>
      </c>
      <c r="E11" s="3614">
        <f t="shared" ref="E11:S11" si="2">IF(SUM(E12,E14,E17)=0,"IE",SUM(E12,E14,E17))</f>
        <v>13203.727175517653</v>
      </c>
      <c r="F11" s="3615">
        <f t="shared" si="2"/>
        <v>82.791835679346875</v>
      </c>
      <c r="G11" s="3616" t="str">
        <f t="shared" ref="G11:G56" si="3">IFERROR(IF(SUM($D11)=0,"NA",M11/$D11),"NA")</f>
        <v>NA</v>
      </c>
      <c r="H11" s="3617">
        <f t="shared" ref="H11:H56" si="4">IFERROR(IF(SUM($D11)=0,"NA",N11/$D11),"NA")</f>
        <v>-1.6130514393645871E-2</v>
      </c>
      <c r="I11" s="3618">
        <f t="shared" ref="I11:I56" si="5">IFERROR(IF(SUM($D11)=0,"NA",O11/$D11),"NA")</f>
        <v>-1.6130514393645871E-2</v>
      </c>
      <c r="J11" s="3617">
        <f t="shared" ref="J11:J56" si="6">IFERROR(IF(SUM($D11)=0,"NA",P11/$D11),"NA")</f>
        <v>-3.3316129906790092E-3</v>
      </c>
      <c r="K11" s="3617">
        <f t="shared" ref="K11:K56" si="7">IFERROR(IF(SUM(E11)=0,"NA",Q11/E11),"NA")</f>
        <v>-2.6164739724323614E-3</v>
      </c>
      <c r="L11" s="3619" t="str">
        <f t="shared" ref="L11:L56" si="8">IFERROR(IF(SUM(F11)=0,"NA",R11/F11),"NA")</f>
        <v>NA</v>
      </c>
      <c r="M11" s="3618" t="str">
        <f t="shared" si="2"/>
        <v>IE</v>
      </c>
      <c r="N11" s="3617">
        <f t="shared" si="2"/>
        <v>-214.31838615156272</v>
      </c>
      <c r="O11" s="3618">
        <f t="shared" si="2"/>
        <v>-214.31838615156272</v>
      </c>
      <c r="P11" s="3617">
        <f t="shared" si="2"/>
        <v>-44.265539338607553</v>
      </c>
      <c r="Q11" s="3620">
        <f t="shared" si="2"/>
        <v>-34.547208493839797</v>
      </c>
      <c r="R11" s="3620" t="str">
        <f t="shared" si="2"/>
        <v>IE</v>
      </c>
      <c r="S11" s="3621">
        <f t="shared" si="2"/>
        <v>1074.8141579413702</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791.99049347714049</v>
      </c>
      <c r="E14" s="3564">
        <f>IF(SUM(E15:E16)=0,"IE",SUM(E15:E16))</f>
        <v>791.99049347714049</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459.20040000000006</v>
      </c>
      <c r="E15" s="3569">
        <v>459.20040000000006</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12494.52851771986</v>
      </c>
      <c r="E17" s="3564">
        <f>IF(SUM(E18:E21)=0,"IE",SUM(E18:E21))</f>
        <v>12411.736682040513</v>
      </c>
      <c r="F17" s="3565">
        <f>IF(SUM(F18:F21)=0,"IE",SUM(F18:F21))</f>
        <v>82.791835679346875</v>
      </c>
      <c r="G17" s="3622" t="str">
        <f t="shared" si="3"/>
        <v>NA</v>
      </c>
      <c r="H17" s="3591">
        <f t="shared" si="4"/>
        <v>-1.7152979069807582E-2</v>
      </c>
      <c r="I17" s="3623">
        <f t="shared" si="5"/>
        <v>-1.7152979069807582E-2</v>
      </c>
      <c r="J17" s="3591">
        <f t="shared" si="6"/>
        <v>-3.5427938938095774E-3</v>
      </c>
      <c r="K17" s="3591">
        <f t="shared" si="7"/>
        <v>-2.783430665575494E-3</v>
      </c>
      <c r="L17" s="3595" t="str">
        <f t="shared" si="8"/>
        <v>NA</v>
      </c>
      <c r="M17" s="3564" t="str">
        <f t="shared" ref="M17:S17" si="16">IF(SUM(M18:M21)=0,"IE",SUM(M18:M21))</f>
        <v>IE</v>
      </c>
      <c r="N17" s="3617">
        <f t="shared" si="16"/>
        <v>-214.31838615156272</v>
      </c>
      <c r="O17" s="3618">
        <f t="shared" si="16"/>
        <v>-214.31838615156272</v>
      </c>
      <c r="P17" s="3617">
        <f t="shared" si="16"/>
        <v>-44.265539338607553</v>
      </c>
      <c r="Q17" s="3620">
        <f t="shared" si="16"/>
        <v>-34.547208493839797</v>
      </c>
      <c r="R17" s="3620" t="str">
        <f t="shared" si="16"/>
        <v>IE</v>
      </c>
      <c r="S17" s="3634">
        <f t="shared" si="16"/>
        <v>1074.8141579413702</v>
      </c>
      <c r="U17" s="2402"/>
    </row>
    <row r="18" spans="1:23" ht="18" customHeight="1" x14ac:dyDescent="0.2">
      <c r="A18" s="2502"/>
      <c r="B18" s="2682"/>
      <c r="C18" s="2503" t="s">
        <v>2231</v>
      </c>
      <c r="D18" s="3600">
        <f>IF(SUM(E18:F18)=0,E18,SUM(E18:F18))</f>
        <v>1716.6986404464237</v>
      </c>
      <c r="E18" s="3569">
        <v>1716.6986404464237</v>
      </c>
      <c r="F18" s="3635" t="s">
        <v>2153</v>
      </c>
      <c r="G18" s="3630" t="str">
        <f t="shared" si="3"/>
        <v>NA</v>
      </c>
      <c r="H18" s="3631">
        <f t="shared" si="4"/>
        <v>-2.5155265810701547E-2</v>
      </c>
      <c r="I18" s="3632">
        <f t="shared" si="5"/>
        <v>-2.5155265810701547E-2</v>
      </c>
      <c r="J18" s="3631">
        <f t="shared" si="6"/>
        <v>-5.0310531621403087E-3</v>
      </c>
      <c r="K18" s="3631">
        <f t="shared" si="7"/>
        <v>-2.0124212648561235E-2</v>
      </c>
      <c r="L18" s="3633" t="str">
        <f t="shared" si="8"/>
        <v>NA</v>
      </c>
      <c r="M18" s="3624" t="s">
        <v>2153</v>
      </c>
      <c r="N18" s="3625">
        <v>-43.184010617299748</v>
      </c>
      <c r="O18" s="3109">
        <f>IF(SUM(M18:N18)=0,M18,SUM(M18:N18))</f>
        <v>-43.184010617299748</v>
      </c>
      <c r="P18" s="3625">
        <v>-8.6368021234599492</v>
      </c>
      <c r="Q18" s="3626">
        <v>-34.547208493839797</v>
      </c>
      <c r="R18" s="3636" t="s">
        <v>2153</v>
      </c>
      <c r="S18" s="3570">
        <f>IF(SUM(O18:R18)=0,Q18,SUM(O18:R18)*-44/12)</f>
        <v>316.68274452686484</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-171.13437553426297</v>
      </c>
      <c r="O19" s="3109">
        <f t="shared" ref="O19:O22" si="18">IF(SUM(M19:N19)=0,M19,SUM(M19:N19))</f>
        <v>-171.13437553426297</v>
      </c>
      <c r="P19" s="3625">
        <v>-35.628737215147602</v>
      </c>
      <c r="Q19" s="3628" t="s">
        <v>2147</v>
      </c>
      <c r="R19" s="3627" t="s">
        <v>2147</v>
      </c>
      <c r="S19" s="3570">
        <f t="shared" ref="S19:S22" si="19">IF(SUM(O19:R19)=0,Q19,SUM(O19:R19)*-44/12)</f>
        <v>758.13141341450546</v>
      </c>
      <c r="T19" s="2502"/>
      <c r="U19" s="2684"/>
      <c r="V19" s="2502"/>
      <c r="W19" s="2502"/>
    </row>
    <row r="20" spans="1:23" ht="18" customHeight="1" x14ac:dyDescent="0.2">
      <c r="A20" s="2502"/>
      <c r="B20" s="2682"/>
      <c r="C20" s="2683" t="s">
        <v>2234</v>
      </c>
      <c r="D20" s="3600">
        <f t="shared" si="17"/>
        <v>10695.038041594089</v>
      </c>
      <c r="E20" s="3607">
        <v>10695.038041594089</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82.791835679346875</v>
      </c>
      <c r="E21" s="3564" t="str">
        <f t="shared" ref="E21:F21" si="20">E22</f>
        <v>IE</v>
      </c>
      <c r="F21" s="3565">
        <f t="shared" si="20"/>
        <v>82.791835679346875</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82.791835679346875</v>
      </c>
      <c r="E22" s="3569" t="s">
        <v>2153</v>
      </c>
      <c r="F22" s="3554">
        <v>82.791835679346875</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35.381999999999998</v>
      </c>
      <c r="E23" s="3591">
        <f t="shared" ref="E23:F23" si="22">IF(SUM(E24,E35,E46)=0,"IE",SUM(E24,E35,E46))</f>
        <v>35.381999999999998</v>
      </c>
      <c r="F23" s="3595" t="str">
        <f t="shared" si="22"/>
        <v>IE</v>
      </c>
      <c r="G23" s="3622" t="str">
        <f t="shared" si="3"/>
        <v>NA</v>
      </c>
      <c r="H23" s="3591">
        <f t="shared" si="4"/>
        <v>-0.3945509015883783</v>
      </c>
      <c r="I23" s="3623">
        <f t="shared" si="5"/>
        <v>-0.3945509015883783</v>
      </c>
      <c r="J23" s="3591" t="str">
        <f t="shared" si="6"/>
        <v>NA</v>
      </c>
      <c r="K23" s="3591" t="str">
        <f t="shared" si="7"/>
        <v>NA</v>
      </c>
      <c r="L23" s="3595" t="str">
        <f t="shared" si="8"/>
        <v>NA</v>
      </c>
      <c r="M23" s="3591" t="str">
        <f t="shared" ref="M23" si="23">IF(SUM(M24,M35,M46)=0,"IE",SUM(M24,M35,M46))</f>
        <v>IE</v>
      </c>
      <c r="N23" s="3591">
        <f t="shared" ref="N23" si="24">IF(SUM(N24,N35,N46)=0,"IE",SUM(N24,N35,N46))</f>
        <v>-13.96</v>
      </c>
      <c r="O23" s="3623">
        <f t="shared" ref="O23" si="25">IF(SUM(O24,O35,O46)=0,"IE",SUM(O24,O35,O46))</f>
        <v>-13.96</v>
      </c>
      <c r="P23" s="3591" t="str">
        <f>IF(SUM(P24,P35,P46)=0,"NO",SUM(P24,P35,P46))</f>
        <v>NO</v>
      </c>
      <c r="Q23" s="3590" t="str">
        <f>IF(SUM(Q24,Q35,Q46)=0,"NO",SUM(Q24,Q35,Q46))</f>
        <v>NO</v>
      </c>
      <c r="R23" s="3590" t="str">
        <f>IF(SUM(R24,R35,R46)=0,"NO",SUM(R24,R35,R46))</f>
        <v>NO</v>
      </c>
      <c r="S23" s="3594">
        <f t="shared" ref="S23" si="26">IF(SUM(S24,S35,S46)=0,"IE",SUM(S24,S35,S46))</f>
        <v>51.186666666666667</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35.381999999999998</v>
      </c>
      <c r="E35" s="3591">
        <f>IF(SUM(E36,E38,E40,E42,E44)=0,"IE",SUM(E36,E38,E40,E42,E44))</f>
        <v>35.381999999999998</v>
      </c>
      <c r="F35" s="3595" t="str">
        <f>IF(SUM(F36,F38,F40,F42,F44)=0,"IE",SUM(F36,F38,F40,F42,F44))</f>
        <v>IE</v>
      </c>
      <c r="G35" s="3622" t="str">
        <f t="shared" si="3"/>
        <v>NA</v>
      </c>
      <c r="H35" s="3591">
        <f t="shared" si="4"/>
        <v>-0.3945509015883783</v>
      </c>
      <c r="I35" s="3623">
        <f t="shared" si="5"/>
        <v>-0.3945509015883783</v>
      </c>
      <c r="J35" s="3591" t="str">
        <f t="shared" si="6"/>
        <v>NA</v>
      </c>
      <c r="K35" s="3591" t="str">
        <f t="shared" si="7"/>
        <v>NA</v>
      </c>
      <c r="L35" s="3595" t="str">
        <f t="shared" si="8"/>
        <v>NA</v>
      </c>
      <c r="M35" s="3591" t="str">
        <f t="shared" ref="M35:S35" si="48">IF(SUM(M36,M38,M40,M42,M44)=0,"IE",SUM(M36,M38,M40,M42,M44))</f>
        <v>IE</v>
      </c>
      <c r="N35" s="3591">
        <f t="shared" si="48"/>
        <v>-13.96</v>
      </c>
      <c r="O35" s="3623">
        <f t="shared" si="48"/>
        <v>-13.96</v>
      </c>
      <c r="P35" s="3591" t="str">
        <f>IF(SUM(P36,P38,P40,P42,P44)=0,"NO",SUM(P36,P38,P40,P42,P44))</f>
        <v>NO</v>
      </c>
      <c r="Q35" s="3590" t="str">
        <f>IF(SUM(Q36,Q38,Q40,Q42,Q44)=0,"NO",SUM(Q36,Q38,Q40,Q42,Q44))</f>
        <v>NO</v>
      </c>
      <c r="R35" s="3590" t="str">
        <f>IF(SUM(R36,R38,R40,R42,R44)=0,"NO",SUM(R36,R38,R40,R42,R44))</f>
        <v>NO</v>
      </c>
      <c r="S35" s="3594">
        <f t="shared" si="48"/>
        <v>51.186666666666667</v>
      </c>
      <c r="U35" s="503"/>
    </row>
    <row r="36" spans="2:21" ht="18" customHeight="1" x14ac:dyDescent="0.2">
      <c r="B36" s="505" t="s">
        <v>1087</v>
      </c>
      <c r="C36" s="486"/>
      <c r="D36" s="3600">
        <f>D37</f>
        <v>35.381999999999998</v>
      </c>
      <c r="E36" s="3564">
        <f t="shared" ref="E36:F36" si="49">E37</f>
        <v>35.381999999999998</v>
      </c>
      <c r="F36" s="3565" t="str">
        <f t="shared" si="49"/>
        <v>IE</v>
      </c>
      <c r="G36" s="3558" t="str">
        <f t="shared" si="3"/>
        <v>NA</v>
      </c>
      <c r="H36" s="3078">
        <f t="shared" si="4"/>
        <v>-0.3945509015883783</v>
      </c>
      <c r="I36" s="3078">
        <f t="shared" si="5"/>
        <v>-0.3945509015883783</v>
      </c>
      <c r="J36" s="3078" t="str">
        <f t="shared" si="6"/>
        <v>NA</v>
      </c>
      <c r="K36" s="3573" t="str">
        <f t="shared" si="7"/>
        <v>NA</v>
      </c>
      <c r="L36" s="3128" t="str">
        <f t="shared" si="8"/>
        <v>NA</v>
      </c>
      <c r="M36" s="3505" t="str">
        <f t="shared" ref="M36:S36" si="50">M37</f>
        <v>IE</v>
      </c>
      <c r="N36" s="3506">
        <f t="shared" si="50"/>
        <v>-13.96</v>
      </c>
      <c r="O36" s="3506">
        <f t="shared" si="50"/>
        <v>-13.96</v>
      </c>
      <c r="P36" s="3506" t="str">
        <f t="shared" si="50"/>
        <v>NA</v>
      </c>
      <c r="Q36" s="3601" t="str">
        <f t="shared" si="50"/>
        <v>NA</v>
      </c>
      <c r="R36" s="3601" t="str">
        <f t="shared" si="50"/>
        <v>NA</v>
      </c>
      <c r="S36" s="3287">
        <f t="shared" si="50"/>
        <v>51.186666666666667</v>
      </c>
      <c r="U36" s="2402"/>
    </row>
    <row r="37" spans="2:21" ht="18" customHeight="1" x14ac:dyDescent="0.2">
      <c r="B37" s="1479"/>
      <c r="C37" s="885" t="s">
        <v>278</v>
      </c>
      <c r="D37" s="3600">
        <f>IF(SUM(E37:F37)=0,E37,SUM(E37:F37))</f>
        <v>35.381999999999998</v>
      </c>
      <c r="E37" s="3569">
        <v>35.381999999999998</v>
      </c>
      <c r="F37" s="3554" t="s">
        <v>2153</v>
      </c>
      <c r="G37" s="3622" t="str">
        <f t="shared" si="3"/>
        <v>NA</v>
      </c>
      <c r="H37" s="3591">
        <f t="shared" si="4"/>
        <v>-0.3945509015883783</v>
      </c>
      <c r="I37" s="3623">
        <f t="shared" si="5"/>
        <v>-0.3945509015883783</v>
      </c>
      <c r="J37" s="3591" t="str">
        <f t="shared" si="6"/>
        <v>NA</v>
      </c>
      <c r="K37" s="3591" t="str">
        <f t="shared" si="7"/>
        <v>NA</v>
      </c>
      <c r="L37" s="3595" t="str">
        <f t="shared" si="8"/>
        <v>NA</v>
      </c>
      <c r="M37" s="3624" t="s">
        <v>2153</v>
      </c>
      <c r="N37" s="3625">
        <v>-13.96</v>
      </c>
      <c r="O37" s="3109">
        <f t="shared" ref="O37" si="51">IF(SUM(M37:N37)=0,M37,SUM(M37:N37))</f>
        <v>-13.96</v>
      </c>
      <c r="P37" s="3625" t="s">
        <v>2147</v>
      </c>
      <c r="Q37" s="3626" t="s">
        <v>2147</v>
      </c>
      <c r="R37" s="3626" t="s">
        <v>2147</v>
      </c>
      <c r="S37" s="3570">
        <f t="shared" ref="S37" si="52">IF(SUM(O37:R37)=0,Q37,SUM(O37:R37)*-44/12)</f>
        <v>51.186666666666667</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1293.4638951187758</v>
      </c>
      <c r="E10" s="3583">
        <f t="shared" ref="E10:F10" si="0">IF(SUM(E11,E13)=0,"IE",SUM(E11,E13))</f>
        <v>1222.740626214</v>
      </c>
      <c r="F10" s="3584">
        <f t="shared" si="0"/>
        <v>70.723268904775779</v>
      </c>
      <c r="G10" s="3582" t="str">
        <f>IFERROR(IF(SUM($D10)=0,"NA",M10/$D10),"NA")</f>
        <v>NA</v>
      </c>
      <c r="H10" s="3583">
        <f t="shared" ref="H10:J10" si="1">IFERROR(IF(SUM($D10)=0,"NA",N10/$D10),"NA")</f>
        <v>-0.82792351123357533</v>
      </c>
      <c r="I10" s="3583">
        <f t="shared" si="1"/>
        <v>-0.82792351123357533</v>
      </c>
      <c r="J10" s="3583">
        <f t="shared" si="1"/>
        <v>-0.10493453654196698</v>
      </c>
      <c r="K10" s="3585">
        <f>IFERROR(IF(SUM(E10)=0,"NA",Q10/E10),"NA")</f>
        <v>-0.14257429913370845</v>
      </c>
      <c r="L10" s="3584">
        <f>IFERROR(IF(SUM(F10)=0,"NA",R10/F10),"NA")</f>
        <v>0.30310542616285269</v>
      </c>
      <c r="M10" s="3586" t="str">
        <f>IF(SUM(M11,M13)=0,"IE",SUM(M11,M13))</f>
        <v>IE</v>
      </c>
      <c r="N10" s="3583">
        <f t="shared" ref="N10:S10" si="2">IF(SUM(N11,N13)=0,"IE",SUM(N11,N13))</f>
        <v>-1070.8891697005938</v>
      </c>
      <c r="O10" s="3587">
        <f t="shared" si="2"/>
        <v>-1070.8891697005938</v>
      </c>
      <c r="P10" s="3583">
        <f t="shared" si="2"/>
        <v>-135.72903436805612</v>
      </c>
      <c r="Q10" s="3585">
        <f t="shared" si="2"/>
        <v>-174.33138780477282</v>
      </c>
      <c r="R10" s="3585">
        <f t="shared" si="2"/>
        <v>21.436606561012091</v>
      </c>
      <c r="S10" s="3588">
        <f t="shared" si="2"/>
        <v>4984.8809461455048</v>
      </c>
      <c r="U10" s="2261"/>
    </row>
    <row r="11" spans="2:21" ht="18" customHeight="1" x14ac:dyDescent="0.2">
      <c r="B11" s="493" t="s">
        <v>993</v>
      </c>
      <c r="C11" s="2256"/>
      <c r="D11" s="3589">
        <f>D12</f>
        <v>952.56662621400005</v>
      </c>
      <c r="E11" s="3078">
        <f t="shared" ref="E11:F11" si="3">E12</f>
        <v>952.56662621400005</v>
      </c>
      <c r="F11" s="3078" t="str">
        <f t="shared" si="3"/>
        <v>IE</v>
      </c>
      <c r="G11" s="3558" t="str">
        <f t="shared" ref="G11:G24" si="4">IFERROR(IF(SUM($D11)=0,"NA",M11/$D11),"NA")</f>
        <v>NA</v>
      </c>
      <c r="H11" s="3078">
        <f t="shared" ref="H11:H24" si="5">IFERROR(IF(SUM($D11)=0,"NA",N11/$D11),"NA")</f>
        <v>-2.3428647346549567E-3</v>
      </c>
      <c r="I11" s="3078">
        <f t="shared" ref="I11:I24" si="6">IFERROR(IF(SUM($D11)=0,"NA",O11/$D11),"NA")</f>
        <v>-2.3428647346549567E-3</v>
      </c>
      <c r="J11" s="3078">
        <f t="shared" ref="J11:J24" si="7">IFERROR(IF(SUM($D11)=0,"NA",P11/$D11),"NA")</f>
        <v>-4.6857294693099125E-4</v>
      </c>
      <c r="K11" s="3573">
        <f t="shared" ref="K11:K24" si="8">IFERROR(IF(SUM(E11)=0,"NA",Q11/E11),"NA")</f>
        <v>-1.874291787723965E-3</v>
      </c>
      <c r="L11" s="3128" t="str">
        <f t="shared" ref="L11:L24" si="9">IFERROR(IF(SUM(F11)=0,"NA",R11/F11),"NA")</f>
        <v>NA</v>
      </c>
      <c r="M11" s="3590" t="str">
        <f t="shared" ref="M11:S11" si="10">M12</f>
        <v>IE</v>
      </c>
      <c r="N11" s="3591">
        <f t="shared" si="10"/>
        <v>-2.2317347559660305</v>
      </c>
      <c r="O11" s="3592">
        <f t="shared" si="10"/>
        <v>-2.2317347559660305</v>
      </c>
      <c r="P11" s="3591">
        <f t="shared" si="10"/>
        <v>-0.446346951193206</v>
      </c>
      <c r="Q11" s="3593">
        <f t="shared" si="10"/>
        <v>-1.785387804772824</v>
      </c>
      <c r="R11" s="3593" t="str">
        <f t="shared" si="10"/>
        <v>IE</v>
      </c>
      <c r="S11" s="3594">
        <f t="shared" si="10"/>
        <v>16.366054877084224</v>
      </c>
      <c r="U11" s="2397"/>
    </row>
    <row r="12" spans="2:21" ht="18" customHeight="1" x14ac:dyDescent="0.2">
      <c r="B12" s="501"/>
      <c r="C12" s="885" t="s">
        <v>278</v>
      </c>
      <c r="D12" s="3600">
        <f>IF(SUM(E12:F12)=0,E12,SUM(E12:F12))</f>
        <v>952.56662621400005</v>
      </c>
      <c r="E12" s="3569">
        <v>952.56662621400005</v>
      </c>
      <c r="F12" s="3554" t="s">
        <v>2153</v>
      </c>
      <c r="G12" s="3558" t="str">
        <f t="shared" si="4"/>
        <v>NA</v>
      </c>
      <c r="H12" s="3078">
        <f t="shared" si="5"/>
        <v>-2.3428647346549567E-3</v>
      </c>
      <c r="I12" s="3078">
        <f t="shared" si="6"/>
        <v>-2.3428647346549567E-3</v>
      </c>
      <c r="J12" s="3078">
        <f t="shared" si="7"/>
        <v>-4.6857294693099125E-4</v>
      </c>
      <c r="K12" s="3573">
        <f t="shared" si="8"/>
        <v>-1.874291787723965E-3</v>
      </c>
      <c r="L12" s="3128" t="str">
        <f t="shared" si="9"/>
        <v>NA</v>
      </c>
      <c r="M12" s="2905" t="s">
        <v>2153</v>
      </c>
      <c r="N12" s="2905">
        <v>-2.2317347559660305</v>
      </c>
      <c r="O12" s="3109">
        <f>IF(SUM(M12:N12)=0,M12,SUM(M12:N12))</f>
        <v>-2.2317347559660305</v>
      </c>
      <c r="P12" s="2905">
        <v>-0.446346951193206</v>
      </c>
      <c r="Q12" s="2906">
        <v>-1.785387804772824</v>
      </c>
      <c r="R12" s="2906" t="s">
        <v>2153</v>
      </c>
      <c r="S12" s="3570">
        <f>IF(SUM(O12:R12)=0,Q12,SUM(O12:R12)*-44/12)</f>
        <v>16.366054877084224</v>
      </c>
      <c r="U12" s="2398"/>
    </row>
    <row r="13" spans="2:21" ht="18" customHeight="1" x14ac:dyDescent="0.2">
      <c r="B13" s="493" t="s">
        <v>994</v>
      </c>
      <c r="C13" s="504"/>
      <c r="D13" s="3589">
        <f>IF(SUM(D14,D17,D19,D21,D23)=0,"IE",SUM(D14,D17,D19,D21,D23))</f>
        <v>340.89726890477573</v>
      </c>
      <c r="E13" s="3591">
        <f t="shared" ref="E13:S13" si="11">IF(SUM(E14,E17,E19,E21,E23)=0,"IE",SUM(E14,E17,E19,E21,E23))</f>
        <v>270.17399999999998</v>
      </c>
      <c r="F13" s="3595">
        <f t="shared" si="11"/>
        <v>70.723268904775779</v>
      </c>
      <c r="G13" s="3558" t="str">
        <f t="shared" si="4"/>
        <v>NA</v>
      </c>
      <c r="H13" s="3078">
        <f t="shared" si="5"/>
        <v>-3.1348371853431902</v>
      </c>
      <c r="I13" s="3078">
        <f t="shared" si="6"/>
        <v>-3.1348371853431902</v>
      </c>
      <c r="J13" s="3078">
        <f t="shared" si="7"/>
        <v>-0.39684297809570312</v>
      </c>
      <c r="K13" s="3573">
        <f t="shared" si="8"/>
        <v>-0.63864768630586222</v>
      </c>
      <c r="L13" s="3128">
        <f t="shared" si="9"/>
        <v>0.30310542616285269</v>
      </c>
      <c r="M13" s="3078" t="str">
        <f t="shared" si="11"/>
        <v>IE</v>
      </c>
      <c r="N13" s="3078">
        <f t="shared" si="11"/>
        <v>-1068.6574349446278</v>
      </c>
      <c r="O13" s="3078">
        <f t="shared" si="11"/>
        <v>-1068.6574349446278</v>
      </c>
      <c r="P13" s="3078">
        <f t="shared" si="11"/>
        <v>-135.28268741686293</v>
      </c>
      <c r="Q13" s="3573">
        <f t="shared" si="11"/>
        <v>-172.54599999999999</v>
      </c>
      <c r="R13" s="3573">
        <f t="shared" si="11"/>
        <v>21.436606561012091</v>
      </c>
      <c r="S13" s="3570">
        <f t="shared" si="11"/>
        <v>4968.5148912684208</v>
      </c>
      <c r="U13" s="2019"/>
    </row>
    <row r="14" spans="2:21" ht="18" customHeight="1" x14ac:dyDescent="0.2">
      <c r="B14" s="495" t="s">
        <v>1101</v>
      </c>
      <c r="C14" s="504"/>
      <c r="D14" s="3599">
        <f>IF(SUM(D15:D16)=0,"IE",SUM(D15:D16))</f>
        <v>340.89726890477573</v>
      </c>
      <c r="E14" s="3564">
        <f t="shared" ref="E14:F14" si="12">IF(SUM(E15:E16)=0,"IE",SUM(E15:E16))</f>
        <v>270.17399999999998</v>
      </c>
      <c r="F14" s="3565">
        <f t="shared" si="12"/>
        <v>70.723268904775779</v>
      </c>
      <c r="G14" s="3558" t="str">
        <f t="shared" si="4"/>
        <v>NA</v>
      </c>
      <c r="H14" s="3078">
        <f t="shared" si="5"/>
        <v>-3.1348371853431902</v>
      </c>
      <c r="I14" s="3078">
        <f t="shared" si="6"/>
        <v>-3.1348371853431902</v>
      </c>
      <c r="J14" s="3078">
        <f t="shared" si="7"/>
        <v>-0.39684297809570312</v>
      </c>
      <c r="K14" s="3573">
        <f t="shared" si="8"/>
        <v>-0.63864768630586222</v>
      </c>
      <c r="L14" s="3128">
        <f t="shared" si="9"/>
        <v>0.30310542616285269</v>
      </c>
      <c r="M14" s="3506" t="str">
        <f>IF(SUM(M15:M16)=0,"IE",SUM(M15:M16))</f>
        <v>IE</v>
      </c>
      <c r="N14" s="3506">
        <f t="shared" ref="N14:S14" si="13">IF(SUM(N15:N16)=0,"IE",SUM(N15:N16))</f>
        <v>-1068.6574349446278</v>
      </c>
      <c r="O14" s="3506">
        <f t="shared" si="13"/>
        <v>-1068.6574349446278</v>
      </c>
      <c r="P14" s="3506">
        <f t="shared" si="13"/>
        <v>-135.28268741686293</v>
      </c>
      <c r="Q14" s="3601">
        <f t="shared" si="13"/>
        <v>-172.54599999999999</v>
      </c>
      <c r="R14" s="3601">
        <f t="shared" si="13"/>
        <v>21.436606561012091</v>
      </c>
      <c r="S14" s="3287">
        <f t="shared" si="13"/>
        <v>4968.5148912684208</v>
      </c>
      <c r="U14" s="2019"/>
    </row>
    <row r="15" spans="2:21" ht="18" customHeight="1" x14ac:dyDescent="0.2">
      <c r="B15" s="496"/>
      <c r="C15" s="508" t="s">
        <v>2235</v>
      </c>
      <c r="D15" s="3600">
        <f>IF(SUM(E15:F15)=0,E15,SUM(E15:F15))</f>
        <v>70.723268904775779</v>
      </c>
      <c r="E15" s="3569" t="s">
        <v>2146</v>
      </c>
      <c r="F15" s="3554">
        <v>70.723268904775779</v>
      </c>
      <c r="G15" s="3558" t="str">
        <f t="shared" si="4"/>
        <v>NA</v>
      </c>
      <c r="H15" s="3078">
        <f t="shared" si="5"/>
        <v>-8.0080494540939267</v>
      </c>
      <c r="I15" s="3078">
        <f t="shared" si="6"/>
        <v>-8.0080494540939267</v>
      </c>
      <c r="J15" s="3078">
        <f t="shared" si="7"/>
        <v>-1.3533549692921447</v>
      </c>
      <c r="K15" s="3573" t="str">
        <f t="shared" si="8"/>
        <v>NA</v>
      </c>
      <c r="L15" s="3128">
        <f t="shared" si="9"/>
        <v>0.30310542616285269</v>
      </c>
      <c r="M15" s="2905" t="s">
        <v>2153</v>
      </c>
      <c r="N15" s="2905">
        <v>-566.35543494462763</v>
      </c>
      <c r="O15" s="3109">
        <f>IF(SUM(M15:N15)=0,M15,SUM(M15:N15))</f>
        <v>-566.35543494462763</v>
      </c>
      <c r="P15" s="2905">
        <v>-95.713687416862925</v>
      </c>
      <c r="Q15" s="2906" t="s">
        <v>2146</v>
      </c>
      <c r="R15" s="2906">
        <v>21.436606561012091</v>
      </c>
      <c r="S15" s="3570">
        <f>IF(SUM(O15:R15)=0,Q15,SUM(O15:R15)*-44/12)</f>
        <v>2348.9858912684208</v>
      </c>
      <c r="U15" s="2019"/>
    </row>
    <row r="16" spans="2:21" ht="18" customHeight="1" x14ac:dyDescent="0.2">
      <c r="B16" s="494"/>
      <c r="C16" s="508" t="s">
        <v>2236</v>
      </c>
      <c r="D16" s="3600">
        <f>IF(SUM(E16:F16)=0,E16,SUM(E16:F16))</f>
        <v>270.17399999999998</v>
      </c>
      <c r="E16" s="3569">
        <v>270.17399999999998</v>
      </c>
      <c r="F16" s="3554" t="s">
        <v>2153</v>
      </c>
      <c r="G16" s="3558" t="str">
        <f t="shared" si="4"/>
        <v>NA</v>
      </c>
      <c r="H16" s="3078">
        <f t="shared" si="5"/>
        <v>-1.8591796397876925</v>
      </c>
      <c r="I16" s="3078">
        <f t="shared" si="6"/>
        <v>-1.8591796397876925</v>
      </c>
      <c r="J16" s="3078">
        <f t="shared" si="7"/>
        <v>-0.14645746815015512</v>
      </c>
      <c r="K16" s="3573">
        <f t="shared" si="8"/>
        <v>-0.63864768630586222</v>
      </c>
      <c r="L16" s="3128" t="str">
        <f t="shared" si="9"/>
        <v>NA</v>
      </c>
      <c r="M16" s="2905" t="s">
        <v>2153</v>
      </c>
      <c r="N16" s="2905">
        <v>-502.30200000000002</v>
      </c>
      <c r="O16" s="3109">
        <f>IF(SUM(M16:N16)=0,M16,SUM(M16:N16))</f>
        <v>-502.30200000000002</v>
      </c>
      <c r="P16" s="2905">
        <v>-39.569000000000003</v>
      </c>
      <c r="Q16" s="2906">
        <v>-172.54599999999999</v>
      </c>
      <c r="R16" s="2906" t="s">
        <v>2153</v>
      </c>
      <c r="S16" s="3570">
        <f>IF(SUM(O16:R16)=0,Q16,SUM(O16:R16)*-44/12)</f>
        <v>2619.529</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78.305094652041475</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78.305094652041475</v>
      </c>
    </row>
    <row r="270" spans="2:10" ht="18" customHeight="1" x14ac:dyDescent="0.2">
      <c r="B270" s="2827" t="s">
        <v>1187</v>
      </c>
      <c r="C270" s="2828"/>
      <c r="D270" s="2808"/>
      <c r="E270" s="2809"/>
      <c r="F270" s="2810"/>
      <c r="G270" s="2811"/>
      <c r="H270" s="2819" t="s">
        <v>2154</v>
      </c>
      <c r="I270" s="2815" t="s">
        <v>2154</v>
      </c>
      <c r="J270" s="3741">
        <f>J277</f>
        <v>64.787916466294945</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625.19707281720866</v>
      </c>
      <c r="E277" s="2755" t="s">
        <v>2147</v>
      </c>
      <c r="F277" s="2753" t="s">
        <v>2147</v>
      </c>
      <c r="G277" s="3735">
        <f>IF(SUM(D277)=0,"NA",J277*1000/D277)</f>
        <v>103.6279907299522</v>
      </c>
      <c r="H277" s="2778" t="str">
        <f t="shared" ref="H277:J277" si="1">H302</f>
        <v>NE</v>
      </c>
      <c r="I277" s="2777" t="str">
        <f t="shared" si="1"/>
        <v>NE</v>
      </c>
      <c r="J277" s="3734">
        <f t="shared" si="1"/>
        <v>64.787916466294945</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338.85272930288374</v>
      </c>
      <c r="E281" s="2755" t="str">
        <f t="shared" si="2"/>
        <v>NA</v>
      </c>
      <c r="F281" s="2753" t="str">
        <f t="shared" si="2"/>
        <v>NA</v>
      </c>
      <c r="G281" s="3735">
        <f t="shared" si="2"/>
        <v>121.22963680884949</v>
      </c>
      <c r="H281" s="2780" t="str">
        <f t="shared" ref="H281" si="3">H306</f>
        <v>NA</v>
      </c>
      <c r="I281" s="2758" t="str">
        <f t="shared" ref="I281:J281" si="4">I306</f>
        <v>NA</v>
      </c>
      <c r="J281" s="3744">
        <f t="shared" si="4"/>
        <v>41.078993305075983</v>
      </c>
    </row>
    <row r="282" spans="2:10" ht="18" customHeight="1" outlineLevel="1" x14ac:dyDescent="0.2">
      <c r="B282" s="2847" t="str">
        <f>B307</f>
        <v>Other Constructed Water Bodies</v>
      </c>
      <c r="C282" s="2835" t="str">
        <f t="shared" si="2"/>
        <v>Other Constructed Water Bodies</v>
      </c>
      <c r="D282" s="3729">
        <f t="shared" si="2"/>
        <v>286.34434351432498</v>
      </c>
      <c r="E282" s="2755" t="str">
        <f t="shared" si="2"/>
        <v>NA</v>
      </c>
      <c r="F282" s="2753" t="str">
        <f t="shared" si="2"/>
        <v>NA</v>
      </c>
      <c r="G282" s="3735">
        <f t="shared" si="2"/>
        <v>82.798643305600621</v>
      </c>
      <c r="H282" s="2845" t="str">
        <f t="shared" ref="H282" si="5">H307</f>
        <v>NA</v>
      </c>
      <c r="I282" s="2846" t="str">
        <f t="shared" ref="I282:J282" si="6">I307</f>
        <v>NA</v>
      </c>
      <c r="J282" s="3744">
        <f t="shared" si="6"/>
        <v>23.708923161218969</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64.787916466294945</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625.19707281720866</v>
      </c>
      <c r="E302" s="2755" t="s">
        <v>2147</v>
      </c>
      <c r="F302" s="2753" t="s">
        <v>2147</v>
      </c>
      <c r="G302" s="3735">
        <f>IF(SUM(D302)=0,"NA",J302*1000/D302)</f>
        <v>103.6279907299522</v>
      </c>
      <c r="H302" s="2778" t="s">
        <v>2154</v>
      </c>
      <c r="I302" s="2777" t="s">
        <v>2154</v>
      </c>
      <c r="J302" s="3734">
        <f t="shared" ref="J302" si="7">IF(SUM(J306:J307)=0,"NO",SUM(J306:J307))</f>
        <v>64.787916466294945</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338.85272930288374</v>
      </c>
      <c r="E306" s="2755" t="s">
        <v>2147</v>
      </c>
      <c r="F306" s="2753" t="s">
        <v>2147</v>
      </c>
      <c r="G306" s="3735">
        <f>IF(SUM(D306)=0,"NA",J306*1000/D306)</f>
        <v>121.22963680884949</v>
      </c>
      <c r="H306" s="2780" t="s">
        <v>2147</v>
      </c>
      <c r="I306" s="2758" t="s">
        <v>2147</v>
      </c>
      <c r="J306" s="3744">
        <v>41.078993305075983</v>
      </c>
    </row>
    <row r="307" spans="2:10" ht="18" customHeight="1" outlineLevel="2" x14ac:dyDescent="0.2">
      <c r="B307" s="2847" t="s">
        <v>2245</v>
      </c>
      <c r="C307" s="2835" t="s">
        <v>2245</v>
      </c>
      <c r="D307" s="3732">
        <v>286.34434351432498</v>
      </c>
      <c r="E307" s="2755" t="s">
        <v>2147</v>
      </c>
      <c r="F307" s="2753" t="s">
        <v>2147</v>
      </c>
      <c r="G307" s="3735">
        <f>IF(SUM(D307)=0,"NA",J307*1000/D307)</f>
        <v>82.798643305600621</v>
      </c>
      <c r="H307" s="2780" t="s">
        <v>2147</v>
      </c>
      <c r="I307" s="2758" t="s">
        <v>2147</v>
      </c>
      <c r="J307" s="3744">
        <v>23.708923161218969</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13.517178185746529</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72.944034146149008</v>
      </c>
      <c r="E327" s="2776" t="str">
        <f t="shared" ref="E327:J327" si="8">E331</f>
        <v>NA</v>
      </c>
      <c r="F327" s="2777" t="str">
        <f t="shared" si="8"/>
        <v>NA</v>
      </c>
      <c r="G327" s="3737">
        <f t="shared" si="8"/>
        <v>185.30889254992147</v>
      </c>
      <c r="H327" s="2778" t="str">
        <f t="shared" si="8"/>
        <v>IE</v>
      </c>
      <c r="I327" s="2777" t="str">
        <f t="shared" si="8"/>
        <v>NA</v>
      </c>
      <c r="J327" s="3734">
        <f t="shared" si="8"/>
        <v>13.517178185746529</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72.944034146149008</v>
      </c>
      <c r="E331" s="2755" t="str">
        <f t="shared" si="9"/>
        <v>NA</v>
      </c>
      <c r="F331" s="2753" t="str">
        <f t="shared" si="9"/>
        <v>NA</v>
      </c>
      <c r="G331" s="3735">
        <f t="shared" si="9"/>
        <v>185.30889254992147</v>
      </c>
      <c r="H331" s="2765" t="str">
        <f t="shared" si="9"/>
        <v>IE</v>
      </c>
      <c r="I331" s="2758" t="str">
        <f t="shared" si="9"/>
        <v>NA</v>
      </c>
      <c r="J331" s="3744">
        <f t="shared" si="9"/>
        <v>13.517178185746529</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13.517178185746529</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72.944034146149008</v>
      </c>
      <c r="E411" s="2776" t="str">
        <f t="shared" ref="E411:J411" si="10">E415</f>
        <v>NA</v>
      </c>
      <c r="F411" s="2777" t="str">
        <f t="shared" si="10"/>
        <v>NA</v>
      </c>
      <c r="G411" s="3737">
        <f t="shared" si="10"/>
        <v>185.30889254992147</v>
      </c>
      <c r="H411" s="2778" t="str">
        <f t="shared" si="10"/>
        <v>IE</v>
      </c>
      <c r="I411" s="2777" t="str">
        <f t="shared" si="10"/>
        <v>NA</v>
      </c>
      <c r="J411" s="3734">
        <f t="shared" si="10"/>
        <v>13.517178185746529</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72.944034146149008</v>
      </c>
      <c r="E415" s="2755" t="str">
        <f>E427</f>
        <v>NA</v>
      </c>
      <c r="F415" s="2753" t="str">
        <f>F427</f>
        <v>NA</v>
      </c>
      <c r="G415" s="3735">
        <f t="shared" ref="G415:J415" si="11">G427</f>
        <v>185.30889254992147</v>
      </c>
      <c r="H415" s="2780" t="str">
        <f t="shared" si="11"/>
        <v>IE</v>
      </c>
      <c r="I415" s="2758" t="str">
        <f t="shared" si="11"/>
        <v>NA</v>
      </c>
      <c r="J415" s="3744">
        <f t="shared" si="11"/>
        <v>13.517178185746529</v>
      </c>
    </row>
    <row r="416" spans="2:10" ht="18" customHeight="1" outlineLevel="2" x14ac:dyDescent="0.2">
      <c r="B416" s="2842" t="s">
        <v>1199</v>
      </c>
      <c r="C416" s="2828"/>
      <c r="D416" s="3731"/>
      <c r="E416" s="2809"/>
      <c r="F416" s="2810"/>
      <c r="G416" s="3738"/>
      <c r="H416" s="2819" t="s">
        <v>2154</v>
      </c>
      <c r="I416" s="2815" t="s">
        <v>2154</v>
      </c>
      <c r="J416" s="3741">
        <f>J423</f>
        <v>13.517178185746529</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72.944034146149008</v>
      </c>
      <c r="E423" s="2776" t="str">
        <f t="shared" ref="E423:J423" si="12">E427</f>
        <v>NA</v>
      </c>
      <c r="F423" s="2777" t="str">
        <f t="shared" si="12"/>
        <v>NA</v>
      </c>
      <c r="G423" s="3737">
        <f t="shared" si="12"/>
        <v>185.30889254992147</v>
      </c>
      <c r="H423" s="2778" t="str">
        <f t="shared" si="12"/>
        <v>IE</v>
      </c>
      <c r="I423" s="2777" t="str">
        <f t="shared" si="12"/>
        <v>NA</v>
      </c>
      <c r="J423" s="3734">
        <f t="shared" si="12"/>
        <v>13.517178185746529</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72.944034146149008</v>
      </c>
      <c r="E427" s="2755" t="s">
        <v>2147</v>
      </c>
      <c r="F427" s="2753" t="s">
        <v>2147</v>
      </c>
      <c r="G427" s="3735">
        <f>IF(SUM(D427)=0,"NA",J427*1000/D427)</f>
        <v>185.30889254992147</v>
      </c>
      <c r="H427" s="2780" t="s">
        <v>2153</v>
      </c>
      <c r="I427" s="2758" t="s">
        <v>2147</v>
      </c>
      <c r="J427" s="3744">
        <v>13.517178185746529</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657015.65603635402</v>
      </c>
      <c r="D10" s="4332">
        <f>IF(SUM(D11,D20,D28,D37,D46,D55)=0,"NO",SUM(D11,D20,D28,D37,D46,D55))</f>
        <v>55695.127627859452</v>
      </c>
      <c r="E10" s="4333">
        <f t="shared" ref="E10:E12" si="0">IF(SUM(C10)=0,"NA",G10/C10*1000/(44/28))</f>
        <v>1.3621900325444748E-3</v>
      </c>
      <c r="F10" s="4332">
        <f t="shared" ref="F10:F11" si="1">IF(SUM(D10)=0,"NA",H10/D10*1000/(44/28))</f>
        <v>7.4999999999999997E-3</v>
      </c>
      <c r="G10" s="4331">
        <f>IF(SUM(G11,G20,G28,G37,G46,G55)=0,"NO",SUM(G11,G20,G28,G37,G46,G55))</f>
        <v>1.4063974223803282</v>
      </c>
      <c r="H10" s="4334">
        <f>IF(SUM(H11,H20,H28,H37,H46,H55)=0,"NO",SUM(H11,H20,H28,H37,H46,H55))</f>
        <v>0.65640686132834347</v>
      </c>
      <c r="I10" s="4335">
        <f t="shared" ref="I10:I11" si="2">IF(SUM(G10:H10)=0,"NO",SUM(G10:H10))</f>
        <v>2.0628042837086715</v>
      </c>
    </row>
    <row r="11" spans="2:10" ht="18" customHeight="1" x14ac:dyDescent="0.2">
      <c r="B11" s="2848" t="s">
        <v>1901</v>
      </c>
      <c r="C11" s="4336">
        <f>IF(SUM(C12:C13)=0,"NO",SUM(C12:C13))</f>
        <v>133394.17204832396</v>
      </c>
      <c r="D11" s="4337">
        <f>IF(SUM(D12:D13)=0,"NO",SUM(D12:D13))</f>
        <v>21738.356915535864</v>
      </c>
      <c r="E11" s="4336">
        <f t="shared" si="0"/>
        <v>2.6450293476705379E-3</v>
      </c>
      <c r="F11" s="4337">
        <f t="shared" si="1"/>
        <v>7.4999999999999997E-3</v>
      </c>
      <c r="G11" s="4336">
        <f>IF(SUM(G12:G13)=0,"NO",SUM(G12:G13))</f>
        <v>0.55444949980518976</v>
      </c>
      <c r="H11" s="4338">
        <f>IF(SUM(H12:H13)=0,"NO",SUM(H12:H13))</f>
        <v>0.25620206364738696</v>
      </c>
      <c r="I11" s="4337">
        <f t="shared" si="2"/>
        <v>0.81065156345257672</v>
      </c>
    </row>
    <row r="12" spans="2:10" ht="18" customHeight="1" x14ac:dyDescent="0.2">
      <c r="B12" s="914" t="s">
        <v>1228</v>
      </c>
      <c r="C12" s="4339">
        <f>Table4.A!E11</f>
        <v>126687.880201754</v>
      </c>
      <c r="D12" s="4340">
        <f>H12/F12*1000/(44/28)</f>
        <v>6800.7860821075074</v>
      </c>
      <c r="E12" s="4341">
        <f t="shared" si="0"/>
        <v>5.1503937758600501E-4</v>
      </c>
      <c r="F12" s="4342">
        <v>7.4999999999999997E-3</v>
      </c>
      <c r="G12" s="4339">
        <v>0.10253453094783131</v>
      </c>
      <c r="H12" s="4343">
        <v>8.0152121681981325E-2</v>
      </c>
      <c r="I12" s="4344">
        <f>IF(SUM(G12:H12)=0,"NO",SUM(G12:H12))</f>
        <v>0.18268665262981265</v>
      </c>
    </row>
    <row r="13" spans="2:10" ht="18" customHeight="1" x14ac:dyDescent="0.2">
      <c r="B13" s="914" t="s">
        <v>1902</v>
      </c>
      <c r="C13" s="4345">
        <f>IF(SUM(C15:C19)=0,"NO",SUM(C15:C19))</f>
        <v>6706.2918465699477</v>
      </c>
      <c r="D13" s="4344">
        <f>IF(SUM(D15:D19)=0,"NO",SUM(D15:D19))</f>
        <v>14937.570833428355</v>
      </c>
      <c r="E13" s="4345">
        <f>IF(SUM(C13)=0,"NA",G13/C13*1000/(44/28))</f>
        <v>4.2882454192075939E-2</v>
      </c>
      <c r="F13" s="4344">
        <f>IF(SUM(D13)=0,"NA",H13/D13*1000/(44/28))</f>
        <v>7.5000000000000006E-3</v>
      </c>
      <c r="G13" s="4345">
        <f>IF(SUM(G15:G19)=0,"NO",SUM(G15:G19))</f>
        <v>0.45191496885735843</v>
      </c>
      <c r="H13" s="4346">
        <f>IF(SUM(H15:H19)=0,"NO",SUM(H15:H19))</f>
        <v>0.17604994196540563</v>
      </c>
      <c r="I13" s="4344">
        <f>IF(SUM(G13:H13)=0,"NO",SUM(G13:H13))</f>
        <v>0.62796491082276407</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60.198</v>
      </c>
      <c r="D15" s="4340">
        <f>H15/F15*1000/(44/28)</f>
        <v>148.58854277272252</v>
      </c>
      <c r="E15" s="4345">
        <f>IF(SUM(C15)=0,"NA",G15/C15*1000/(44/28))</f>
        <v>6.3802507281526519E-2</v>
      </c>
      <c r="F15" s="4342">
        <v>7.4999999999999997E-3</v>
      </c>
      <c r="G15" s="4350">
        <v>6.0355166666666666E-3</v>
      </c>
      <c r="H15" s="4351">
        <v>1.7512221112499437E-3</v>
      </c>
      <c r="I15" s="4344">
        <f>IF(SUM(G15:H15)=0,"NO",SUM(G15:H15))</f>
        <v>7.7867387779166101E-3</v>
      </c>
    </row>
    <row r="16" spans="2:10" ht="18" customHeight="1" x14ac:dyDescent="0.2">
      <c r="B16" s="528" t="s">
        <v>1230</v>
      </c>
      <c r="C16" s="4350">
        <f>Table4.A!E19</f>
        <v>6607.5188465699475</v>
      </c>
      <c r="D16" s="4340">
        <f>H16/F16*1000/(44/28)</f>
        <v>14618.56425924528</v>
      </c>
      <c r="E16" s="4345">
        <f t="shared" ref="E16:E21" si="3">IF(SUM(C16)=0,"NA",G16/C16*1000/(44/28))</f>
        <v>4.2268662826068996E-2</v>
      </c>
      <c r="F16" s="4342">
        <v>7.4999999999999997E-3</v>
      </c>
      <c r="G16" s="4350">
        <v>0.4388858355240251</v>
      </c>
      <c r="H16" s="4351">
        <v>0.17229022162681937</v>
      </c>
      <c r="I16" s="4344">
        <f t="shared" ref="I16:I21" si="4">IF(SUM(G16:H16)=0,"NO",SUM(G16:H16))</f>
        <v>0.61117605715084444</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38.575000000000003</v>
      </c>
      <c r="D18" s="4340">
        <f>H18/F18*1000/(44/28)</f>
        <v>170.41803141035311</v>
      </c>
      <c r="E18" s="4345">
        <f t="shared" si="3"/>
        <v>0.11537221862173255</v>
      </c>
      <c r="F18" s="4342">
        <v>7.4999999999999997E-3</v>
      </c>
      <c r="G18" s="4350">
        <v>6.9936166666666674E-3</v>
      </c>
      <c r="H18" s="4351">
        <v>2.0084982273363043E-3</v>
      </c>
      <c r="I18" s="4344">
        <f t="shared" si="4"/>
        <v>9.0021148940029709E-3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2156.415</v>
      </c>
      <c r="D20" s="4360">
        <f>D21</f>
        <v>3388.4131013664651</v>
      </c>
      <c r="E20" s="4359">
        <f t="shared" si="3"/>
        <v>3.2821009252238867E-2</v>
      </c>
      <c r="F20" s="4360">
        <f t="shared" si="5"/>
        <v>7.4999999999999997E-3</v>
      </c>
      <c r="G20" s="4359">
        <f>G21</f>
        <v>0.11121898333333334</v>
      </c>
      <c r="H20" s="4361">
        <f>H21</f>
        <v>3.9934868694676197E-2</v>
      </c>
      <c r="I20" s="4360">
        <f t="shared" si="4"/>
        <v>0.15115385202800954</v>
      </c>
    </row>
    <row r="21" spans="2:9" ht="18" customHeight="1" x14ac:dyDescent="0.2">
      <c r="B21" s="914" t="s">
        <v>1904</v>
      </c>
      <c r="C21" s="4345">
        <f>IF(SUM(C23:C27)=0,"NO",SUM(C23:C27))</f>
        <v>2156.415</v>
      </c>
      <c r="D21" s="4344">
        <f>IF(SUM(D23:D27)=0,"NO",SUM(D23:D27))</f>
        <v>3388.4131013664651</v>
      </c>
      <c r="E21" s="4345">
        <f t="shared" si="3"/>
        <v>3.2821009252238867E-2</v>
      </c>
      <c r="F21" s="4344">
        <f t="shared" si="5"/>
        <v>7.4999999999999997E-3</v>
      </c>
      <c r="G21" s="4345">
        <f>IF(SUM(G23:G27)=0,"NO",SUM(G23:G27))</f>
        <v>0.11121898333333334</v>
      </c>
      <c r="H21" s="4346">
        <f>IF(SUM(H23:H27)=0,"NO",SUM(H23:H27))</f>
        <v>3.9934868694676197E-2</v>
      </c>
      <c r="I21" s="4344">
        <f t="shared" si="4"/>
        <v>0.15115385202800954</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2156.415</v>
      </c>
      <c r="D23" s="4340">
        <f>H23/F23*1000/(44/28)</f>
        <v>3388.4131013664651</v>
      </c>
      <c r="E23" s="4345">
        <f>IF(SUM(C23)=0,"NA",G23/C23*1000/(44/28))</f>
        <v>3.2821009252238867E-2</v>
      </c>
      <c r="F23" s="4342">
        <v>7.4999999999999997E-3</v>
      </c>
      <c r="G23" s="4350">
        <v>0.11121898333333334</v>
      </c>
      <c r="H23" s="4351">
        <v>3.9934868694676197E-2</v>
      </c>
      <c r="I23" s="4344">
        <f>IF(SUM(G23:H23)=0,"NO",SUM(G23:H23))</f>
        <v>0.15115385202800954</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520242.32836181606</v>
      </c>
      <c r="D28" s="4337">
        <f>IF(SUM(D29:D30)=0,"NO",SUM(D29:D30))</f>
        <v>29765.77894200421</v>
      </c>
      <c r="E28" s="4336">
        <f t="shared" si="6"/>
        <v>8.6659750718998541E-4</v>
      </c>
      <c r="F28" s="4337">
        <f t="shared" si="7"/>
        <v>7.4999999999999997E-3</v>
      </c>
      <c r="G28" s="4336">
        <f>IF(SUM(G29:G30)=0,"NO",SUM(G29:G30))</f>
        <v>0.70846396483195706</v>
      </c>
      <c r="H28" s="4338">
        <f>IF(SUM(H29:H30)=0,"NO",SUM(H29:H30))</f>
        <v>0.35081096610219242</v>
      </c>
      <c r="I28" s="4360">
        <f t="shared" si="8"/>
        <v>1.0592749309341496</v>
      </c>
    </row>
    <row r="29" spans="2:9" ht="18" customHeight="1" x14ac:dyDescent="0.2">
      <c r="B29" s="914" t="s">
        <v>1239</v>
      </c>
      <c r="C29" s="4339">
        <f>Table4.C!E11</f>
        <v>510105.72264859895</v>
      </c>
      <c r="D29" s="4340">
        <f>H29/F29*1000/(44/28)</f>
        <v>18926.197285373495</v>
      </c>
      <c r="E29" s="4341">
        <f t="shared" si="6"/>
        <v>2.8868825789160076E-4</v>
      </c>
      <c r="F29" s="4342">
        <v>7.4999999999999997E-3</v>
      </c>
      <c r="G29" s="4339">
        <v>0.23141097950450873</v>
      </c>
      <c r="H29" s="4343">
        <v>0.22305875372047332</v>
      </c>
      <c r="I29" s="4344">
        <f t="shared" si="8"/>
        <v>0.45446973322498208</v>
      </c>
    </row>
    <row r="30" spans="2:9" ht="18" customHeight="1" x14ac:dyDescent="0.2">
      <c r="B30" s="914" t="s">
        <v>1906</v>
      </c>
      <c r="C30" s="4345">
        <f>IF(SUM(C32:C36)=0,"NO",SUM(C32:C36))</f>
        <v>10136.605713217114</v>
      </c>
      <c r="D30" s="4344">
        <f>IF(SUM(D32:D36)=0,"NO",SUM(D32:D36))</f>
        <v>10839.581656630715</v>
      </c>
      <c r="E30" s="4345">
        <f>IF(SUM(C30)=0,"NA",G30/C30*1000/(44/28))</f>
        <v>2.9948799536048523E-2</v>
      </c>
      <c r="F30" s="4344">
        <f>IF(SUM(D30)=0,"NA",H30/D30*1000/(44/28))</f>
        <v>7.4999999999999989E-3</v>
      </c>
      <c r="G30" s="4345">
        <f>IF(SUM(G32:G36)=0,"NO",SUM(G32:G36))</f>
        <v>0.47705298532744833</v>
      </c>
      <c r="H30" s="4346">
        <f>IF(SUM(H32:H36)=0,"NO",SUM(H32:H36))</f>
        <v>0.1277522123817191</v>
      </c>
      <c r="I30" s="4344">
        <f t="shared" si="8"/>
        <v>0.60480519770916741</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10136.605713217114</v>
      </c>
      <c r="D32" s="4340">
        <f>H32/F32*1000/(44/28)</f>
        <v>10839.581656630715</v>
      </c>
      <c r="E32" s="4345">
        <f>IF(SUM(C32)=0,"NA",G32/C32*1000/(44/28))</f>
        <v>2.9948799536048523E-2</v>
      </c>
      <c r="F32" s="4342">
        <v>7.4999999999999997E-3</v>
      </c>
      <c r="G32" s="4350">
        <v>0.47705298532744833</v>
      </c>
      <c r="H32" s="4351">
        <v>0.1277522123817191</v>
      </c>
      <c r="I32" s="4344">
        <f t="shared" si="8"/>
        <v>0.60480519770916741</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1222.740626214</v>
      </c>
      <c r="D46" s="4337">
        <f>IF(SUM(D47:D48)=0,"NO",SUM(D47:D48))</f>
        <v>802.57866895291068</v>
      </c>
      <c r="E46" s="4336">
        <f t="shared" si="11"/>
        <v>1.6791996603731985E-2</v>
      </c>
      <c r="F46" s="4337">
        <f t="shared" si="12"/>
        <v>7.4999999999999997E-3</v>
      </c>
      <c r="G46" s="4336">
        <f>IF(SUM(G47:G48)=0,"NO",SUM(G47:G48))</f>
        <v>3.2264974409848102E-2</v>
      </c>
      <c r="H46" s="4338">
        <f>IF(SUM(H47:H48)=0,"NO",SUM(H47:H48))</f>
        <v>9.4589628840878754E-3</v>
      </c>
      <c r="I46" s="4337">
        <f t="shared" si="8"/>
        <v>4.1723937293935975E-2</v>
      </c>
    </row>
    <row r="47" spans="2:9" ht="18" customHeight="1" x14ac:dyDescent="0.2">
      <c r="B47" s="914" t="s">
        <v>1251</v>
      </c>
      <c r="C47" s="4339">
        <f>Table4.E!E11</f>
        <v>952.56662621400005</v>
      </c>
      <c r="D47" s="4340">
        <f>H47/F47*1000/(44/28)</f>
        <v>27.706364658181581</v>
      </c>
      <c r="E47" s="4341">
        <f t="shared" si="11"/>
        <v>4.219020117902581E-4</v>
      </c>
      <c r="F47" s="4342">
        <v>7.4999999999999997E-3</v>
      </c>
      <c r="G47" s="4339">
        <v>6.315410765147713E-4</v>
      </c>
      <c r="H47" s="4343">
        <v>3.2653929775714006E-4</v>
      </c>
      <c r="I47" s="4344">
        <f t="shared" si="8"/>
        <v>9.5808037427191136E-4</v>
      </c>
    </row>
    <row r="48" spans="2:9" ht="18" customHeight="1" x14ac:dyDescent="0.2">
      <c r="B48" s="914" t="s">
        <v>1910</v>
      </c>
      <c r="C48" s="4345">
        <f>IF(SUM(C50:C54)=0,"NO",SUM(C50:C54))</f>
        <v>270.17399999999998</v>
      </c>
      <c r="D48" s="4344">
        <f>IF(SUM(D50:D54)=0,"NO",SUM(D50:D54))</f>
        <v>774.87230429472913</v>
      </c>
      <c r="E48" s="4345">
        <f>IF(SUM(C48)=0,"NA",G48/C48*1000/(44/28))</f>
        <v>7.4508896735683922E-2</v>
      </c>
      <c r="F48" s="4344">
        <f>IF(SUM(D48)=0,"NA",H48/D48*1000/(44/28))</f>
        <v>7.4999999999999997E-3</v>
      </c>
      <c r="G48" s="4345">
        <f>IF(SUM(G50:G54)=0,"NO",SUM(G50:G54))</f>
        <v>3.1633433333333329E-2</v>
      </c>
      <c r="H48" s="4346">
        <f>IF(SUM(H50:H54)=0,"NO",SUM(H50:H54))</f>
        <v>9.1324235863307346E-3</v>
      </c>
      <c r="I48" s="4344">
        <f t="shared" si="8"/>
        <v>4.0765856919664063E-2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270.17399999999998</v>
      </c>
      <c r="D50" s="4340">
        <f>H50/F50*1000/(44/28)</f>
        <v>774.87230429472913</v>
      </c>
      <c r="E50" s="4345">
        <f>IF(SUM(C50)=0,"NA",G50/C50*1000/(44/28))</f>
        <v>7.4508896735683922E-2</v>
      </c>
      <c r="F50" s="4342">
        <v>7.4999999999999997E-3</v>
      </c>
      <c r="G50" s="4350">
        <v>3.1633433333333329E-2</v>
      </c>
      <c r="H50" s="4351">
        <v>9.1324235863307346E-3</v>
      </c>
      <c r="I50" s="4344">
        <f t="shared" si="8"/>
        <v>4.0765856919664063E-2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4409276.9486939088</v>
      </c>
      <c r="D10" s="3076" t="s">
        <v>1814</v>
      </c>
      <c r="E10" s="628"/>
      <c r="F10" s="628"/>
      <c r="G10" s="628"/>
      <c r="H10" s="1913">
        <f>IF(SUM(H11:H15)=0,"NO",SUM(H11:H15))</f>
        <v>313062.80677665863</v>
      </c>
      <c r="I10" s="1913">
        <f t="shared" ref="I10:K10" si="0">IF(SUM(I11:I16)=0,"NO",SUM(I11:I16))</f>
        <v>115.72716495081889</v>
      </c>
      <c r="J10" s="1913">
        <f t="shared" si="0"/>
        <v>9.7073059004298052</v>
      </c>
      <c r="K10" s="3085" t="str">
        <f t="shared" si="0"/>
        <v>NO</v>
      </c>
    </row>
    <row r="11" spans="2:11" ht="18" customHeight="1" x14ac:dyDescent="0.2">
      <c r="B11" s="282" t="s">
        <v>132</v>
      </c>
      <c r="C11" s="3086">
        <f>IF(SUM(C18,'Table1.A(a)s2'!C11,'Table1.A(a)s3'!C11,'Table1.A(a)s4'!C11,'Table1.A(a)s4'!C94)=0,"NO",SUM(C18,'Table1.A(a)s2'!C11,'Table1.A(a)s3'!C11,'Table1.A(a)s4'!C11,'Table1.A(a)s4'!C94))</f>
        <v>1436606.62331598</v>
      </c>
      <c r="D11" s="3077" t="s">
        <v>2145</v>
      </c>
      <c r="E11" s="1913">
        <f>IFERROR(H11*1000/$C11,"NA")</f>
        <v>67.924086562514518</v>
      </c>
      <c r="F11" s="1913">
        <f t="shared" ref="F11:G16" si="1">IFERROR(I11*1000000/$C11,"NA")</f>
        <v>21.181159815753919</v>
      </c>
      <c r="G11" s="1913">
        <f t="shared" si="1"/>
        <v>4.3942599733725531</v>
      </c>
      <c r="H11" s="1913">
        <f>IF(SUM(H18,'Table1.A(a)s2'!H11,'Table1.A(a)s3'!H11,'Table1.A(a)s4'!H11,'Table1.A(a)s4'!H94)=0,"NO",SUM(H18,'Table1.A(a)s2'!H11,'Table1.A(a)s3'!H11,'Table1.A(a)s4'!H11,'Table1.A(a)s4'!H94))</f>
        <v>97580.192638396315</v>
      </c>
      <c r="I11" s="1913">
        <f>IF(SUM(I18,'Table1.A(a)s2'!I11,'Table1.A(a)s3'!I11,'Table1.A(a)s4'!I11,'Table1.A(a)s4'!I94)=0,"NO",SUM(I18,'Table1.A(a)s2'!I11,'Table1.A(a)s3'!I11,'Table1.A(a)s4'!I11,'Table1.A(a)s4'!I94))</f>
        <v>30.428994480826358</v>
      </c>
      <c r="J11" s="1913">
        <f>IF(SUM(J18,'Table1.A(a)s2'!J11,'Table1.A(a)s3'!J11,'Table1.A(a)s4'!J11,'Table1.A(a)s4'!J94)=0,"NO",SUM(J18,'Table1.A(a)s2'!J11,'Table1.A(a)s3'!J11,'Table1.A(a)s4'!J11,'Table1.A(a)s4'!J94))</f>
        <v>6.3128229823193109</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1899904.5582263055</v>
      </c>
      <c r="D12" s="3077" t="s">
        <v>1814</v>
      </c>
      <c r="E12" s="1913">
        <f t="shared" ref="E12:E16" si="2">IFERROR(H12*1000/$C12,"NA")</f>
        <v>90.176289030428734</v>
      </c>
      <c r="F12" s="1913">
        <f t="shared" si="1"/>
        <v>0.69095689143013039</v>
      </c>
      <c r="G12" s="1913">
        <f t="shared" si="1"/>
        <v>0.9325914445495499</v>
      </c>
      <c r="H12" s="1913">
        <f>IF(SUM(H19,'Table1.A(a)s2'!H12,'Table1.A(a)s3'!H12,'Table1.A(a)s4'!H12,'Table1.A(a)s4'!H95)=0,"NO",SUM(H19,'Table1.A(a)s2'!H12,'Table1.A(a)s3'!H12,'Table1.A(a)s4'!H12,'Table1.A(a)s4'!H95))</f>
        <v>171326.34257284435</v>
      </c>
      <c r="I12" s="1913">
        <f>IF(SUM(I19,'Table1.A(a)s2'!I12,'Table1.A(a)s3'!I12,'Table1.A(a)s4'!I12,'Table1.A(a)s4'!I95)=0,"NO",SUM(I19,'Table1.A(a)s2'!I12,'Table1.A(a)s3'!I12,'Table1.A(a)s4'!I12,'Table1.A(a)s4'!I95))</f>
        <v>1.3127521475659834</v>
      </c>
      <c r="J12" s="1913">
        <f>IF(SUM(J19,'Table1.A(a)s2'!J12,'Table1.A(a)s3'!J12,'Table1.A(a)s4'!J12,'Table1.A(a)s4'!J95)=0,"NO",SUM(J19,'Table1.A(a)s2'!J12,'Table1.A(a)s3'!J12,'Table1.A(a)s4'!J12,'Table1.A(a)s4'!J95))</f>
        <v>1.7718347364625446</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850797.49557257397</v>
      </c>
      <c r="D13" s="3077" t="s">
        <v>2145</v>
      </c>
      <c r="E13" s="1913">
        <f t="shared" si="2"/>
        <v>51.459064433669532</v>
      </c>
      <c r="F13" s="1913">
        <f t="shared" si="1"/>
        <v>9.782334492886088</v>
      </c>
      <c r="G13" s="1913">
        <f t="shared" si="1"/>
        <v>0.75200595988036356</v>
      </c>
      <c r="H13" s="1913">
        <f>IF(SUM(H20,'Table1.A(a)s2'!H13,'Table1.A(a)s3'!H13,'Table1.A(a)s4'!H13,'Table1.A(a)s4'!H96)=0,"NO",SUM(H20,'Table1.A(a)s2'!H13,'Table1.A(a)s3'!H13,'Table1.A(a)s4'!H13,'Table1.A(a)s4'!H96))</f>
        <v>43781.243144673746</v>
      </c>
      <c r="I13" s="1913">
        <f>IF(SUM(I20,'Table1.A(a)s2'!I13,'Table1.A(a)s3'!I13,'Table1.A(a)s4'!I13,'Table1.A(a)s4'!I96)=0,"NO",SUM(I20,'Table1.A(a)s2'!I13,'Table1.A(a)s3'!I13,'Table1.A(a)s4'!I13,'Table1.A(a)s4'!I96))</f>
        <v>8.3227856874006889</v>
      </c>
      <c r="J13" s="1913">
        <f>IF(SUM(J20,'Table1.A(a)s2'!J13,'Table1.A(a)s3'!J13,'Table1.A(a)s4'!J13,'Table1.A(a)s4'!J96)=0,"NO",SUM(J20,'Table1.A(a)s2'!J13,'Table1.A(a)s3'!J13,'Table1.A(a)s4'!J13,'Table1.A(a)s4'!J96))</f>
        <v>0.63980478732186286</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4170.8515790484917</v>
      </c>
      <c r="D14" s="3077" t="s">
        <v>2145</v>
      </c>
      <c r="E14" s="1913">
        <f t="shared" si="2"/>
        <v>89.916510726044777</v>
      </c>
      <c r="F14" s="1913">
        <f t="shared" si="1"/>
        <v>31.840020552900146</v>
      </c>
      <c r="G14" s="1913">
        <f t="shared" si="1"/>
        <v>0.99500064227812957</v>
      </c>
      <c r="H14" s="1913">
        <f>IF(SUM(H21,'Table1.A(a)s2'!H14,'Table1.A(a)s3'!H14,'Table1.A(a)s4'!H14,'Table1.A(a)s4'!H97)=0,"NO",SUM(H21,'Table1.A(a)s2'!H14,'Table1.A(a)s3'!H14,'Table1.A(a)s4'!H14,'Table1.A(a)s4'!H97))</f>
        <v>375.0284207442545</v>
      </c>
      <c r="I14" s="1913">
        <f>IF(SUM(I21,'Table1.A(a)s2'!I14,'Table1.A(a)s3'!I14,'Table1.A(a)s4'!I14,'Table1.A(a)s4'!I97)=0,"NO",SUM(I21,'Table1.A(a)s2'!I14,'Table1.A(a)s3'!I14,'Table1.A(a)s4'!I14,'Table1.A(a)s4'!I97))</f>
        <v>0.1328</v>
      </c>
      <c r="J14" s="1913">
        <f>IF(SUM(J21,'Table1.A(a)s2'!J14,'Table1.A(a)s3'!J14,'Table1.A(a)s4'!J14,'Table1.A(a)s4'!J97)=0,"NO",SUM(J21,'Table1.A(a)s2'!J14,'Table1.A(a)s3'!J14,'Table1.A(a)s4'!J14,'Table1.A(a)s4'!J97))</f>
        <v>4.15E-3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217797.41999999998</v>
      </c>
      <c r="D16" s="3079" t="s">
        <v>2145</v>
      </c>
      <c r="E16" s="2880">
        <f t="shared" si="2"/>
        <v>87.5467242908571</v>
      </c>
      <c r="F16" s="1913">
        <f t="shared" si="1"/>
        <v>346.78938177975601</v>
      </c>
      <c r="G16" s="1913">
        <f t="shared" si="1"/>
        <v>4.4935949853128996</v>
      </c>
      <c r="H16" s="2880">
        <f>IF(SUM(H23,'Table1.A(a)s2'!H16,'Table1.A(a)s3'!H15,'Table1.A(a)s4'!H16,'Table1.A(a)s4'!H99)=0,"NO",SUM(H23,'Table1.A(a)s2'!H16,'Table1.A(a)s3'!H15,'Table1.A(a)s4'!H16,'Table1.A(a)s4'!H99))</f>
        <v>19067.450680000002</v>
      </c>
      <c r="I16" s="2880">
        <f>IF(SUM(I23,'Table1.A(a)s2'!I16,'Table1.A(a)s3'!I15,'Table1.A(a)s4'!I16,'Table1.A(a)s4'!I99)=0,"NO",SUM(I23,'Table1.A(a)s2'!I16,'Table1.A(a)s3'!I15,'Table1.A(a)s4'!I16,'Table1.A(a)s4'!I99))</f>
        <v>75.529832635025855</v>
      </c>
      <c r="J16" s="2880">
        <f>IF(SUM(J23,'Table1.A(a)s2'!J16,'Table1.A(a)s3'!J15,'Table1.A(a)s4'!J16,'Table1.A(a)s4'!J99)=0,"NO",SUM(J23,'Table1.A(a)s2'!J16,'Table1.A(a)s3'!J15,'Table1.A(a)s4'!J16,'Table1.A(a)s4'!J99))</f>
        <v>0.97869339432608737</v>
      </c>
      <c r="K16" s="3066" t="str">
        <f>IF(SUM(K23,'Table1.A(a)s2'!K16,'Table1.A(a)s3'!K15,'Table1.A(a)s4'!K16,'Table1.A(a)s4'!K99)=0,"NO",SUM(K23,'Table1.A(a)s2'!K16,'Table1.A(a)s3'!K15,'Table1.A(a)s4'!K16,'Table1.A(a)s4'!K99))</f>
        <v>NO</v>
      </c>
    </row>
    <row r="17" spans="2:12" ht="18" customHeight="1" x14ac:dyDescent="0.2">
      <c r="B17" s="2184" t="s">
        <v>76</v>
      </c>
      <c r="C17" s="3067">
        <f>IF(SUM(C18:C23)=0,"NO",SUM(C18:C23))</f>
        <v>2285848.8975757579</v>
      </c>
      <c r="D17" s="3080" t="s">
        <v>1814</v>
      </c>
      <c r="E17" s="3081"/>
      <c r="F17" s="3081"/>
      <c r="G17" s="3081"/>
      <c r="H17" s="3067">
        <f>IF(SUM(H18:H22)=0,"NO",SUM(H18:H22))</f>
        <v>188804.16706406118</v>
      </c>
      <c r="I17" s="3067">
        <f t="shared" ref="I17" si="3">IF(SUM(I18:I23)=0,"NO",SUM(I18:I23))</f>
        <v>9.2514407336421911</v>
      </c>
      <c r="J17" s="3067">
        <f t="shared" ref="J17" si="4">IF(SUM(J18:J23)=0,"NO",SUM(J18:J23))</f>
        <v>2.2324247480307475</v>
      </c>
      <c r="K17" s="3068" t="str">
        <f t="shared" ref="K17" si="5">IF(SUM(K18:K23)=0,"NO",SUM(K18:K23))</f>
        <v>NO</v>
      </c>
    </row>
    <row r="18" spans="2:12" ht="18" customHeight="1" x14ac:dyDescent="0.2">
      <c r="B18" s="282" t="s">
        <v>132</v>
      </c>
      <c r="C18" s="3086">
        <f>IF(SUM(C25,C54,C61)=0,"NO",SUM(C25,C54,C61))</f>
        <v>145209.6890509715</v>
      </c>
      <c r="D18" s="3077" t="s">
        <v>1814</v>
      </c>
      <c r="E18" s="1913">
        <f>IFERROR(H18*1000/$C18,"NA")</f>
        <v>66.836514205641663</v>
      </c>
      <c r="F18" s="1913">
        <f t="shared" ref="F18:G23" si="6">IFERROR(I18*1000000/$C18,"NA")</f>
        <v>1.6677007504632095</v>
      </c>
      <c r="G18" s="1913">
        <f t="shared" si="6"/>
        <v>0.94006949259908446</v>
      </c>
      <c r="H18" s="3086">
        <f>IF(SUM(H25,H54,H61)=0,"NO",SUM(H25,H54,H61))</f>
        <v>9705.3094450520657</v>
      </c>
      <c r="I18" s="3086">
        <f>IF(SUM(I25,I54,I61)=0,"NO",SUM(I25,I54,I61))</f>
        <v>0.2421663074048345</v>
      </c>
      <c r="J18" s="3086">
        <f>IF(SUM(J25,J54,J61)=0,"NO",SUM(J25,J54,J61))</f>
        <v>0.13650719870661762</v>
      </c>
      <c r="K18" s="3069" t="str">
        <f>IF(SUM(K25,K54,K61)=0,"NO",SUM(K25,K54,K61))</f>
        <v>NO</v>
      </c>
      <c r="L18" s="19"/>
    </row>
    <row r="19" spans="2:12" ht="18" customHeight="1" x14ac:dyDescent="0.2">
      <c r="B19" s="282" t="s">
        <v>133</v>
      </c>
      <c r="C19" s="3086">
        <f t="shared" ref="C19:C23" si="7">IF(SUM(C26,C55,C62)=0,"NO",SUM(C26,C55,C62))</f>
        <v>1768024.3668309567</v>
      </c>
      <c r="D19" s="3077" t="s">
        <v>1814</v>
      </c>
      <c r="E19" s="1913">
        <f t="shared" ref="E19:E23" si="8">IFERROR(H19*1000/$C19,"NA")</f>
        <v>90.889824807206239</v>
      </c>
      <c r="F19" s="1913">
        <f t="shared" si="6"/>
        <v>0.67061971598528769</v>
      </c>
      <c r="G19" s="1913">
        <f t="shared" si="6"/>
        <v>0.95003316629993273</v>
      </c>
      <c r="H19" s="3086">
        <f t="shared" ref="H19:K23" si="9">IF(SUM(H26,H55,H62)=0,"NO",SUM(H26,H55,H62))</f>
        <v>160695.4249561374</v>
      </c>
      <c r="I19" s="3086">
        <f t="shared" si="9"/>
        <v>1.1856719987392441</v>
      </c>
      <c r="J19" s="3086">
        <f t="shared" si="9"/>
        <v>1.6796817873158476</v>
      </c>
      <c r="K19" s="3069" t="str">
        <f t="shared" si="9"/>
        <v>NO</v>
      </c>
      <c r="L19" s="19"/>
    </row>
    <row r="20" spans="2:12" ht="18" customHeight="1" x14ac:dyDescent="0.2">
      <c r="B20" s="282" t="s">
        <v>134</v>
      </c>
      <c r="C20" s="3086">
        <f t="shared" si="7"/>
        <v>357351.16601271927</v>
      </c>
      <c r="D20" s="3077" t="s">
        <v>1814</v>
      </c>
      <c r="E20" s="1913">
        <f t="shared" si="8"/>
        <v>51.499573565730813</v>
      </c>
      <c r="F20" s="1913">
        <f t="shared" si="6"/>
        <v>21.445843703846275</v>
      </c>
      <c r="G20" s="1913">
        <f t="shared" si="6"/>
        <v>0.88002489999715872</v>
      </c>
      <c r="H20" s="3086">
        <f t="shared" si="9"/>
        <v>18403.432662871721</v>
      </c>
      <c r="I20" s="3086">
        <f t="shared" si="9"/>
        <v>7.6636972536960002</v>
      </c>
      <c r="J20" s="3086">
        <f t="shared" si="9"/>
        <v>0.31447792413421133</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15263.675681110701</v>
      </c>
      <c r="D23" s="3077" t="s">
        <v>1814</v>
      </c>
      <c r="E23" s="1913">
        <f t="shared" si="8"/>
        <v>94.999999999999986</v>
      </c>
      <c r="F23" s="1913">
        <f t="shared" si="6"/>
        <v>10.476190476190476</v>
      </c>
      <c r="G23" s="1913">
        <f t="shared" si="6"/>
        <v>6.6666666666666652</v>
      </c>
      <c r="H23" s="3086">
        <f t="shared" si="9"/>
        <v>1450.0491897055165</v>
      </c>
      <c r="I23" s="3086">
        <f t="shared" si="9"/>
        <v>0.15990517380211211</v>
      </c>
      <c r="J23" s="3086">
        <f t="shared" si="9"/>
        <v>0.10175783787407131</v>
      </c>
      <c r="K23" s="3069" t="str">
        <f t="shared" si="9"/>
        <v>NO</v>
      </c>
      <c r="L23" s="19"/>
    </row>
    <row r="24" spans="2:12" ht="18" customHeight="1" x14ac:dyDescent="0.2">
      <c r="B24" s="1237" t="s">
        <v>138</v>
      </c>
      <c r="C24" s="3086">
        <f>IF(SUM(C25:C30)=0,"NO",SUM(C25:C30))</f>
        <v>1990126.4417120826</v>
      </c>
      <c r="D24" s="3077" t="s">
        <v>1814</v>
      </c>
      <c r="E24" s="628"/>
      <c r="F24" s="628"/>
      <c r="G24" s="628"/>
      <c r="H24" s="3086">
        <f>IF(SUM(H25:H29)=0,"NO",SUM(H25:H29))</f>
        <v>171374.29805800589</v>
      </c>
      <c r="I24" s="3086">
        <f t="shared" ref="I24" si="10">IF(SUM(I25:I30)=0,"NO",SUM(I25:I30))</f>
        <v>3.3891471292379785</v>
      </c>
      <c r="J24" s="3086">
        <f t="shared" ref="J24" si="11">IF(SUM(J25:J30)=0,"NO",SUM(J25:J30))</f>
        <v>1.9567241459169882</v>
      </c>
      <c r="K24" s="3069" t="str">
        <f t="shared" ref="K24" si="12">IF(SUM(K25:K30)=0,"NO",SUM(K25:K30))</f>
        <v>NO</v>
      </c>
      <c r="L24" s="19"/>
    </row>
    <row r="25" spans="2:12" ht="18" customHeight="1" x14ac:dyDescent="0.2">
      <c r="B25" s="160" t="s">
        <v>132</v>
      </c>
      <c r="C25" s="3074">
        <f>IF(SUM(C33,C40,C47)=0,"NO",SUM(C33,C40,C47))</f>
        <v>29783.8890509716</v>
      </c>
      <c r="D25" s="3082" t="s">
        <v>1814</v>
      </c>
      <c r="E25" s="3086">
        <f>IFERROR(H25*1000/$C25,"NA")</f>
        <v>70.525682804460644</v>
      </c>
      <c r="F25" s="1913">
        <f t="shared" ref="F25:G30" si="13">IFERROR(I25*1000000/$C25,"NA")</f>
        <v>3.4603497714405203</v>
      </c>
      <c r="G25" s="1913">
        <f t="shared" si="13"/>
        <v>0.38910452067663082</v>
      </c>
      <c r="H25" s="3086">
        <f>IF(SUM(H33,H40,H47)=0,"NO",SUM(H33,H40,H47))</f>
        <v>2100.5291118920713</v>
      </c>
      <c r="I25" s="3086">
        <f>IF(SUM(I33,I40,I47)=0,"NO",SUM(I33,I40,I47))</f>
        <v>0.1030626736701394</v>
      </c>
      <c r="J25" s="3086">
        <f>IF(SUM(J33,J40,J47)=0,"NO",SUM(J33,J40,J47))</f>
        <v>1.1589045873064257E-2</v>
      </c>
      <c r="K25" s="3069" t="str">
        <f>IF(SUM(K33,K40,K47)=0,"NO",SUM(K33,K40,K47))</f>
        <v>NO</v>
      </c>
      <c r="L25" s="19"/>
    </row>
    <row r="26" spans="2:12" ht="18" customHeight="1" x14ac:dyDescent="0.2">
      <c r="B26" s="160" t="s">
        <v>133</v>
      </c>
      <c r="C26" s="3086">
        <f t="shared" ref="C26:C30" si="14">IF(SUM(C34,C41,C48)=0,"NO",SUM(C34,C41,C48))</f>
        <v>1748608.8769800004</v>
      </c>
      <c r="D26" s="3082" t="s">
        <v>1814</v>
      </c>
      <c r="E26" s="3086">
        <f t="shared" ref="E26:E30" si="15">IFERROR(H26*1000/$C26,"NA")</f>
        <v>91.010372729815401</v>
      </c>
      <c r="F26" s="1913">
        <f t="shared" si="13"/>
        <v>0.66740285369507901</v>
      </c>
      <c r="G26" s="1913">
        <f t="shared" si="13"/>
        <v>0.95205291084645582</v>
      </c>
      <c r="H26" s="3086">
        <f t="shared" ref="H26:K30" si="16">IF(SUM(H34,H41,H48)=0,"NO",SUM(H34,H41,H48))</f>
        <v>159141.54565261377</v>
      </c>
      <c r="I26" s="3086">
        <f t="shared" si="16"/>
        <v>1.1670265544929996</v>
      </c>
      <c r="J26" s="3086">
        <f t="shared" si="16"/>
        <v>1.6647681712607616</v>
      </c>
      <c r="K26" s="3069" t="str">
        <f t="shared" si="16"/>
        <v>NO</v>
      </c>
      <c r="L26" s="19"/>
    </row>
    <row r="27" spans="2:12" ht="18" customHeight="1" x14ac:dyDescent="0.2">
      <c r="B27" s="160" t="s">
        <v>134</v>
      </c>
      <c r="C27" s="3086">
        <f t="shared" si="14"/>
        <v>196470</v>
      </c>
      <c r="D27" s="3082" t="s">
        <v>1814</v>
      </c>
      <c r="E27" s="3086">
        <f t="shared" si="15"/>
        <v>51.571350809284169</v>
      </c>
      <c r="F27" s="1913">
        <f t="shared" si="13"/>
        <v>9.9717652937991907</v>
      </c>
      <c r="G27" s="1913">
        <f t="shared" si="13"/>
        <v>0.90909090909090895</v>
      </c>
      <c r="H27" s="3086">
        <f t="shared" si="16"/>
        <v>10132.223293500059</v>
      </c>
      <c r="I27" s="3086">
        <f t="shared" si="16"/>
        <v>1.9591527272727272</v>
      </c>
      <c r="J27" s="3086">
        <f t="shared" si="16"/>
        <v>0.17860909090909088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15263.675681110701</v>
      </c>
      <c r="D30" s="3082" t="s">
        <v>1814</v>
      </c>
      <c r="E30" s="3086">
        <f t="shared" si="15"/>
        <v>94.999999999999986</v>
      </c>
      <c r="F30" s="1913">
        <f t="shared" si="13"/>
        <v>10.476190476190476</v>
      </c>
      <c r="G30" s="1913">
        <f t="shared" si="13"/>
        <v>6.6666666666666652</v>
      </c>
      <c r="H30" s="3086">
        <f t="shared" si="16"/>
        <v>1450.0491897055165</v>
      </c>
      <c r="I30" s="3086">
        <f t="shared" si="16"/>
        <v>0.15990517380211211</v>
      </c>
      <c r="J30" s="3086">
        <f t="shared" si="16"/>
        <v>0.10175783787407131</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1990126.4417120826</v>
      </c>
      <c r="D32" s="3077" t="s">
        <v>1814</v>
      </c>
      <c r="E32" s="1914"/>
      <c r="F32" s="1914"/>
      <c r="G32" s="1914"/>
      <c r="H32" s="3086">
        <f>IF(SUM(H33:H37)=0,"NO",SUM(H33:H37))</f>
        <v>171374.29805800589</v>
      </c>
      <c r="I32" s="3086">
        <f t="shared" ref="I32" si="17">IF(SUM(I33:I38)=0,"NO",SUM(I33:I38))</f>
        <v>3.3891471292379785</v>
      </c>
      <c r="J32" s="3086">
        <f t="shared" ref="J32" si="18">IF(SUM(J33:J38)=0,"NO",SUM(J33:J38))</f>
        <v>1.9567241459169882</v>
      </c>
      <c r="K32" s="3069" t="str">
        <f t="shared" ref="K32" si="19">IF(SUM(K33:K38)=0,"NO",SUM(K33:K38))</f>
        <v>NO</v>
      </c>
      <c r="L32" s="19"/>
    </row>
    <row r="33" spans="2:12" ht="18" customHeight="1" x14ac:dyDescent="0.2">
      <c r="B33" s="160" t="s">
        <v>132</v>
      </c>
      <c r="C33" s="3033">
        <v>29783.8890509716</v>
      </c>
      <c r="D33" s="3077" t="s">
        <v>1814</v>
      </c>
      <c r="E33" s="1913">
        <f>IFERROR(H33*1000/$C33,"NA")</f>
        <v>70.525682804460644</v>
      </c>
      <c r="F33" s="1913">
        <f t="shared" ref="F33:G38" si="20">IFERROR(I33*1000000/$C33,"NA")</f>
        <v>3.4603497714405203</v>
      </c>
      <c r="G33" s="1913">
        <f t="shared" si="20"/>
        <v>0.38910452067663082</v>
      </c>
      <c r="H33" s="3033">
        <v>2100.5291118920713</v>
      </c>
      <c r="I33" s="3033">
        <v>0.1030626736701394</v>
      </c>
      <c r="J33" s="3033">
        <v>1.1589045873064257E-2</v>
      </c>
      <c r="K33" s="3072" t="s">
        <v>2146</v>
      </c>
      <c r="L33" s="19"/>
    </row>
    <row r="34" spans="2:12" ht="18" customHeight="1" x14ac:dyDescent="0.2">
      <c r="B34" s="160" t="s">
        <v>133</v>
      </c>
      <c r="C34" s="3033">
        <v>1748608.8769800004</v>
      </c>
      <c r="D34" s="3077" t="s">
        <v>1814</v>
      </c>
      <c r="E34" s="1913">
        <f t="shared" ref="E34:E38" si="21">IFERROR(H34*1000/$C34,"NA")</f>
        <v>91.010372729815401</v>
      </c>
      <c r="F34" s="1913">
        <f t="shared" si="20"/>
        <v>0.66740285369507901</v>
      </c>
      <c r="G34" s="1913">
        <f t="shared" si="20"/>
        <v>0.95205291084645582</v>
      </c>
      <c r="H34" s="3033">
        <v>159141.54565261377</v>
      </c>
      <c r="I34" s="3033">
        <v>1.1670265544929996</v>
      </c>
      <c r="J34" s="3033">
        <v>1.6647681712607616</v>
      </c>
      <c r="K34" s="3072" t="s">
        <v>2146</v>
      </c>
      <c r="L34" s="19"/>
    </row>
    <row r="35" spans="2:12" ht="18" customHeight="1" x14ac:dyDescent="0.2">
      <c r="B35" s="160" t="s">
        <v>134</v>
      </c>
      <c r="C35" s="3033">
        <v>196470</v>
      </c>
      <c r="D35" s="3077" t="s">
        <v>1814</v>
      </c>
      <c r="E35" s="1913">
        <f t="shared" si="21"/>
        <v>51.571350809284169</v>
      </c>
      <c r="F35" s="1913">
        <f t="shared" si="20"/>
        <v>9.9717652937991907</v>
      </c>
      <c r="G35" s="1913">
        <f t="shared" si="20"/>
        <v>0.90909090909090895</v>
      </c>
      <c r="H35" s="3033">
        <v>10132.223293500059</v>
      </c>
      <c r="I35" s="3033">
        <v>1.9591527272727272</v>
      </c>
      <c r="J35" s="3033">
        <v>0.17860909090909088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15263.675681110701</v>
      </c>
      <c r="D38" s="3077" t="s">
        <v>1814</v>
      </c>
      <c r="E38" s="1913">
        <f t="shared" si="21"/>
        <v>94.999999999999986</v>
      </c>
      <c r="F38" s="1913">
        <f t="shared" si="20"/>
        <v>10.476190476190476</v>
      </c>
      <c r="G38" s="1913">
        <f t="shared" si="20"/>
        <v>6.6666666666666652</v>
      </c>
      <c r="H38" s="3033">
        <v>1450.0491897055165</v>
      </c>
      <c r="I38" s="3033">
        <v>0.15990517380211211</v>
      </c>
      <c r="J38" s="3033">
        <v>0.10175783787407131</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107545.19999999988</v>
      </c>
      <c r="D53" s="3077" t="s">
        <v>1814</v>
      </c>
      <c r="E53" s="628"/>
      <c r="F53" s="628"/>
      <c r="G53" s="628"/>
      <c r="H53" s="3086">
        <f>IF(SUM(H54:H58)=0,"NO",SUM(H54:H58))</f>
        <v>6782.5994809132626</v>
      </c>
      <c r="I53" s="3086">
        <f t="shared" ref="I53:K53" si="28">IF(SUM(I54:I59)=0,"NO",SUM(I54:I59))</f>
        <v>7.6620844259740181E-2</v>
      </c>
      <c r="J53" s="3086">
        <f t="shared" si="28"/>
        <v>5.5876687328138476E-2</v>
      </c>
      <c r="K53" s="3069" t="str">
        <f t="shared" si="28"/>
        <v>NO</v>
      </c>
      <c r="L53" s="19"/>
    </row>
    <row r="54" spans="2:12" ht="18" customHeight="1" x14ac:dyDescent="0.2">
      <c r="B54" s="160" t="s">
        <v>132</v>
      </c>
      <c r="C54" s="3033">
        <v>92945.199999999895</v>
      </c>
      <c r="D54" s="3077" t="s">
        <v>1814</v>
      </c>
      <c r="E54" s="1913">
        <f>IFERROR(H54*1000/$C54,"NA")</f>
        <v>64.898300000000006</v>
      </c>
      <c r="F54" s="1913">
        <f t="shared" ref="F54:G59" si="29">IFERROR(I54*1000000/$C54,"NA")</f>
        <v>0.66285714285714303</v>
      </c>
      <c r="G54" s="1913">
        <f t="shared" si="29"/>
        <v>0.53447619047619055</v>
      </c>
      <c r="H54" s="3033">
        <v>6031.9854731599944</v>
      </c>
      <c r="I54" s="3033">
        <v>6.1609389714285659E-2</v>
      </c>
      <c r="J54" s="3033">
        <v>4.9676996419047575E-2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14599.999999999985</v>
      </c>
      <c r="D56" s="3077" t="s">
        <v>1814</v>
      </c>
      <c r="E56" s="1913">
        <f t="shared" si="30"/>
        <v>51.411918339265007</v>
      </c>
      <c r="F56" s="1913">
        <f t="shared" si="29"/>
        <v>1.0281818181818179</v>
      </c>
      <c r="G56" s="1913">
        <f t="shared" si="29"/>
        <v>0.42463636363636359</v>
      </c>
      <c r="H56" s="3033">
        <v>750.61400775326831</v>
      </c>
      <c r="I56" s="3033">
        <v>1.5011454545454526E-2</v>
      </c>
      <c r="J56" s="3033">
        <v>6.1996909090909023E-3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188177.25586367559</v>
      </c>
      <c r="D60" s="3077" t="s">
        <v>1814</v>
      </c>
      <c r="E60" s="628"/>
      <c r="F60" s="628"/>
      <c r="G60" s="628"/>
      <c r="H60" s="3086">
        <f>IF(SUM(H61:H65)=0,"NO",SUM(H61:H65))</f>
        <v>10647.269525142023</v>
      </c>
      <c r="I60" s="3086">
        <f t="shared" ref="I60:K60" si="31">IF(SUM(I61:I66)=0,"NO",SUM(I61:I66))</f>
        <v>5.7856727601444726</v>
      </c>
      <c r="J60" s="3086">
        <f t="shared" si="31"/>
        <v>0.21982391478562124</v>
      </c>
      <c r="K60" s="3069" t="str">
        <f t="shared" si="31"/>
        <v>NO</v>
      </c>
      <c r="L60" s="19"/>
    </row>
    <row r="61" spans="2:12" ht="18" customHeight="1" x14ac:dyDescent="0.2">
      <c r="B61" s="160" t="s">
        <v>132</v>
      </c>
      <c r="C61" s="3074">
        <f>IF(SUM(C69,C76,C83)=0,"NO",SUM(C69,C76,C83))</f>
        <v>22480.600000000006</v>
      </c>
      <c r="D61" s="3077" t="s">
        <v>1814</v>
      </c>
      <c r="E61" s="1913">
        <f>IFERROR(H61*1000/$C61,"NA")</f>
        <v>69.962316842077158</v>
      </c>
      <c r="F61" s="1913">
        <f t="shared" ref="F61:G66" si="32">IFERROR(I61*1000000/$C61,"NA")</f>
        <v>3.4471608418106912</v>
      </c>
      <c r="G61" s="1913">
        <f t="shared" si="32"/>
        <v>3.3469371998303319</v>
      </c>
      <c r="H61" s="3074">
        <f>IF(SUM(H69,H76,H83)=0,"NO",SUM(H69,H76,H83))</f>
        <v>1572.7948600000002</v>
      </c>
      <c r="I61" s="3074">
        <f>IF(SUM(I69,I76,I83)=0,"NO",SUM(I69,I76,I83))</f>
        <v>7.7494244020409442E-2</v>
      </c>
      <c r="J61" s="3074">
        <f>IF(SUM(J69,J76,J83)=0,"NO",SUM(J69,J76,J83))</f>
        <v>7.524115641450578E-2</v>
      </c>
      <c r="K61" s="3088" t="str">
        <f>IF(SUM(K69,K76,K83)=0,"NO",SUM(K69,K76,K83))</f>
        <v>NO</v>
      </c>
    </row>
    <row r="62" spans="2:12" ht="18" customHeight="1" x14ac:dyDescent="0.2">
      <c r="B62" s="160" t="s">
        <v>133</v>
      </c>
      <c r="C62" s="3074">
        <f t="shared" ref="C62:C66" si="33">IF(SUM(C70,C77,C84)=0,"NO",SUM(C70,C77,C84))</f>
        <v>19415.489850956314</v>
      </c>
      <c r="D62" s="3077" t="s">
        <v>1814</v>
      </c>
      <c r="E62" s="1913">
        <f t="shared" ref="E62:E66" si="34">IFERROR(H62*1000/$C62,"NA")</f>
        <v>80.032969317387355</v>
      </c>
      <c r="F62" s="1913">
        <f t="shared" si="32"/>
        <v>0.96033859507933916</v>
      </c>
      <c r="G62" s="1913">
        <f t="shared" si="32"/>
        <v>0.76812978552541411</v>
      </c>
      <c r="H62" s="3074">
        <f t="shared" ref="H62:K66" si="35">IF(SUM(H70,H77,H84)=0,"NO",SUM(H70,H77,H84))</f>
        <v>1553.8793035236322</v>
      </c>
      <c r="I62" s="3074">
        <f t="shared" si="35"/>
        <v>1.8645444246244557E-2</v>
      </c>
      <c r="J62" s="3074">
        <f t="shared" si="35"/>
        <v>1.4913616055085928E-2</v>
      </c>
      <c r="K62" s="3088" t="str">
        <f t="shared" si="35"/>
        <v>NO</v>
      </c>
    </row>
    <row r="63" spans="2:12" ht="18" customHeight="1" x14ac:dyDescent="0.2">
      <c r="B63" s="160" t="s">
        <v>134</v>
      </c>
      <c r="C63" s="3074">
        <f t="shared" si="33"/>
        <v>146281.16601271927</v>
      </c>
      <c r="D63" s="3077" t="s">
        <v>1814</v>
      </c>
      <c r="E63" s="1913">
        <f t="shared" si="34"/>
        <v>51.411918339265007</v>
      </c>
      <c r="F63" s="1913">
        <f t="shared" si="32"/>
        <v>38.894501780106872</v>
      </c>
      <c r="G63" s="1913">
        <f t="shared" si="32"/>
        <v>0.88643771341523703</v>
      </c>
      <c r="H63" s="3074">
        <f t="shared" si="35"/>
        <v>7520.5953616183915</v>
      </c>
      <c r="I63" s="3074">
        <f t="shared" si="35"/>
        <v>5.6895330718778183</v>
      </c>
      <c r="J63" s="3074">
        <f t="shared" si="35"/>
        <v>0.12966914231602955</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20493.089850956312</v>
      </c>
      <c r="D68" s="3077" t="s">
        <v>1814</v>
      </c>
      <c r="E68" s="628"/>
      <c r="F68" s="628"/>
      <c r="G68" s="628"/>
      <c r="H68" s="3086">
        <f>IF(SUM(H69:H73)=0,"NO",SUM(H69:H73))</f>
        <v>1633.1906635236321</v>
      </c>
      <c r="I68" s="3086">
        <f t="shared" ref="I68:K68" si="36">IF(SUM(I69:I74)=0,"NO",SUM(I69:I74))</f>
        <v>2.082116996053027E-2</v>
      </c>
      <c r="J68" s="3086">
        <f t="shared" si="36"/>
        <v>1.5469862912228785E-2</v>
      </c>
      <c r="K68" s="3069" t="str">
        <f t="shared" si="36"/>
        <v>NO</v>
      </c>
    </row>
    <row r="69" spans="2:11" ht="18" customHeight="1" x14ac:dyDescent="0.2">
      <c r="B69" s="282" t="s">
        <v>132</v>
      </c>
      <c r="C69" s="3033">
        <v>1077.5999999999999</v>
      </c>
      <c r="D69" s="3076" t="s">
        <v>1814</v>
      </c>
      <c r="E69" s="1913">
        <f>IFERROR(H69*1000/$C69,"NA")</f>
        <v>73.600000000000009</v>
      </c>
      <c r="F69" s="1913">
        <f t="shared" ref="F69:G74" si="37">IFERROR(I69*1000000/$C69,"NA")</f>
        <v>2.0190476190476194</v>
      </c>
      <c r="G69" s="1913">
        <f t="shared" si="37"/>
        <v>0.5161904761904762</v>
      </c>
      <c r="H69" s="3033">
        <v>79.311359999999993</v>
      </c>
      <c r="I69" s="3033">
        <v>2.1757257142857142E-3</v>
      </c>
      <c r="J69" s="3033">
        <v>5.5624685714285717E-4</v>
      </c>
      <c r="K69" s="3072" t="s">
        <v>2146</v>
      </c>
    </row>
    <row r="70" spans="2:11" ht="18" customHeight="1" x14ac:dyDescent="0.2">
      <c r="B70" s="282" t="s">
        <v>133</v>
      </c>
      <c r="C70" s="3033">
        <v>19415.489850956314</v>
      </c>
      <c r="D70" s="3076" t="s">
        <v>1814</v>
      </c>
      <c r="E70" s="1913">
        <f t="shared" ref="E70:E74" si="38">IFERROR(H70*1000/$C70,"NA")</f>
        <v>80.032969317387355</v>
      </c>
      <c r="F70" s="1913">
        <f t="shared" si="37"/>
        <v>0.96033859507933916</v>
      </c>
      <c r="G70" s="1913">
        <f t="shared" si="37"/>
        <v>0.76812978552541411</v>
      </c>
      <c r="H70" s="3033">
        <v>1553.8793035236322</v>
      </c>
      <c r="I70" s="3033">
        <v>1.8645444246244557E-2</v>
      </c>
      <c r="J70" s="3033">
        <v>1.4913616055085928E-2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137563.95374856834</v>
      </c>
      <c r="D75" s="3077" t="s">
        <v>1814</v>
      </c>
      <c r="E75" s="628"/>
      <c r="F75" s="628"/>
      <c r="G75" s="628"/>
      <c r="H75" s="3086">
        <f>IF(SUM(H76:H80)=0,"NO",SUM(H76:H80))</f>
        <v>7089.0956257199705</v>
      </c>
      <c r="I75" s="3086">
        <f t="shared" ref="I75:K75" si="39">IF(SUM(I76:I81)=0,"NO",SUM(I76:I81))</f>
        <v>5.6584153616373358</v>
      </c>
      <c r="J75" s="3086">
        <f t="shared" si="39"/>
        <v>0.12263316639758544</v>
      </c>
      <c r="K75" s="3069" t="str">
        <f t="shared" si="39"/>
        <v>NO</v>
      </c>
    </row>
    <row r="76" spans="2:11" ht="18" customHeight="1" x14ac:dyDescent="0.2">
      <c r="B76" s="282" t="s">
        <v>132</v>
      </c>
      <c r="C76" s="3033">
        <v>1043.0000000000002</v>
      </c>
      <c r="D76" s="3076" t="s">
        <v>1814</v>
      </c>
      <c r="E76" s="1913">
        <f>IFERROR(H76*1000/$C76,"NA")</f>
        <v>67.393576222435271</v>
      </c>
      <c r="F76" s="1913">
        <f t="shared" ref="F76:G81" si="40">IFERROR(I76*1000000/$C76,"NA")</f>
        <v>2.1519365891024562</v>
      </c>
      <c r="G76" s="1913">
        <f t="shared" si="40"/>
        <v>1.761212197212964</v>
      </c>
      <c r="H76" s="3033">
        <v>70.291499999999999</v>
      </c>
      <c r="I76" s="3033">
        <v>2.2444698624338624E-3</v>
      </c>
      <c r="J76" s="3033">
        <v>1.8369443216931219E-3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136520.95374856834</v>
      </c>
      <c r="D78" s="3076" t="s">
        <v>1814</v>
      </c>
      <c r="E78" s="1913">
        <f t="shared" si="41"/>
        <v>51.411918339265007</v>
      </c>
      <c r="F78" s="1913">
        <f t="shared" si="40"/>
        <v>41.430789461022329</v>
      </c>
      <c r="G78" s="1913">
        <f t="shared" si="40"/>
        <v>0.88481818181818173</v>
      </c>
      <c r="H78" s="3033">
        <v>7018.8041257199702</v>
      </c>
      <c r="I78" s="3033">
        <v>5.6561708917749023</v>
      </c>
      <c r="J78" s="3033">
        <v>0.12079622207589231</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30120.212264150949</v>
      </c>
      <c r="D82" s="3077" t="s">
        <v>1814</v>
      </c>
      <c r="E82" s="628"/>
      <c r="F82" s="628"/>
      <c r="G82" s="628"/>
      <c r="H82" s="3086">
        <f>IF(SUM(H83:H87)=0,"NO",SUM(H83:H87))</f>
        <v>1924.9832358984213</v>
      </c>
      <c r="I82" s="3086">
        <f t="shared" ref="I82:K82" si="42">IF(SUM(I83:I88)=0,"NO",SUM(I83:I88))</f>
        <v>0.10643622854660582</v>
      </c>
      <c r="J82" s="3086">
        <f t="shared" si="42"/>
        <v>8.1720885475807026E-2</v>
      </c>
      <c r="K82" s="3069" t="str">
        <f t="shared" si="42"/>
        <v>NO</v>
      </c>
    </row>
    <row r="83" spans="2:11" ht="18" customHeight="1" x14ac:dyDescent="0.2">
      <c r="B83" s="282" t="s">
        <v>132</v>
      </c>
      <c r="C83" s="3033">
        <v>20360.000000000004</v>
      </c>
      <c r="D83" s="3076" t="s">
        <v>1814</v>
      </c>
      <c r="E83" s="1913">
        <f>IFERROR(H83*1000/$C83,"NA")</f>
        <v>69.901375245579572</v>
      </c>
      <c r="F83" s="1913">
        <f t="shared" ref="F83:G88" si="43">IFERROR(I83*1000000/$C83,"NA")</f>
        <v>3.589098646546653</v>
      </c>
      <c r="G83" s="1913">
        <f t="shared" si="43"/>
        <v>3.5779943632450784</v>
      </c>
      <c r="H83" s="3033">
        <v>1423.1920000000002</v>
      </c>
      <c r="I83" s="3033">
        <v>7.3074048443689865E-2</v>
      </c>
      <c r="J83" s="3033">
        <v>7.2847965235669804E-2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9760.2122641509432</v>
      </c>
      <c r="D85" s="3076" t="s">
        <v>1814</v>
      </c>
      <c r="E85" s="1913">
        <f t="shared" si="44"/>
        <v>51.411918339265007</v>
      </c>
      <c r="F85" s="1913">
        <f t="shared" si="43"/>
        <v>3.4181818181818193</v>
      </c>
      <c r="G85" s="1913">
        <f t="shared" si="43"/>
        <v>0.90909090909090939</v>
      </c>
      <c r="H85" s="3033">
        <v>501.79123589842112</v>
      </c>
      <c r="I85" s="3033">
        <v>3.3362180102915959E-2</v>
      </c>
      <c r="J85" s="3033">
        <v>8.8729202401372238E-3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29357148.152642451</v>
      </c>
      <c r="G10" s="3657" t="s">
        <v>2147</v>
      </c>
      <c r="H10" s="3658">
        <f t="shared" ref="H10:H13" si="0">IF(SUM($F10)=0,"NA",K10*1000/$F10)</f>
        <v>1.9660624174635544E-2</v>
      </c>
      <c r="I10" s="3659">
        <f t="shared" ref="I10:I13" si="1">IF(SUM($F10)=0,"NA",L10*1000/$F10)</f>
        <v>4.763123345347976E-4</v>
      </c>
      <c r="J10" s="3499" t="str">
        <f>IF(SUM(J11,J25,J36,J48,J59,J70,J76)=0,"IE",SUM(J11,J25,J36,J48,J59,J70,J76))</f>
        <v>IE</v>
      </c>
      <c r="K10" s="3500">
        <f>IF(SUM(K11,K25,K36,K48,K59,K70,K76)=0,"NO",SUM(K11,K25,K36,K48,K59,K70,K76))</f>
        <v>577.17985666819936</v>
      </c>
      <c r="L10" s="3501">
        <f>IF(SUM(L11,L25,L36,L48,L59,L70,L76)=0,"NO",SUM(L11,L25,L36,L48,L59,L70,L76))</f>
        <v>13.983171771869047</v>
      </c>
    </row>
    <row r="11" spans="2:13" ht="18" customHeight="1" x14ac:dyDescent="0.2">
      <c r="B11" s="933" t="s">
        <v>1985</v>
      </c>
      <c r="C11" s="934"/>
      <c r="D11" s="2850"/>
      <c r="E11" s="2854" t="s">
        <v>2250</v>
      </c>
      <c r="F11" s="3679">
        <f>IF(SUM(F12,F19)=0,"NO",SUM(F12,F19))</f>
        <v>4599769.4139841786</v>
      </c>
      <c r="G11" s="3660" t="s">
        <v>2147</v>
      </c>
      <c r="H11" s="3661">
        <f t="shared" si="0"/>
        <v>4.4281042723038747E-2</v>
      </c>
      <c r="I11" s="3662">
        <f t="shared" si="1"/>
        <v>7.9003319697378178E-4</v>
      </c>
      <c r="J11" s="3502" t="str">
        <f>IF(SUM(J12,J19)=0,"IE",SUM(J12,J19))</f>
        <v>IE</v>
      </c>
      <c r="K11" s="3503">
        <f>IF(SUM(K12,K19)=0,"NO",SUM(K12,K19))</f>
        <v>203.68258593676029</v>
      </c>
      <c r="L11" s="3504">
        <f>IF(SUM(L12,L19)=0,"NO",SUM(L12,L19))</f>
        <v>3.6339705354721397</v>
      </c>
      <c r="M11" s="482"/>
    </row>
    <row r="12" spans="2:13" ht="18" customHeight="1" x14ac:dyDescent="0.2">
      <c r="B12" s="903" t="s">
        <v>1912</v>
      </c>
      <c r="C12" s="476"/>
      <c r="D12" s="298"/>
      <c r="E12" s="2852" t="s">
        <v>2250</v>
      </c>
      <c r="F12" s="3680">
        <f>IF(SUM(F13,F17)=0,"NO",SUM(F13,F17))</f>
        <v>4578799.8203046722</v>
      </c>
      <c r="G12" s="3663" t="str">
        <f>IFERROR(IF(SUM($F12)=0,"NA",J12*1000/$F12),"NA")</f>
        <v>NA</v>
      </c>
      <c r="H12" s="3664">
        <f t="shared" si="0"/>
        <v>4.4157220261034816E-2</v>
      </c>
      <c r="I12" s="3665">
        <f t="shared" si="1"/>
        <v>7.8866539428539624E-4</v>
      </c>
      <c r="J12" s="3505" t="str">
        <f>IF(SUM(J13,J17)=0,"IE",SUM(J13,J17))</f>
        <v>IE</v>
      </c>
      <c r="K12" s="3506">
        <f>IF(SUM(K13,K17)=0,"NO",SUM(K13,K17))</f>
        <v>202.18707219638006</v>
      </c>
      <c r="L12" s="3507">
        <f>IF(SUM(L13,L17)=0,"NO",SUM(L13,L17))</f>
        <v>3.6111409656344859</v>
      </c>
    </row>
    <row r="13" spans="2:13" ht="18" customHeight="1" x14ac:dyDescent="0.2">
      <c r="B13" s="923" t="s">
        <v>1270</v>
      </c>
      <c r="C13" s="476"/>
      <c r="D13" s="298"/>
      <c r="E13" s="2852" t="s">
        <v>2250</v>
      </c>
      <c r="F13" s="3681">
        <f>IF(SUM(F14:F16)=0,"NO",SUM(F14:F16))</f>
        <v>4410346.1628943346</v>
      </c>
      <c r="G13" s="3666" t="str">
        <f t="shared" ref="G13:G76" si="2">IFERROR(IF(SUM($F13)=0,"NA",J13*1000/$F13),"NA")</f>
        <v>NA</v>
      </c>
      <c r="H13" s="3667">
        <f t="shared" si="0"/>
        <v>3.8999762340114472E-2</v>
      </c>
      <c r="I13" s="3668">
        <f t="shared" si="1"/>
        <v>7.5377558280523846E-4</v>
      </c>
      <c r="J13" s="3505" t="str">
        <f>IF(SUM(J14:J16)=0,"IE",SUM(J14:J16))</f>
        <v>IE</v>
      </c>
      <c r="K13" s="3505">
        <f>IF(SUM(K14:K16)=0,"NO",SUM(K14:K16))</f>
        <v>172.00245219051482</v>
      </c>
      <c r="L13" s="3508">
        <f>IF(SUM(L14:L16)=0,"NO",SUM(L14:L16))</f>
        <v>3.3244112493085245</v>
      </c>
      <c r="M13" s="482"/>
    </row>
    <row r="14" spans="2:13" ht="24" x14ac:dyDescent="0.2">
      <c r="B14" s="923"/>
      <c r="C14" s="4367" t="s">
        <v>2247</v>
      </c>
      <c r="D14" s="542" t="s">
        <v>940</v>
      </c>
      <c r="E14" s="2851" t="s">
        <v>2250</v>
      </c>
      <c r="F14" s="3654">
        <v>181166.13968876441</v>
      </c>
      <c r="G14" s="3666" t="str">
        <f t="shared" si="2"/>
        <v>NA</v>
      </c>
      <c r="H14" s="3667">
        <f>IF(SUM($F14)=0,"NA",K14*1000/$F14)</f>
        <v>0.14553693531709785</v>
      </c>
      <c r="I14" s="3668">
        <f>IF(SUM($F14)=0,"NA",L14*1000/$F14)</f>
        <v>1.6107900272857871E-3</v>
      </c>
      <c r="J14" s="3509" t="s">
        <v>2153</v>
      </c>
      <c r="K14" s="3510">
        <v>26.366364753532018</v>
      </c>
      <c r="L14" s="3511">
        <v>0.29182061109252555</v>
      </c>
      <c r="M14" s="482"/>
    </row>
    <row r="15" spans="2:13" ht="18" customHeight="1" x14ac:dyDescent="0.2">
      <c r="B15" s="923"/>
      <c r="C15" s="4367" t="s">
        <v>2248</v>
      </c>
      <c r="D15" s="542" t="s">
        <v>940</v>
      </c>
      <c r="E15" s="543" t="s">
        <v>2250</v>
      </c>
      <c r="F15" s="3655">
        <v>67327.450757403771</v>
      </c>
      <c r="G15" s="3666" t="str">
        <f t="shared" si="2"/>
        <v>NA</v>
      </c>
      <c r="H15" s="3667">
        <f t="shared" ref="H15:H77" si="3">IF(SUM($F15)=0,"NA",K15*1000/$F15)</f>
        <v>0.24869768348734111</v>
      </c>
      <c r="I15" s="3668">
        <f t="shared" ref="I15:I77" si="4">IF(SUM($F15)=0,"NA",L15*1000/$F15)</f>
        <v>4.5974530100229309E-3</v>
      </c>
      <c r="J15" s="3509" t="s">
        <v>2153</v>
      </c>
      <c r="K15" s="3510">
        <v>16.744181038474348</v>
      </c>
      <c r="L15" s="3512">
        <v>0.30953479114179661</v>
      </c>
      <c r="M15" s="482"/>
    </row>
    <row r="16" spans="2:13" ht="18" customHeight="1" x14ac:dyDescent="0.2">
      <c r="B16" s="923"/>
      <c r="C16" s="4367" t="s">
        <v>2263</v>
      </c>
      <c r="D16" s="542" t="s">
        <v>940</v>
      </c>
      <c r="E16" s="543" t="s">
        <v>2250</v>
      </c>
      <c r="F16" s="3655">
        <v>4161852.5724481661</v>
      </c>
      <c r="G16" s="3666" t="str">
        <f t="shared" si="2"/>
        <v>NA</v>
      </c>
      <c r="H16" s="3667">
        <f t="shared" si="3"/>
        <v>3.0969839549767893E-2</v>
      </c>
      <c r="I16" s="3668">
        <f t="shared" si="4"/>
        <v>6.5428935784536766E-4</v>
      </c>
      <c r="J16" s="3509" t="s">
        <v>2153</v>
      </c>
      <c r="K16" s="3510">
        <v>128.89190639850847</v>
      </c>
      <c r="L16" s="3512">
        <v>2.7230558470742023</v>
      </c>
      <c r="M16" s="482"/>
    </row>
    <row r="17" spans="2:13" ht="18" customHeight="1" x14ac:dyDescent="0.2">
      <c r="B17" s="923" t="s">
        <v>1271</v>
      </c>
      <c r="C17" s="4368"/>
      <c r="D17" s="298"/>
      <c r="E17" s="5" t="s">
        <v>2250</v>
      </c>
      <c r="F17" s="3681">
        <f>F18</f>
        <v>168453.65741033742</v>
      </c>
      <c r="G17" s="3666" t="str">
        <f t="shared" si="2"/>
        <v>NA</v>
      </c>
      <c r="H17" s="3667">
        <f t="shared" si="3"/>
        <v>0.17918649241517107</v>
      </c>
      <c r="I17" s="3668">
        <f t="shared" si="4"/>
        <v>1.7021281742046995E-3</v>
      </c>
      <c r="J17" s="3505" t="str">
        <f>J18</f>
        <v>IE</v>
      </c>
      <c r="K17" s="3505">
        <f>K18</f>
        <v>30.184620005865249</v>
      </c>
      <c r="L17" s="3508">
        <f>L18</f>
        <v>0.28672971632596161</v>
      </c>
      <c r="M17" s="482"/>
    </row>
    <row r="18" spans="2:13" ht="18" customHeight="1" x14ac:dyDescent="0.2">
      <c r="B18" s="923"/>
      <c r="C18" s="4367" t="s">
        <v>2249</v>
      </c>
      <c r="D18" s="542" t="s">
        <v>940</v>
      </c>
      <c r="E18" s="543" t="s">
        <v>2250</v>
      </c>
      <c r="F18" s="3654">
        <v>168453.65741033742</v>
      </c>
      <c r="G18" s="3666" t="str">
        <f t="shared" si="2"/>
        <v>NA</v>
      </c>
      <c r="H18" s="3667">
        <f t="shared" si="3"/>
        <v>0.17918649241517107</v>
      </c>
      <c r="I18" s="3668">
        <f t="shared" si="4"/>
        <v>1.7021281742046995E-3</v>
      </c>
      <c r="J18" s="3509" t="s">
        <v>2153</v>
      </c>
      <c r="K18" s="3510">
        <v>30.184620005865249</v>
      </c>
      <c r="L18" s="3511">
        <v>0.28672971632596161</v>
      </c>
      <c r="M18" s="482"/>
    </row>
    <row r="19" spans="2:13" ht="18" customHeight="1" x14ac:dyDescent="0.2">
      <c r="B19" s="903" t="s">
        <v>1272</v>
      </c>
      <c r="C19" s="4368"/>
      <c r="D19" s="298"/>
      <c r="E19" s="5" t="s">
        <v>2250</v>
      </c>
      <c r="F19" s="3682">
        <f>IF(SUM(F20,F23)=0,"NO",SUM(F20,F23))</f>
        <v>20969.593679506033</v>
      </c>
      <c r="G19" s="3663" t="s">
        <v>2147</v>
      </c>
      <c r="H19" s="3664">
        <f t="shared" si="3"/>
        <v>7.131820307237656E-2</v>
      </c>
      <c r="I19" s="3665">
        <f t="shared" si="4"/>
        <v>1.0886987219006236E-3</v>
      </c>
      <c r="J19" s="3505" t="str">
        <f>IF(SUM(J20,J23)=0,"IE",SUM(J20,J23))</f>
        <v>IE</v>
      </c>
      <c r="K19" s="3506">
        <f>IF(SUM(K20,K23)=0,"NO",SUM(K20,K23))</f>
        <v>1.4955137403802352</v>
      </c>
      <c r="L19" s="3507">
        <f>IF(SUM(L20,L23)=0,"NO",SUM(L20,L23))</f>
        <v>2.2829569837653611E-2</v>
      </c>
    </row>
    <row r="20" spans="2:13" ht="18" customHeight="1" x14ac:dyDescent="0.2">
      <c r="B20" s="923" t="s">
        <v>1273</v>
      </c>
      <c r="C20" s="4368"/>
      <c r="D20" s="298"/>
      <c r="E20" s="5" t="s">
        <v>2250</v>
      </c>
      <c r="F20" s="3681">
        <f>IF(SUM(F21:F22)=0,"NO",SUM(F21:F22))</f>
        <v>10407.386509219265</v>
      </c>
      <c r="G20" s="3666" t="str">
        <f t="shared" si="2"/>
        <v>NA</v>
      </c>
      <c r="H20" s="3667">
        <f t="shared" si="3"/>
        <v>8.990473881623072E-2</v>
      </c>
      <c r="I20" s="3668">
        <f t="shared" si="4"/>
        <v>1.6810215627467322E-3</v>
      </c>
      <c r="J20" s="3505" t="str">
        <f>IF(SUM(J21:J22)=0,"IE",SUM(J21:J22))</f>
        <v>IE</v>
      </c>
      <c r="K20" s="3505">
        <f>IF(SUM(K21:K22)=0,"NO",SUM(K21:K22))</f>
        <v>0.93567336587092109</v>
      </c>
      <c r="L20" s="3508">
        <f>IF(SUM(L21:L22)=0,"NO",SUM(L21:L22))</f>
        <v>1.7495041133837028E-2</v>
      </c>
      <c r="M20" s="482"/>
    </row>
    <row r="21" spans="2:13" ht="18" customHeight="1" x14ac:dyDescent="0.2">
      <c r="B21" s="923"/>
      <c r="C21" s="4367" t="s">
        <v>2248</v>
      </c>
      <c r="D21" s="542" t="s">
        <v>940</v>
      </c>
      <c r="E21" s="543" t="s">
        <v>2250</v>
      </c>
      <c r="F21" s="3654">
        <v>2964.0882826031711</v>
      </c>
      <c r="G21" s="3666" t="str">
        <f t="shared" si="2"/>
        <v>NA</v>
      </c>
      <c r="H21" s="3667">
        <f t="shared" si="3"/>
        <v>0.26728288572214859</v>
      </c>
      <c r="I21" s="3668">
        <f t="shared" si="4"/>
        <v>4.941021123558053E-3</v>
      </c>
      <c r="J21" s="3509" t="s">
        <v>2153</v>
      </c>
      <c r="K21" s="3510">
        <v>0.79225006970938305</v>
      </c>
      <c r="L21" s="3511">
        <v>1.464562281643318E-2</v>
      </c>
      <c r="M21" s="482"/>
    </row>
    <row r="22" spans="2:13" ht="18" customHeight="1" x14ac:dyDescent="0.2">
      <c r="B22" s="923"/>
      <c r="C22" s="4367" t="s">
        <v>2263</v>
      </c>
      <c r="D22" s="542" t="s">
        <v>940</v>
      </c>
      <c r="E22" s="543" t="s">
        <v>2250</v>
      </c>
      <c r="F22" s="3655">
        <v>7443.2982266160934</v>
      </c>
      <c r="G22" s="3666" t="str">
        <f t="shared" si="2"/>
        <v>NA</v>
      </c>
      <c r="H22" s="3667">
        <f t="shared" si="3"/>
        <v>1.9268782708272845E-2</v>
      </c>
      <c r="I22" s="3668">
        <f t="shared" si="4"/>
        <v>3.8281662653456041E-4</v>
      </c>
      <c r="J22" s="3509" t="s">
        <v>2153</v>
      </c>
      <c r="K22" s="3510">
        <v>0.14342329616153809</v>
      </c>
      <c r="L22" s="3512">
        <v>2.8494183174038491E-3</v>
      </c>
      <c r="M22" s="482"/>
    </row>
    <row r="23" spans="2:13" ht="18" customHeight="1" x14ac:dyDescent="0.2">
      <c r="B23" s="923" t="s">
        <v>1274</v>
      </c>
      <c r="C23" s="4368"/>
      <c r="D23" s="298"/>
      <c r="E23" s="5" t="s">
        <v>2250</v>
      </c>
      <c r="F23" s="3681">
        <f>F24</f>
        <v>10562.207170286769</v>
      </c>
      <c r="G23" s="3666" t="str">
        <f t="shared" si="2"/>
        <v>NA</v>
      </c>
      <c r="H23" s="3667">
        <f t="shared" si="3"/>
        <v>5.3004108467426911E-2</v>
      </c>
      <c r="I23" s="3668">
        <f t="shared" si="4"/>
        <v>5.0505813963046405E-4</v>
      </c>
      <c r="J23" s="3505" t="str">
        <f>J24</f>
        <v>IE</v>
      </c>
      <c r="K23" s="3505">
        <f>K24</f>
        <v>0.55984037450931423</v>
      </c>
      <c r="L23" s="3508">
        <f>L24</f>
        <v>5.334528703816583E-3</v>
      </c>
      <c r="M23" s="482"/>
    </row>
    <row r="24" spans="2:13" ht="18" customHeight="1" thickBot="1" x14ac:dyDescent="0.25">
      <c r="B24" s="938"/>
      <c r="C24" s="4369" t="s">
        <v>2251</v>
      </c>
      <c r="D24" s="939" t="s">
        <v>940</v>
      </c>
      <c r="E24" s="940" t="s">
        <v>2250</v>
      </c>
      <c r="F24" s="3656">
        <v>10562.207170286769</v>
      </c>
      <c r="G24" s="3669" t="str">
        <f t="shared" si="2"/>
        <v>NA</v>
      </c>
      <c r="H24" s="3670">
        <f t="shared" si="3"/>
        <v>5.3004108467426911E-2</v>
      </c>
      <c r="I24" s="3671">
        <f t="shared" si="4"/>
        <v>5.0505813963046405E-4</v>
      </c>
      <c r="J24" s="3513" t="s">
        <v>2153</v>
      </c>
      <c r="K24" s="3514">
        <v>0.55984037450931423</v>
      </c>
      <c r="L24" s="3515">
        <v>5.334528703816583E-3</v>
      </c>
      <c r="M24" s="482"/>
    </row>
    <row r="25" spans="2:13" ht="18" customHeight="1" x14ac:dyDescent="0.2">
      <c r="B25" s="933" t="s">
        <v>1986</v>
      </c>
      <c r="C25" s="4370"/>
      <c r="D25" s="2850"/>
      <c r="E25" s="935" t="s">
        <v>2250</v>
      </c>
      <c r="F25" s="3683">
        <f>IF(SUM(F26,F31)=0,"IE",SUM(F26,F31))</f>
        <v>30211</v>
      </c>
      <c r="G25" s="3660" t="str">
        <f t="shared" si="2"/>
        <v>NA</v>
      </c>
      <c r="H25" s="3661">
        <f t="shared" si="3"/>
        <v>0.15396574757538642</v>
      </c>
      <c r="I25" s="3662">
        <f t="shared" si="4"/>
        <v>2.846227916983881E-3</v>
      </c>
      <c r="J25" s="3502" t="str">
        <f>IF(SUM(J26,J31)=0,"IE",SUM(J26,J31))</f>
        <v>IE</v>
      </c>
      <c r="K25" s="3503">
        <f>IF(SUM(K26,K31)=0,"IE",SUM(K26,K31))</f>
        <v>4.6514591999999997</v>
      </c>
      <c r="L25" s="3504">
        <f>IF(SUM(L26,L31)=0,"IE",SUM(L26,L31))</f>
        <v>8.5987391600000018E-2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30211</v>
      </c>
      <c r="G31" s="3663" t="str">
        <f t="shared" si="2"/>
        <v>NA</v>
      </c>
      <c r="H31" s="3664">
        <f t="shared" si="3"/>
        <v>0.15396574757538642</v>
      </c>
      <c r="I31" s="3665">
        <f t="shared" si="4"/>
        <v>2.846227916983881E-3</v>
      </c>
      <c r="J31" s="3505" t="str">
        <f>IF(SUM(J32,J34)=0,"IE",SUM(J32,J34))</f>
        <v>IE</v>
      </c>
      <c r="K31" s="3505">
        <f t="shared" ref="K31:L31" si="6">IF(SUM(K32,K34)=0,"IE",SUM(K32,K34))</f>
        <v>4.6514591999999997</v>
      </c>
      <c r="L31" s="3508">
        <f t="shared" si="6"/>
        <v>8.5987391600000018E-2</v>
      </c>
    </row>
    <row r="32" spans="2:13" ht="18" customHeight="1" x14ac:dyDescent="0.2">
      <c r="B32" s="923" t="s">
        <v>1278</v>
      </c>
      <c r="C32" s="4368"/>
      <c r="D32" s="298"/>
      <c r="E32" s="5" t="s">
        <v>2250</v>
      </c>
      <c r="F32" s="3681">
        <f>F33</f>
        <v>30211</v>
      </c>
      <c r="G32" s="3663" t="str">
        <f t="shared" si="2"/>
        <v>NA</v>
      </c>
      <c r="H32" s="3664">
        <f t="shared" si="3"/>
        <v>0.15396574757538642</v>
      </c>
      <c r="I32" s="3665">
        <f t="shared" si="4"/>
        <v>2.846227916983881E-3</v>
      </c>
      <c r="J32" s="3505" t="str">
        <f>J33</f>
        <v>IE</v>
      </c>
      <c r="K32" s="3505">
        <f>K33</f>
        <v>4.6514591999999997</v>
      </c>
      <c r="L32" s="3508">
        <f>L33</f>
        <v>8.5987391600000018E-2</v>
      </c>
      <c r="M32" s="482"/>
    </row>
    <row r="33" spans="2:13" ht="18" customHeight="1" x14ac:dyDescent="0.2">
      <c r="B33" s="923"/>
      <c r="C33" s="4367" t="s">
        <v>2252</v>
      </c>
      <c r="D33" s="542" t="s">
        <v>940</v>
      </c>
      <c r="E33" s="543" t="s">
        <v>2250</v>
      </c>
      <c r="F33" s="3654">
        <v>30211</v>
      </c>
      <c r="G33" s="3666" t="str">
        <f t="shared" si="2"/>
        <v>NA</v>
      </c>
      <c r="H33" s="3667">
        <f t="shared" si="3"/>
        <v>0.15396574757538642</v>
      </c>
      <c r="I33" s="3668">
        <f t="shared" si="4"/>
        <v>2.846227916983881E-3</v>
      </c>
      <c r="J33" s="3509" t="s">
        <v>2153</v>
      </c>
      <c r="K33" s="3510">
        <v>4.6514591999999997</v>
      </c>
      <c r="L33" s="3511">
        <v>8.5987391600000018E-2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24101465.413913313</v>
      </c>
      <c r="G36" s="3660" t="str">
        <f t="shared" si="2"/>
        <v>NA</v>
      </c>
      <c r="H36" s="3661">
        <f t="shared" ref="H36" si="7">IF(SUM($F36)=0,"NA",K36*1000/$F36)</f>
        <v>1.4554488146053871E-2</v>
      </c>
      <c r="I36" s="3662">
        <f t="shared" ref="I36" si="8">IF(SUM($F36)=0,"NA",L36*1000/$F36)</f>
        <v>4.0931923951516665E-4</v>
      </c>
      <c r="J36" s="3502" t="str">
        <f>IF(SUM(J37,J42)=0,"IE",SUM(J37,J42))</f>
        <v>IE</v>
      </c>
      <c r="K36" s="3503">
        <f>IF(SUM(K37,K42)=0,"NO",SUM(K37,K42))</f>
        <v>350.7844926693287</v>
      </c>
      <c r="L36" s="3504">
        <f>IF(SUM(L37,L42)=0,"NO",SUM(L37,L42))</f>
        <v>9.8651934944240889</v>
      </c>
      <c r="M36" s="482"/>
    </row>
    <row r="37" spans="2:13" ht="18" customHeight="1" x14ac:dyDescent="0.2">
      <c r="B37" s="903" t="s">
        <v>1876</v>
      </c>
      <c r="C37" s="4368"/>
      <c r="D37" s="298"/>
      <c r="E37" s="5" t="s">
        <v>2250</v>
      </c>
      <c r="F37" s="3680">
        <f>IF(SUM(F38,F40)=0,"NO",SUM(F38,F40))</f>
        <v>23453094.976743169</v>
      </c>
      <c r="G37" s="3666" t="str">
        <f t="shared" si="2"/>
        <v>NA</v>
      </c>
      <c r="H37" s="3664">
        <f t="shared" si="3"/>
        <v>1.1017668626991231E-2</v>
      </c>
      <c r="I37" s="3665">
        <f t="shared" si="4"/>
        <v>3.4761431908366113E-4</v>
      </c>
      <c r="J37" s="3505" t="str">
        <f>IF(SUM(J38,J40)=0,"IE",SUM(J38,J40))</f>
        <v>IE</v>
      </c>
      <c r="K37" s="3506">
        <f>IF(SUM(K38,K40)=0,"NO",SUM(K38,K40))</f>
        <v>258.39842873110888</v>
      </c>
      <c r="L37" s="3507">
        <f>IF(SUM(L38,L40)=0,"NO",SUM(L38,L40))</f>
        <v>8.1526316407450103</v>
      </c>
    </row>
    <row r="38" spans="2:13" ht="18" customHeight="1" x14ac:dyDescent="0.2">
      <c r="B38" s="923" t="s">
        <v>1280</v>
      </c>
      <c r="C38" s="4368"/>
      <c r="D38" s="298"/>
      <c r="E38" s="5" t="s">
        <v>2250</v>
      </c>
      <c r="F38" s="3681">
        <f>F39</f>
        <v>23453094.976743169</v>
      </c>
      <c r="G38" s="3666" t="str">
        <f t="shared" si="2"/>
        <v>NA</v>
      </c>
      <c r="H38" s="3667">
        <f t="shared" si="3"/>
        <v>1.1017668626991231E-2</v>
      </c>
      <c r="I38" s="3668">
        <f t="shared" si="4"/>
        <v>3.4761431908366113E-4</v>
      </c>
      <c r="J38" s="3505" t="str">
        <f>J39</f>
        <v>IE</v>
      </c>
      <c r="K38" s="3505">
        <f>K39</f>
        <v>258.39842873110888</v>
      </c>
      <c r="L38" s="3508">
        <f>L39</f>
        <v>8.1526316407450103</v>
      </c>
      <c r="M38" s="482"/>
    </row>
    <row r="39" spans="2:13" ht="18" customHeight="1" x14ac:dyDescent="0.2">
      <c r="B39" s="923"/>
      <c r="C39" s="4367" t="s">
        <v>2263</v>
      </c>
      <c r="D39" s="542" t="s">
        <v>940</v>
      </c>
      <c r="E39" s="543" t="s">
        <v>2250</v>
      </c>
      <c r="F39" s="3655">
        <v>23453094.976743169</v>
      </c>
      <c r="G39" s="3666" t="str">
        <f t="shared" si="2"/>
        <v>NA</v>
      </c>
      <c r="H39" s="3667">
        <f t="shared" ref="H39:H40" si="9">IF(SUM($F39)=0,"NA",K39*1000/$F39)</f>
        <v>1.1017668626991231E-2</v>
      </c>
      <c r="I39" s="3668">
        <f t="shared" ref="I39:I40" si="10">IF(SUM($F39)=0,"NA",L39*1000/$F39)</f>
        <v>3.4761431908366113E-4</v>
      </c>
      <c r="J39" s="3509" t="s">
        <v>2153</v>
      </c>
      <c r="K39" s="3510">
        <v>258.39842873110888</v>
      </c>
      <c r="L39" s="3512">
        <v>8.1526316407450103</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648370.43717014464</v>
      </c>
      <c r="G42" s="3663" t="str">
        <f t="shared" si="2"/>
        <v>NA</v>
      </c>
      <c r="H42" s="3664">
        <f t="shared" si="11"/>
        <v>0.14248963037464335</v>
      </c>
      <c r="I42" s="3665">
        <f t="shared" si="12"/>
        <v>2.6413324166253884E-3</v>
      </c>
      <c r="J42" s="3505" t="str">
        <f>IF(SUM(J43,J46)=0,"IE",SUM(J43,J46))</f>
        <v>IE</v>
      </c>
      <c r="K42" s="3506">
        <f>IF(SUM(K43,K46)=0,"NO",SUM(K43,K46))</f>
        <v>92.386063938219834</v>
      </c>
      <c r="L42" s="3507">
        <f>IF(SUM(L43,L46)=0,"NO",SUM(L43,L46))</f>
        <v>1.7125618536790779</v>
      </c>
    </row>
    <row r="43" spans="2:13" ht="18" customHeight="1" x14ac:dyDescent="0.2">
      <c r="B43" s="923" t="s">
        <v>1283</v>
      </c>
      <c r="C43" s="4368"/>
      <c r="D43" s="298"/>
      <c r="E43" s="5" t="s">
        <v>2250</v>
      </c>
      <c r="F43" s="3681">
        <f>IF(SUM(F44:F45)=0,"NO",SUM(F44:F45))</f>
        <v>648370.43717014464</v>
      </c>
      <c r="G43" s="3666" t="str">
        <f t="shared" si="2"/>
        <v>NA</v>
      </c>
      <c r="H43" s="3667">
        <f t="shared" ref="H43" si="13">IF(SUM($F43)=0,"NA",K43*1000/$F43)</f>
        <v>0.14248963037464335</v>
      </c>
      <c r="I43" s="3668">
        <f t="shared" ref="I43" si="14">IF(SUM($F43)=0,"NA",L43*1000/$F43)</f>
        <v>2.6413324166253884E-3</v>
      </c>
      <c r="J43" s="3505" t="str">
        <f>IF(SUM(J44:J45)=0,"IE",SUM(J44:J45))</f>
        <v>IE</v>
      </c>
      <c r="K43" s="3505">
        <f>IF(SUM(K44:K45)=0,"NO",SUM(K44:K45))</f>
        <v>92.386063938219834</v>
      </c>
      <c r="L43" s="3508">
        <f>IF(SUM(L44:L45)=0,"NO",SUM(L44:L45))</f>
        <v>1.7125618536790779</v>
      </c>
      <c r="M43" s="482"/>
    </row>
    <row r="44" spans="2:13" ht="18" customHeight="1" x14ac:dyDescent="0.2">
      <c r="B44" s="923"/>
      <c r="C44" s="4367" t="s">
        <v>2252</v>
      </c>
      <c r="D44" s="542" t="s">
        <v>940</v>
      </c>
      <c r="E44" s="543" t="s">
        <v>2250</v>
      </c>
      <c r="F44" s="3655">
        <v>595043.01370054227</v>
      </c>
      <c r="G44" s="3666" t="str">
        <f t="shared" si="2"/>
        <v>NA</v>
      </c>
      <c r="H44" s="3667">
        <f t="shared" ref="H44:H46" si="15">IF(SUM($F44)=0,"NA",K44*1000/$F44)</f>
        <v>0.1537338984139362</v>
      </c>
      <c r="I44" s="3668">
        <f t="shared" ref="I44:I46" si="16">IF(SUM($F44)=0,"NA",L44*1000/$F44)</f>
        <v>2.8419419276242922E-3</v>
      </c>
      <c r="J44" s="3509" t="s">
        <v>2153</v>
      </c>
      <c r="K44" s="3510">
        <v>91.478282220161603</v>
      </c>
      <c r="L44" s="3512">
        <v>1.6910776893754873</v>
      </c>
      <c r="M44" s="482"/>
    </row>
    <row r="45" spans="2:13" ht="18" customHeight="1" x14ac:dyDescent="0.2">
      <c r="B45" s="923"/>
      <c r="C45" s="4367" t="s">
        <v>2263</v>
      </c>
      <c r="D45" s="542" t="s">
        <v>940</v>
      </c>
      <c r="E45" s="543" t="s">
        <v>2250</v>
      </c>
      <c r="F45" s="3655">
        <v>53327.423469602305</v>
      </c>
      <c r="G45" s="3666" t="str">
        <f t="shared" si="2"/>
        <v>NA</v>
      </c>
      <c r="H45" s="3667">
        <f t="shared" si="15"/>
        <v>1.7022793508403425E-2</v>
      </c>
      <c r="I45" s="3668">
        <f t="shared" si="16"/>
        <v>4.0287272299658239E-4</v>
      </c>
      <c r="J45" s="3509" t="s">
        <v>2153</v>
      </c>
      <c r="K45" s="3510">
        <v>0.90778171805822649</v>
      </c>
      <c r="L45" s="3512">
        <v>2.1484164303590535E-2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605976.32474495925</v>
      </c>
      <c r="G48" s="3660" t="str">
        <f t="shared" si="2"/>
        <v>NA</v>
      </c>
      <c r="H48" s="3661">
        <f t="shared" si="17"/>
        <v>2.4571203616539077E-2</v>
      </c>
      <c r="I48" s="3662">
        <f t="shared" si="18"/>
        <v>5.6006644387577036E-4</v>
      </c>
      <c r="J48" s="3502" t="str">
        <f>IF(SUM(J49,J54)=0,"IE",SUM(J49,J54))</f>
        <v>IE</v>
      </c>
      <c r="K48" s="3503">
        <f>IF(SUM(K49,K54)=0,"NO",SUM(K49,K54))</f>
        <v>14.889567662110402</v>
      </c>
      <c r="L48" s="3504">
        <f>IF(SUM(L49,L54)=0,"NO",SUM(L49,L54))</f>
        <v>0.33938700527281834</v>
      </c>
      <c r="M48" s="482"/>
    </row>
    <row r="49" spans="2:13" ht="18" customHeight="1" x14ac:dyDescent="0.2">
      <c r="B49" s="903" t="s">
        <v>1285</v>
      </c>
      <c r="C49" s="4368"/>
      <c r="D49" s="298"/>
      <c r="E49" s="5" t="s">
        <v>2250</v>
      </c>
      <c r="F49" s="3680">
        <f>IF(SUM(F50,F52)=0,"NO",SUM(F50,F52))</f>
        <v>605976.32474495925</v>
      </c>
      <c r="G49" s="3663" t="str">
        <f t="shared" si="2"/>
        <v>NA</v>
      </c>
      <c r="H49" s="3664">
        <f t="shared" si="17"/>
        <v>2.4571203616539077E-2</v>
      </c>
      <c r="I49" s="3665">
        <f t="shared" si="18"/>
        <v>5.6006644387577036E-4</v>
      </c>
      <c r="J49" s="3505" t="str">
        <f>IF(SUM(J50,J52)=0,"IE",SUM(J50,J52))</f>
        <v>IE</v>
      </c>
      <c r="K49" s="3506">
        <f>IF(SUM(K50,K52)=0,"NO",SUM(K50,K52))</f>
        <v>14.889567662110402</v>
      </c>
      <c r="L49" s="3507">
        <f>IF(SUM(L50,L52)=0,"NO",SUM(L50,L52))</f>
        <v>0.33938700527281834</v>
      </c>
    </row>
    <row r="50" spans="2:13" ht="18" customHeight="1" x14ac:dyDescent="0.2">
      <c r="B50" s="923" t="s">
        <v>1286</v>
      </c>
      <c r="C50" s="4368"/>
      <c r="D50" s="298"/>
      <c r="E50" s="5" t="s">
        <v>2250</v>
      </c>
      <c r="F50" s="3681">
        <f>F51</f>
        <v>605976.32474495925</v>
      </c>
      <c r="G50" s="3666" t="str">
        <f t="shared" si="2"/>
        <v>NA</v>
      </c>
      <c r="H50" s="3667">
        <f t="shared" si="17"/>
        <v>2.4571203616539077E-2</v>
      </c>
      <c r="I50" s="3668">
        <f t="shared" si="18"/>
        <v>5.6006644387577036E-4</v>
      </c>
      <c r="J50" s="3505" t="str">
        <f>J51</f>
        <v>IE</v>
      </c>
      <c r="K50" s="3505">
        <f>K51</f>
        <v>14.889567662110402</v>
      </c>
      <c r="L50" s="3508">
        <f>L51</f>
        <v>0.33938700527281834</v>
      </c>
      <c r="M50" s="482"/>
    </row>
    <row r="51" spans="2:13" ht="18" customHeight="1" x14ac:dyDescent="0.2">
      <c r="B51" s="923"/>
      <c r="C51" s="4367" t="s">
        <v>2263</v>
      </c>
      <c r="D51" s="542" t="s">
        <v>940</v>
      </c>
      <c r="E51" s="543" t="s">
        <v>2250</v>
      </c>
      <c r="F51" s="3655">
        <v>605976.32474495925</v>
      </c>
      <c r="G51" s="3666" t="str">
        <f t="shared" si="2"/>
        <v>NA</v>
      </c>
      <c r="H51" s="3667">
        <f t="shared" si="17"/>
        <v>2.4571203616539077E-2</v>
      </c>
      <c r="I51" s="3668">
        <f t="shared" si="18"/>
        <v>5.6006644387577036E-4</v>
      </c>
      <c r="J51" s="3509" t="s">
        <v>2153</v>
      </c>
      <c r="K51" s="3510">
        <v>14.889567662110402</v>
      </c>
      <c r="L51" s="3512">
        <v>0.33938700527281834</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19726</v>
      </c>
      <c r="G59" s="3660" t="str">
        <f t="shared" si="2"/>
        <v>NA</v>
      </c>
      <c r="H59" s="3661">
        <f t="shared" si="3"/>
        <v>0.1607903883199838</v>
      </c>
      <c r="I59" s="3662">
        <f t="shared" si="4"/>
        <v>2.9723889840819226E-3</v>
      </c>
      <c r="J59" s="3502" t="str">
        <f>IF(SUM(J60,J65)=0,"IE",SUM(J60,J65))</f>
        <v>IE</v>
      </c>
      <c r="K59" s="3503">
        <f>IF(SUM(K60,K65)=0,"NO",SUM(K60,K65))</f>
        <v>3.1717512000000001</v>
      </c>
      <c r="L59" s="3504">
        <f>IF(SUM(L60,L65)=0,"NO",SUM(L60,L65))</f>
        <v>5.8633345100000005E-2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19726</v>
      </c>
      <c r="G65" s="3663" t="str">
        <f t="shared" si="2"/>
        <v>NA</v>
      </c>
      <c r="H65" s="3664">
        <f t="shared" si="3"/>
        <v>0.1607903883199838</v>
      </c>
      <c r="I65" s="3665">
        <f t="shared" si="4"/>
        <v>2.9723889840819226E-3</v>
      </c>
      <c r="J65" s="3505" t="str">
        <f>IF(SUM(J66,J68)=0,"IE",SUM(J66,J68))</f>
        <v>IE</v>
      </c>
      <c r="K65" s="3506">
        <f>IF(SUM(K66,K68)=0,"NO",SUM(K66,K68))</f>
        <v>3.1717512000000001</v>
      </c>
      <c r="L65" s="3507">
        <f>IF(SUM(L66,L68)=0,"NO",SUM(L66,L68))</f>
        <v>5.8633345100000005E-2</v>
      </c>
    </row>
    <row r="66" spans="2:13" ht="18" customHeight="1" x14ac:dyDescent="0.2">
      <c r="B66" s="923" t="s">
        <v>1294</v>
      </c>
      <c r="C66" s="4368"/>
      <c r="D66" s="298"/>
      <c r="E66" s="5" t="s">
        <v>2250</v>
      </c>
      <c r="F66" s="3681">
        <f>F67</f>
        <v>19726</v>
      </c>
      <c r="G66" s="3666" t="str">
        <f t="shared" si="2"/>
        <v>NA</v>
      </c>
      <c r="H66" s="3667">
        <f t="shared" si="3"/>
        <v>0.1607903883199838</v>
      </c>
      <c r="I66" s="3668">
        <f t="shared" si="4"/>
        <v>2.9723889840819226E-3</v>
      </c>
      <c r="J66" s="3505" t="str">
        <f>J67</f>
        <v>IE</v>
      </c>
      <c r="K66" s="3505">
        <f>K67</f>
        <v>3.1717512000000001</v>
      </c>
      <c r="L66" s="3508">
        <f>L67</f>
        <v>5.8633345100000005E-2</v>
      </c>
      <c r="M66" s="482"/>
    </row>
    <row r="67" spans="2:13" ht="18" customHeight="1" x14ac:dyDescent="0.2">
      <c r="B67" s="923"/>
      <c r="C67" s="4367" t="s">
        <v>2252</v>
      </c>
      <c r="D67" s="542" t="s">
        <v>940</v>
      </c>
      <c r="E67" s="543" t="s">
        <v>2250</v>
      </c>
      <c r="F67" s="3655">
        <v>19726</v>
      </c>
      <c r="G67" s="3666" t="str">
        <f t="shared" si="2"/>
        <v>NA</v>
      </c>
      <c r="H67" s="3667">
        <f t="shared" ref="H67:H68" si="23">IF(SUM($F67)=0,"NA",K67*1000/$F67)</f>
        <v>0.1607903883199838</v>
      </c>
      <c r="I67" s="3668">
        <f t="shared" ref="I67:I68" si="24">IF(SUM($F67)=0,"NA",L67*1000/$F67)</f>
        <v>2.9723889840819226E-3</v>
      </c>
      <c r="J67" s="3509" t="s">
        <v>2153</v>
      </c>
      <c r="K67" s="3510">
        <v>3.1717512000000001</v>
      </c>
      <c r="L67" s="3512">
        <v>5.8633345100000005E-2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4577.1843695165635</v>
      </c>
      <c r="D10" s="3521">
        <f>IF(SUM(D11,D16:D17)=0,"NO",SUM(D11,D16:D17))</f>
        <v>-2848.6223757617931</v>
      </c>
      <c r="E10" s="3522"/>
      <c r="F10" s="3523">
        <f>IF(SUM(F11,F16:F17)=0,"NO",SUM(F11,F16:F17))</f>
        <v>1728.5619937547704</v>
      </c>
      <c r="G10" s="3524">
        <f>IF(SUM(G11,G16:G17)=0,"NO",SUM(G11,G16:G17))</f>
        <v>-6338.0606437674905</v>
      </c>
      <c r="H10" s="226"/>
      <c r="I10" s="2"/>
      <c r="J10" s="2"/>
    </row>
    <row r="11" spans="1:10" ht="18" customHeight="1" x14ac:dyDescent="0.2">
      <c r="B11" s="606" t="s">
        <v>1314</v>
      </c>
      <c r="C11" s="3525">
        <f>IF(SUM(C13:C15)=0,"NO",SUM(C13:C15))</f>
        <v>1550.6365258190433</v>
      </c>
      <c r="D11" s="3526">
        <f>IF(SUM(D13:D15)=0,"NO",SUM(D13:D15))</f>
        <v>-615.30462310644521</v>
      </c>
      <c r="E11" s="3527"/>
      <c r="F11" s="3528">
        <f>IF(SUM(F13:F15)=0,"NO",SUM(F13:F15))</f>
        <v>935.33190271259809</v>
      </c>
      <c r="G11" s="3529">
        <f>IF(SUM(G13:G15)=0,"NO",SUM(G13:G15))</f>
        <v>-3429.5503099461926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1097.9599275592693</v>
      </c>
      <c r="D13" s="3534">
        <f>F13-C13</f>
        <v>-384.29128144789797</v>
      </c>
      <c r="E13" s="3535" t="s">
        <v>2147</v>
      </c>
      <c r="F13" s="3536">
        <f>G13/(-44/12)</f>
        <v>713.66864611137134</v>
      </c>
      <c r="G13" s="3537">
        <v>-2616.7850357416946</v>
      </c>
      <c r="H13" s="226"/>
      <c r="I13" s="2"/>
      <c r="J13" s="2"/>
    </row>
    <row r="14" spans="1:10" ht="18" customHeight="1" x14ac:dyDescent="0.2">
      <c r="B14" s="1193" t="s">
        <v>1316</v>
      </c>
      <c r="C14" s="3538">
        <v>452.67659825977404</v>
      </c>
      <c r="D14" s="3539">
        <f>F14-C14</f>
        <v>-231.01334165854729</v>
      </c>
      <c r="E14" s="3235" t="s">
        <v>2147</v>
      </c>
      <c r="F14" s="3540">
        <f>G14/(-44/12)</f>
        <v>221.66325660122675</v>
      </c>
      <c r="G14" s="3537">
        <v>-812.76527420449804</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1738.0787109999999</v>
      </c>
      <c r="D16" s="3539">
        <f>F16-C16</f>
        <v>-1721.3238271591542</v>
      </c>
      <c r="E16" s="3235" t="s">
        <v>2147</v>
      </c>
      <c r="F16" s="3540">
        <f>G16/(-44/12)</f>
        <v>16.75488384084565</v>
      </c>
      <c r="G16" s="3537">
        <v>-61.434574083100713</v>
      </c>
      <c r="H16" s="226"/>
      <c r="I16" s="2"/>
      <c r="J16" s="2"/>
    </row>
    <row r="17" spans="2:10" ht="18" customHeight="1" x14ac:dyDescent="0.2">
      <c r="B17" s="1197" t="s">
        <v>1320</v>
      </c>
      <c r="C17" s="3542">
        <f>C18</f>
        <v>1288.4691326975203</v>
      </c>
      <c r="D17" s="3543">
        <f t="shared" ref="D17:F17" si="0">D18</f>
        <v>-511.9939254961937</v>
      </c>
      <c r="E17" s="3544"/>
      <c r="F17" s="3226">
        <f t="shared" si="0"/>
        <v>776.47520720132661</v>
      </c>
      <c r="G17" s="3537">
        <f>-F17*44/12</f>
        <v>-2847.0757597381976</v>
      </c>
      <c r="H17" s="226"/>
      <c r="I17" s="2"/>
      <c r="J17" s="2"/>
    </row>
    <row r="18" spans="2:10" ht="18" customHeight="1" thickBot="1" x14ac:dyDescent="0.25">
      <c r="B18" s="561" t="s">
        <v>2254</v>
      </c>
      <c r="C18" s="3545">
        <v>1288.4691326975203</v>
      </c>
      <c r="D18" s="3546">
        <f>F18-C18</f>
        <v>-511.9939254961937</v>
      </c>
      <c r="E18" s="3238" t="s">
        <v>2147</v>
      </c>
      <c r="F18" s="3547">
        <f>G18/(-44/12)</f>
        <v>776.47520720132661</v>
      </c>
      <c r="G18" s="3548">
        <v>-2847.0757597381976</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29.325568882446802</v>
      </c>
      <c r="D10" s="4371">
        <f t="shared" ref="D10:I10" si="0">IF(SUM(D11,D15,D18,D21)=0,"NO",SUM(D11,D15,D18,D21))</f>
        <v>678.32652710387845</v>
      </c>
      <c r="E10" s="4371">
        <f t="shared" si="0"/>
        <v>0.77667629320589471</v>
      </c>
      <c r="F10" s="4371" t="str">
        <f t="shared" si="0"/>
        <v>NO</v>
      </c>
      <c r="G10" s="4371" t="str">
        <f t="shared" si="0"/>
        <v>NO</v>
      </c>
      <c r="H10" s="4371">
        <f t="shared" si="0"/>
        <v>417.57874384698749</v>
      </c>
      <c r="I10" s="4372" t="str">
        <f t="shared" si="0"/>
        <v>NO</v>
      </c>
      <c r="J10" s="4373">
        <f>IF(SUM(C10:E10)=0,"NO",SUM(C10,IFERROR(28*D10,0),IFERROR(265*E10,0)))</f>
        <v>19228.287545490606</v>
      </c>
    </row>
    <row r="11" spans="1:10" ht="18" customHeight="1" x14ac:dyDescent="0.2">
      <c r="B11" s="1504" t="s">
        <v>1371</v>
      </c>
      <c r="C11" s="4374"/>
      <c r="D11" s="2883">
        <f>IF(SUM(D12:D14)=0,"NO",SUM(D12:D14))</f>
        <v>498.85536762000004</v>
      </c>
      <c r="E11" s="4374"/>
      <c r="F11" s="2883" t="str">
        <f>IF(SUM(F12:F14)=0,"NO",SUM(F12:F14))</f>
        <v>NO</v>
      </c>
      <c r="G11" s="2883" t="str">
        <f t="shared" ref="G11:H11" si="1">IF(SUM(G12:G14)=0,"NO",SUM(G12:G14))</f>
        <v>NO</v>
      </c>
      <c r="H11" s="2883">
        <f t="shared" si="1"/>
        <v>2.7565942104522891</v>
      </c>
      <c r="I11" s="2153"/>
      <c r="J11" s="2872">
        <f t="shared" ref="J11:J18" si="2">IF(SUM(C11:E11)=0,"NO",SUM(C11,IFERROR(28*D11,0),IFERROR(265*E11,0)))</f>
        <v>13967.950293360002</v>
      </c>
    </row>
    <row r="12" spans="1:10" ht="18" customHeight="1" x14ac:dyDescent="0.2">
      <c r="B12" s="1270" t="s">
        <v>1372</v>
      </c>
      <c r="C12" s="4375"/>
      <c r="D12" s="4376">
        <f>IF(SUM(Table5.A!F10:H10)=0,"NO",SUM(Table5.A!F10))</f>
        <v>498.85536762000004</v>
      </c>
      <c r="E12" s="4375"/>
      <c r="F12" s="4377" t="s">
        <v>2147</v>
      </c>
      <c r="G12" s="4377" t="s">
        <v>2147</v>
      </c>
      <c r="H12" s="4377">
        <v>2.7565942104522891</v>
      </c>
      <c r="I12" s="4378"/>
      <c r="J12" s="4379">
        <f t="shared" si="2"/>
        <v>13967.950293360002</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1.5457768551959998</v>
      </c>
      <c r="E15" s="2881">
        <f t="shared" ref="E15" si="3">IF(SUM(E16:E17)=0,"NO",SUM(E16:E17))</f>
        <v>0.19785943746508797</v>
      </c>
      <c r="F15" s="2881" t="s">
        <v>2256</v>
      </c>
      <c r="G15" s="2881" t="s">
        <v>2256</v>
      </c>
      <c r="H15" s="2881" t="s">
        <v>2256</v>
      </c>
      <c r="I15" s="4386"/>
      <c r="J15" s="2873">
        <f t="shared" si="2"/>
        <v>95.714502873736308</v>
      </c>
    </row>
    <row r="16" spans="1:10" ht="18" customHeight="1" x14ac:dyDescent="0.2">
      <c r="B16" s="1883" t="s">
        <v>1376</v>
      </c>
      <c r="C16" s="4387"/>
      <c r="D16" s="4376">
        <f>Table5.B!F10</f>
        <v>1.5457768551959998</v>
      </c>
      <c r="E16" s="4376">
        <f>Table5.B!G10</f>
        <v>0.19785943746508797</v>
      </c>
      <c r="F16" s="4388" t="s">
        <v>2147</v>
      </c>
      <c r="G16" s="4388" t="s">
        <v>2147</v>
      </c>
      <c r="H16" s="4388" t="s">
        <v>2147</v>
      </c>
      <c r="I16" s="4378"/>
      <c r="J16" s="4379">
        <f t="shared" si="2"/>
        <v>95.714502873736308</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29.325568882446802</v>
      </c>
      <c r="D18" s="2871" t="str">
        <f>IF(SUM(D19:D20)=0,"NO,NE",SUM(D19:D20))</f>
        <v>NO,NE</v>
      </c>
      <c r="E18" s="2871" t="str">
        <f>IF(SUM(E19:E20)=0,"NO,NE",SUM(E19:E20))</f>
        <v>NO,NE</v>
      </c>
      <c r="F18" s="2871" t="s">
        <v>2147</v>
      </c>
      <c r="G18" s="2871" t="s">
        <v>2147</v>
      </c>
      <c r="H18" s="2871" t="s">
        <v>2147</v>
      </c>
      <c r="I18" s="2871" t="s">
        <v>2147</v>
      </c>
      <c r="J18" s="2874">
        <f t="shared" si="2"/>
        <v>29.325568882446802</v>
      </c>
    </row>
    <row r="19" spans="2:12" ht="18" customHeight="1" x14ac:dyDescent="0.2">
      <c r="B19" s="1270" t="s">
        <v>1379</v>
      </c>
      <c r="C19" s="4376">
        <f>Table5.C!G10</f>
        <v>29.325568882446802</v>
      </c>
      <c r="D19" s="4376" t="str">
        <f>Table5.C!H10</f>
        <v>NO,NE</v>
      </c>
      <c r="E19" s="4376" t="str">
        <f>Table5.C!I10</f>
        <v>NO,NE</v>
      </c>
      <c r="F19" s="4391" t="s">
        <v>2147</v>
      </c>
      <c r="G19" s="4391" t="s">
        <v>2147</v>
      </c>
      <c r="H19" s="4391" t="s">
        <v>2147</v>
      </c>
      <c r="I19" s="4391" t="s">
        <v>2147</v>
      </c>
      <c r="J19" s="4379">
        <f>IF(SUM(C19:E19)=0,"NO",SUM(C19,IFERROR(28*D19,0),IFERROR(265*E19,0)))</f>
        <v>29.325568882446802</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177.9253826286824</v>
      </c>
      <c r="E21" s="2871">
        <f t="shared" ref="E21:H21" si="5">IF(SUM(E22:E24)=0,"NO",SUM(E22:E24))</f>
        <v>0.57881685574080677</v>
      </c>
      <c r="F21" s="2871" t="str">
        <f t="shared" si="5"/>
        <v>NO</v>
      </c>
      <c r="G21" s="2871" t="str">
        <f t="shared" si="5"/>
        <v>NO</v>
      </c>
      <c r="H21" s="2871">
        <f t="shared" si="5"/>
        <v>414.82214963653519</v>
      </c>
      <c r="I21" s="4393"/>
      <c r="J21" s="2874">
        <f t="shared" si="4"/>
        <v>5135.2971803744213</v>
      </c>
    </row>
    <row r="22" spans="2:12" ht="18" customHeight="1" x14ac:dyDescent="0.2">
      <c r="B22" s="1270" t="s">
        <v>1382</v>
      </c>
      <c r="C22" s="4394"/>
      <c r="D22" s="4376">
        <f>IF(SUM(Table5.D!H10)=0,"NO",SUM(Table5.D!H10))</f>
        <v>68.851185226436996</v>
      </c>
      <c r="E22" s="4376">
        <f>IF(SUM(Table5.D!I10:J10)=0,"NO",SUM(Table5.D!I10:J10))</f>
        <v>0.57881685574080677</v>
      </c>
      <c r="F22" s="4377" t="s">
        <v>2147</v>
      </c>
      <c r="G22" s="4377" t="s">
        <v>2147</v>
      </c>
      <c r="H22" s="4377">
        <v>5.6400716026420223</v>
      </c>
      <c r="I22" s="4378"/>
      <c r="J22" s="4379">
        <f t="shared" si="4"/>
        <v>2081.2196531115496</v>
      </c>
    </row>
    <row r="23" spans="2:12" ht="18" customHeight="1" x14ac:dyDescent="0.2">
      <c r="B23" s="1270" t="s">
        <v>1383</v>
      </c>
      <c r="C23" s="4394"/>
      <c r="D23" s="4376">
        <f>IF(SUM(Table5.D!H11)=0,"NO",SUM(Table5.D!H11))</f>
        <v>109.0741974022454</v>
      </c>
      <c r="E23" s="4376" t="str">
        <f>IF(SUM(Table5.D!I11:J11)=0,"IE",SUM(Table5.D!I11:J11))</f>
        <v>IE</v>
      </c>
      <c r="F23" s="4377" t="s">
        <v>2147</v>
      </c>
      <c r="G23" s="4377" t="s">
        <v>2147</v>
      </c>
      <c r="H23" s="4377">
        <v>409.18207803389316</v>
      </c>
      <c r="I23" s="4378"/>
      <c r="J23" s="4379">
        <f t="shared" si="4"/>
        <v>3054.0775272628712</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-225660.25716917301</v>
      </c>
      <c r="D28" s="4404"/>
      <c r="E28" s="4404"/>
      <c r="F28" s="4404"/>
      <c r="G28" s="4404"/>
      <c r="H28" s="4404"/>
      <c r="I28" s="4405"/>
      <c r="J28" s="4406"/>
      <c r="K28"/>
      <c r="L28"/>
    </row>
    <row r="29" spans="2:12" ht="18" customHeight="1" x14ac:dyDescent="0.2">
      <c r="B29" s="2487" t="s">
        <v>2081</v>
      </c>
      <c r="C29" s="4407">
        <v>-4940.3628657712825</v>
      </c>
      <c r="D29" s="4408"/>
      <c r="E29" s="4408"/>
      <c r="F29" s="4408"/>
      <c r="G29" s="4408"/>
      <c r="H29" s="4408"/>
      <c r="I29" s="4406"/>
      <c r="J29" s="4406"/>
      <c r="K29"/>
      <c r="L29"/>
    </row>
    <row r="30" spans="2:12" ht="29.25" customHeight="1" thickBot="1" x14ac:dyDescent="0.25">
      <c r="B30" s="2488" t="s">
        <v>2082</v>
      </c>
      <c r="C30" s="4409">
        <v>-2847.0757597381976</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19014.781542735574</v>
      </c>
      <c r="D10" s="3752"/>
      <c r="E10" s="3751">
        <f>IF(SUM(C10)=0,"NA",(F10-SUM(G10:H10))/C10)</f>
        <v>3.2618590238653322E-2</v>
      </c>
      <c r="F10" s="3753">
        <f>F11</f>
        <v>498.85536762000004</v>
      </c>
      <c r="G10" s="3753" t="str">
        <f>G11</f>
        <v>IE</v>
      </c>
      <c r="H10" s="3754">
        <f>H11</f>
        <v>-121.38</v>
      </c>
      <c r="I10" s="44"/>
    </row>
    <row r="11" spans="1:13" ht="18" customHeight="1" x14ac:dyDescent="0.2">
      <c r="B11" s="1750" t="s">
        <v>1395</v>
      </c>
      <c r="C11" s="3755">
        <f>IF(SUM(C13:C16)=0,"NO",SUM(C13:C16))</f>
        <v>19014.781542735574</v>
      </c>
      <c r="D11" s="3755">
        <v>1</v>
      </c>
      <c r="E11" s="3755">
        <f>IF(SUM(C11)=0,"NA",(F11-SUM(G11:H11))/C11)</f>
        <v>3.2618590238653322E-2</v>
      </c>
      <c r="F11" s="3755">
        <f>IF(SUM(F13:F16)=0,"NO",SUM(F13:F16))</f>
        <v>498.85536762000004</v>
      </c>
      <c r="G11" s="3756" t="s">
        <v>2153</v>
      </c>
      <c r="H11" s="3757">
        <v>-121.38</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11209.877440436434</v>
      </c>
      <c r="D13" s="3762">
        <v>1</v>
      </c>
      <c r="E13" s="3755" t="s">
        <v>2153</v>
      </c>
      <c r="F13" s="3762">
        <v>17.88478362</v>
      </c>
      <c r="G13" s="3763"/>
      <c r="H13" s="3764"/>
      <c r="I13" s="44"/>
    </row>
    <row r="14" spans="1:13" ht="18" customHeight="1" x14ac:dyDescent="0.2">
      <c r="B14" s="1751" t="s">
        <v>1398</v>
      </c>
      <c r="C14" s="3762">
        <v>2883.0084294648773</v>
      </c>
      <c r="D14" s="3762">
        <v>1</v>
      </c>
      <c r="E14" s="3755" t="s">
        <v>2153</v>
      </c>
      <c r="F14" s="3762">
        <v>209.7149737</v>
      </c>
      <c r="G14" s="3763"/>
      <c r="H14" s="3764"/>
      <c r="I14" s="44"/>
    </row>
    <row r="15" spans="1:13" ht="18" customHeight="1" x14ac:dyDescent="0.2">
      <c r="B15" s="1751" t="s">
        <v>1399</v>
      </c>
      <c r="C15" s="3762">
        <v>4921.8956728342637</v>
      </c>
      <c r="D15" s="3762">
        <v>1</v>
      </c>
      <c r="E15" s="3755" t="s">
        <v>2153</v>
      </c>
      <c r="F15" s="3762">
        <v>271.2556103</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2061.0358069280001</v>
      </c>
      <c r="D10" s="1913">
        <f>IF(SUM($C10)=0,"NA",F10*1000/$C10)</f>
        <v>0.74999999999999989</v>
      </c>
      <c r="E10" s="1913">
        <f>IF(SUM($C10)=0,"NA",G10*1000/$C10)</f>
        <v>9.5999999999999988E-2</v>
      </c>
      <c r="F10" s="1909">
        <f>IF(SUM(F11:F12)=0,"NO",SUM(F11:F12))</f>
        <v>1.5457768551959998</v>
      </c>
      <c r="G10" s="1909">
        <f>IF(SUM(G11:G12)=0,"NO",SUM(G11:G12))</f>
        <v>0.19785943746508797</v>
      </c>
      <c r="H10" s="1910"/>
      <c r="I10" s="1911"/>
    </row>
    <row r="11" spans="1:9" ht="18" customHeight="1" x14ac:dyDescent="0.2">
      <c r="B11" s="1526" t="s">
        <v>1411</v>
      </c>
      <c r="C11" s="1912">
        <v>2061.0358069280001</v>
      </c>
      <c r="D11" s="1913">
        <f>IF(SUM($C11)=0,"NA",F11*1000/$C11)</f>
        <v>0.74999999999999989</v>
      </c>
      <c r="E11" s="1913">
        <f>IF(SUM($C11)=0,"NA",G11*1000/$C11)</f>
        <v>9.5999999999999988E-2</v>
      </c>
      <c r="F11" s="1912">
        <v>1.5457768551959998</v>
      </c>
      <c r="G11" s="1912">
        <v>0.19785943746508797</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12.340783486691993</v>
      </c>
      <c r="D10" s="2887">
        <f>IF(SUM(G10)=0,"NA",G10*1000/$C10)</f>
        <v>2376.3133770291647</v>
      </c>
      <c r="E10" s="2887" t="str">
        <f t="shared" ref="E10:E20" si="0">IF(SUM(H10)=0,"NA",H10*1000/$C10)</f>
        <v>NA</v>
      </c>
      <c r="F10" s="2887" t="str">
        <f t="shared" ref="F10:F20" si="1">IF(SUM(I10)=0,"NA",I10*1000/$C10)</f>
        <v>NA</v>
      </c>
      <c r="G10" s="2887">
        <f>IF(SUM(G11,G21)=0,"NO",SUM(G11,G21))</f>
        <v>29.325568882446802</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12.340783486691993</v>
      </c>
      <c r="D21" s="116">
        <f>IF(SUM(G21)=0,"NA",G21*1000/$C21)</f>
        <v>2376.3133770291647</v>
      </c>
      <c r="E21" s="116" t="str">
        <f t="shared" ref="E21:F21" si="3">IF(SUM(H21)=0,"NA",H21*1000/$C21)</f>
        <v>NA</v>
      </c>
      <c r="F21" s="116" t="str">
        <f t="shared" si="3"/>
        <v>NA</v>
      </c>
      <c r="G21" s="2889">
        <f>IF(SUM(G22:G23)=0,"NO",SUM(G22:G23))</f>
        <v>29.325568882446802</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12.340783486691993</v>
      </c>
      <c r="D23" s="116">
        <f t="shared" si="4"/>
        <v>2376.3133770291647</v>
      </c>
      <c r="E23" s="151" t="str">
        <f t="shared" si="5"/>
        <v>NA</v>
      </c>
      <c r="F23" s="151" t="str">
        <f t="shared" si="6"/>
        <v>NA</v>
      </c>
      <c r="G23" s="151">
        <f>IF(SUM(G25:G30)=0,"NO",SUM(G25:G30))</f>
        <v>29.325568882446802</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12.340783486691993</v>
      </c>
      <c r="D27" s="116">
        <f t="shared" si="4"/>
        <v>880.00000000000011</v>
      </c>
      <c r="E27" s="116" t="str">
        <f t="shared" si="5"/>
        <v>NA</v>
      </c>
      <c r="F27" s="116" t="str">
        <f t="shared" si="6"/>
        <v>NA</v>
      </c>
      <c r="G27" s="2897">
        <v>10.859889468288955</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6.0211554109031704</v>
      </c>
      <c r="D30" s="116">
        <f t="shared" si="4"/>
        <v>3066.8000000000006</v>
      </c>
      <c r="E30" s="153" t="str">
        <f t="shared" si="5"/>
        <v>NA</v>
      </c>
      <c r="F30" s="153" t="str">
        <f t="shared" si="6"/>
        <v>NA</v>
      </c>
      <c r="G30" s="1541">
        <f>G31</f>
        <v>18.465679414157847</v>
      </c>
      <c r="H30" s="1541" t="str">
        <f>H31</f>
        <v>NE</v>
      </c>
      <c r="I30" s="2894" t="str">
        <f>I31</f>
        <v>NE</v>
      </c>
    </row>
    <row r="31" spans="2:9" ht="18" customHeight="1" x14ac:dyDescent="0.2">
      <c r="B31" s="2891" t="s">
        <v>2257</v>
      </c>
      <c r="C31" s="162">
        <v>6.0211554109031704</v>
      </c>
      <c r="D31" s="116">
        <f t="shared" si="4"/>
        <v>3066.8000000000006</v>
      </c>
      <c r="E31" s="153" t="str">
        <f t="shared" si="5"/>
        <v>NA</v>
      </c>
      <c r="F31" s="153" t="str">
        <f t="shared" si="6"/>
        <v>NA</v>
      </c>
      <c r="G31" s="161">
        <v>18.465679414157847</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18821.312000000002</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36.686157337579388</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2147.4670954498802</v>
      </c>
      <c r="D10" s="3435">
        <v>1641.4683124368401</v>
      </c>
      <c r="E10" s="3435">
        <v>110.477058133067</v>
      </c>
      <c r="F10" s="3436">
        <f>(SUM(H10)-SUM(K10:L10))/C10</f>
        <v>4.6262147097006982E-2</v>
      </c>
      <c r="G10" s="3437">
        <f>SUM(I10:J10)/E10/(44/28)</f>
        <v>3.3340677723707282E-3</v>
      </c>
      <c r="H10" s="3434">
        <v>68.851185226436996</v>
      </c>
      <c r="I10" s="3223">
        <v>0.57881685574080677</v>
      </c>
      <c r="J10" s="3223" t="s">
        <v>2153</v>
      </c>
      <c r="K10" s="3438">
        <v>-26.112411137605509</v>
      </c>
      <c r="L10" s="2911">
        <v>-4.3828422916421967</v>
      </c>
      <c r="M10"/>
      <c r="N10" s="1770" t="s">
        <v>1468</v>
      </c>
      <c r="O10" s="3440">
        <v>1</v>
      </c>
    </row>
    <row r="11" spans="1:15" ht="18" customHeight="1" x14ac:dyDescent="0.2">
      <c r="A11"/>
      <c r="B11" s="1749" t="s">
        <v>1383</v>
      </c>
      <c r="C11" s="3435">
        <v>1363.94026011298</v>
      </c>
      <c r="D11" s="3435">
        <v>202.681060553751</v>
      </c>
      <c r="E11" s="691" t="s">
        <v>2153</v>
      </c>
      <c r="F11" s="3162">
        <f>(SUM(H11)-SUM(K11:L11))/C11</f>
        <v>8.1568632117940867E-2</v>
      </c>
      <c r="G11" s="3162" t="s">
        <v>2147</v>
      </c>
      <c r="H11" s="691">
        <v>109.0741974022454</v>
      </c>
      <c r="I11" s="691" t="s">
        <v>2153</v>
      </c>
      <c r="J11" s="691" t="s">
        <v>2153</v>
      </c>
      <c r="K11" s="3147" t="s">
        <v>2153</v>
      </c>
      <c r="L11" s="2911">
        <v>-2.1805439057588338</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370978.31579456624</v>
      </c>
      <c r="D10" s="4213">
        <f t="shared" si="0"/>
        <v>5222.0017940002581</v>
      </c>
      <c r="E10" s="4213">
        <f t="shared" si="0"/>
        <v>76.485826251313043</v>
      </c>
      <c r="F10" s="4213">
        <f t="shared" si="0"/>
        <v>904.91759376843311</v>
      </c>
      <c r="G10" s="4213">
        <f t="shared" si="0"/>
        <v>1024.4655200863303</v>
      </c>
      <c r="H10" s="4213" t="str">
        <f>IF(SUM(H11,H22,H31,H42,H51)=0,"NO",SUM(H11,H22,H31,H42,H51))</f>
        <v>NO</v>
      </c>
      <c r="I10" s="4213">
        <f t="shared" ref="I10:N10" si="1">IF(SUM(I11,I22,I31,I42,I51)=0,"NO",SUM(I11,I22,I31,I42,I51))</f>
        <v>9.2670624922224099E-3</v>
      </c>
      <c r="J10" s="3834" t="str">
        <f t="shared" si="1"/>
        <v>NO</v>
      </c>
      <c r="K10" s="4213">
        <f t="shared" si="1"/>
        <v>2807.8017482369555</v>
      </c>
      <c r="L10" s="4213">
        <f t="shared" si="1"/>
        <v>30423.316723007571</v>
      </c>
      <c r="M10" s="4213">
        <f t="shared" si="1"/>
        <v>2137.1388664894366</v>
      </c>
      <c r="N10" s="4214">
        <f t="shared" si="1"/>
        <v>1832.2443752863574</v>
      </c>
      <c r="O10" s="3818">
        <f>IF(SUM(C10:J10)=0,"NO",SUM(C10,F10:H10)+28*SUM(D10)+265*SUM(E10)+23500*SUM(I10)+16100*SUM(J10))</f>
        <v>539610.26906559349</v>
      </c>
    </row>
    <row r="11" spans="1:15" ht="18" customHeight="1" x14ac:dyDescent="0.25">
      <c r="B11" s="1120" t="s">
        <v>1476</v>
      </c>
      <c r="C11" s="2552">
        <f>Table1!C10</f>
        <v>320227.94556871982</v>
      </c>
      <c r="D11" s="3810">
        <f>Table1!D10</f>
        <v>1307.2679893744455</v>
      </c>
      <c r="E11" s="3810">
        <f>Table1!E10</f>
        <v>9.7992122569808</v>
      </c>
      <c r="F11" s="4215"/>
      <c r="G11" s="4215"/>
      <c r="H11" s="4216"/>
      <c r="I11" s="4215"/>
      <c r="J11" s="98"/>
      <c r="K11" s="3810">
        <f>Table1!F10</f>
        <v>1792.8991296795652</v>
      </c>
      <c r="L11" s="3810">
        <f>Table1!G10</f>
        <v>5193.571147644072</v>
      </c>
      <c r="M11" s="3810">
        <f>Table1!H10</f>
        <v>771.06051129520233</v>
      </c>
      <c r="N11" s="4217">
        <f>Table1!I10</f>
        <v>638.39296707385893</v>
      </c>
      <c r="O11" s="3781">
        <f t="shared" ref="O11:O58" si="2">IF(SUM(C11:J11)=0,"NO",SUM(C11,F11:H11)+28*SUM(D11)+265*SUM(E11)+23500*SUM(I11)+16100*SUM(J11))</f>
        <v>359428.24051930424</v>
      </c>
    </row>
    <row r="12" spans="1:15" ht="18" customHeight="1" x14ac:dyDescent="0.25">
      <c r="B12" s="1370" t="s">
        <v>1477</v>
      </c>
      <c r="C12" s="4218">
        <f>Table1!C11</f>
        <v>313062.80677665863</v>
      </c>
      <c r="D12" s="4219">
        <f>Table1!D11</f>
        <v>115.72716495081887</v>
      </c>
      <c r="E12" s="4219">
        <f>Table1!E11</f>
        <v>9.7073059004298035</v>
      </c>
      <c r="F12" s="69"/>
      <c r="G12" s="69"/>
      <c r="H12" s="69"/>
      <c r="I12" s="69"/>
      <c r="J12" s="69"/>
      <c r="K12" s="4219">
        <f>Table1!F11</f>
        <v>1790.1360963539994</v>
      </c>
      <c r="L12" s="4219">
        <f>Table1!G11</f>
        <v>5177.5447543557902</v>
      </c>
      <c r="M12" s="4219">
        <f>Table1!H11</f>
        <v>587.92919878046746</v>
      </c>
      <c r="N12" s="4220">
        <f>Table1!I11</f>
        <v>638.39296707385893</v>
      </c>
      <c r="O12" s="3782">
        <f t="shared" si="2"/>
        <v>318875.60345889546</v>
      </c>
    </row>
    <row r="13" spans="1:15" ht="18" customHeight="1" x14ac:dyDescent="0.25">
      <c r="B13" s="1371" t="s">
        <v>1478</v>
      </c>
      <c r="C13" s="4218">
        <f>Table1!C12</f>
        <v>188804.16706406116</v>
      </c>
      <c r="D13" s="4219">
        <f>Table1!D12</f>
        <v>9.2514407336421911</v>
      </c>
      <c r="E13" s="4219">
        <f>Table1!E12</f>
        <v>2.232424748030748</v>
      </c>
      <c r="F13" s="69"/>
      <c r="G13" s="69"/>
      <c r="H13" s="69"/>
      <c r="I13" s="69"/>
      <c r="J13" s="69"/>
      <c r="K13" s="4219">
        <f>Table1!F12</f>
        <v>623.2433289745818</v>
      </c>
      <c r="L13" s="4219">
        <f>Table1!G12</f>
        <v>98.102488647851658</v>
      </c>
      <c r="M13" s="4219">
        <f>Table1!H12</f>
        <v>15.757094744880774</v>
      </c>
      <c r="N13" s="4220">
        <f>Table1!I12</f>
        <v>510.934636668206</v>
      </c>
      <c r="O13" s="3783">
        <f t="shared" si="2"/>
        <v>189654.79996283128</v>
      </c>
    </row>
    <row r="14" spans="1:15" ht="18" customHeight="1" x14ac:dyDescent="0.25">
      <c r="B14" s="1371" t="s">
        <v>1479</v>
      </c>
      <c r="C14" s="4218">
        <f>Table1!C16</f>
        <v>37694.584804338745</v>
      </c>
      <c r="D14" s="4221">
        <f>Table1!D16</f>
        <v>2.2860942612837478</v>
      </c>
      <c r="E14" s="4221">
        <f>Table1!E16</f>
        <v>1.3209948143262535</v>
      </c>
      <c r="F14" s="3784"/>
      <c r="G14" s="3784"/>
      <c r="H14" s="3784"/>
      <c r="I14" s="3784"/>
      <c r="J14" s="69"/>
      <c r="K14" s="4221">
        <f>Table1!F16</f>
        <v>521.1114146196503</v>
      </c>
      <c r="L14" s="4221">
        <f>Table1!G16</f>
        <v>168.61416758273799</v>
      </c>
      <c r="M14" s="4221">
        <f>Table1!H16</f>
        <v>67.426748283104189</v>
      </c>
      <c r="N14" s="4222">
        <f>Table1!I16</f>
        <v>95.790698213123591</v>
      </c>
      <c r="O14" s="3785">
        <f t="shared" si="2"/>
        <v>38108.659069451147</v>
      </c>
    </row>
    <row r="15" spans="1:15" ht="18" customHeight="1" x14ac:dyDescent="0.25">
      <c r="B15" s="1371" t="s">
        <v>1480</v>
      </c>
      <c r="C15" s="4218">
        <f>Table1!C24</f>
        <v>70158.125555101506</v>
      </c>
      <c r="D15" s="4219">
        <f>Table1!D24</f>
        <v>28.743196804964057</v>
      </c>
      <c r="E15" s="4219">
        <f>Table1!E24</f>
        <v>5.5384186929027015</v>
      </c>
      <c r="F15" s="69"/>
      <c r="G15" s="69"/>
      <c r="H15" s="69"/>
      <c r="I15" s="69"/>
      <c r="J15" s="69"/>
      <c r="K15" s="4219">
        <f>Table1!F24</f>
        <v>386.53339131083862</v>
      </c>
      <c r="L15" s="4219">
        <f>Table1!G24</f>
        <v>3927.5596892860422</v>
      </c>
      <c r="M15" s="4219">
        <f>Table1!H24</f>
        <v>362.58186199021145</v>
      </c>
      <c r="N15" s="4220">
        <f>Table1!I24</f>
        <v>25.194828890892797</v>
      </c>
      <c r="O15" s="3783">
        <f t="shared" si="2"/>
        <v>72430.616019259716</v>
      </c>
    </row>
    <row r="16" spans="1:15" ht="18" customHeight="1" x14ac:dyDescent="0.25">
      <c r="B16" s="1371" t="s">
        <v>1481</v>
      </c>
      <c r="C16" s="4218">
        <f>Table1!C30</f>
        <v>15779.169384823213</v>
      </c>
      <c r="D16" s="4219">
        <f>Table1!D30</f>
        <v>75.416760793136476</v>
      </c>
      <c r="E16" s="4219">
        <f>Table1!E30</f>
        <v>0.5983519156095326</v>
      </c>
      <c r="F16" s="69"/>
      <c r="G16" s="69"/>
      <c r="H16" s="69"/>
      <c r="I16" s="69"/>
      <c r="J16" s="69"/>
      <c r="K16" s="4219">
        <f>Table1!F30</f>
        <v>253.78130910478131</v>
      </c>
      <c r="L16" s="4219">
        <f>Table1!G30</f>
        <v>977.38936701023601</v>
      </c>
      <c r="M16" s="4219">
        <f>Table1!H30</f>
        <v>141.59279865143185</v>
      </c>
      <c r="N16" s="4220">
        <f>Table1!I30</f>
        <v>6.251746153293082</v>
      </c>
      <c r="O16" s="3783">
        <f t="shared" si="2"/>
        <v>18049.401944667563</v>
      </c>
    </row>
    <row r="17" spans="2:15" ht="18" customHeight="1" x14ac:dyDescent="0.25">
      <c r="B17" s="1371" t="s">
        <v>1482</v>
      </c>
      <c r="C17" s="4218">
        <f>Table1!C34</f>
        <v>626.75996833401359</v>
      </c>
      <c r="D17" s="4219">
        <f>Table1!D34</f>
        <v>2.9672357792401564E-2</v>
      </c>
      <c r="E17" s="4219">
        <f>Table1!E34</f>
        <v>1.7115729560568681E-2</v>
      </c>
      <c r="F17" s="69"/>
      <c r="G17" s="69"/>
      <c r="H17" s="69"/>
      <c r="I17" s="69"/>
      <c r="J17" s="69"/>
      <c r="K17" s="4219">
        <f>Table1!F34</f>
        <v>5.4666523441474295</v>
      </c>
      <c r="L17" s="4219">
        <f>Table1!G34</f>
        <v>5.8790418289229303</v>
      </c>
      <c r="M17" s="4219">
        <f>Table1!H34</f>
        <v>0.57069511083918578</v>
      </c>
      <c r="N17" s="4220">
        <f>Table1!I34</f>
        <v>0.22105714834346105</v>
      </c>
      <c r="O17" s="3783">
        <f t="shared" si="2"/>
        <v>632.12646268575156</v>
      </c>
    </row>
    <row r="18" spans="2:15" ht="18" customHeight="1" x14ac:dyDescent="0.25">
      <c r="B18" s="1370" t="s">
        <v>99</v>
      </c>
      <c r="C18" s="4223">
        <f>Table1!C37</f>
        <v>7165.1387920611951</v>
      </c>
      <c r="D18" s="4224">
        <f>Table1!D37</f>
        <v>1191.5408244236266</v>
      </c>
      <c r="E18" s="4224">
        <f>Table1!E37</f>
        <v>9.1906356550996562E-2</v>
      </c>
      <c r="F18" s="69"/>
      <c r="G18" s="69"/>
      <c r="H18" s="69"/>
      <c r="I18" s="69"/>
      <c r="J18" s="69"/>
      <c r="K18" s="4224">
        <f>Table1!F37</f>
        <v>2.7630333255657971</v>
      </c>
      <c r="L18" s="4219">
        <f>Table1!G37</f>
        <v>16.026393288281625</v>
      </c>
      <c r="M18" s="4219">
        <f>Table1!H37</f>
        <v>183.13131251473493</v>
      </c>
      <c r="N18" s="4220" t="str">
        <f>Table1!I37</f>
        <v>NO</v>
      </c>
      <c r="O18" s="3783">
        <f t="shared" si="2"/>
        <v>40552.637060408757</v>
      </c>
    </row>
    <row r="19" spans="2:15" ht="18" customHeight="1" x14ac:dyDescent="0.25">
      <c r="B19" s="1371" t="s">
        <v>1483</v>
      </c>
      <c r="C19" s="4225">
        <f>Table1!C38</f>
        <v>1127.8534806311106</v>
      </c>
      <c r="D19" s="4226">
        <f>Table1!D38</f>
        <v>944.00510612910682</v>
      </c>
      <c r="E19" s="4224">
        <f>Table1!E38</f>
        <v>1.9356941613281385E-5</v>
      </c>
      <c r="F19" s="69"/>
      <c r="G19" s="69"/>
      <c r="H19" s="69"/>
      <c r="I19" s="69"/>
      <c r="J19" s="69"/>
      <c r="K19" s="4224" t="str">
        <f>Table1!F38</f>
        <v>NO</v>
      </c>
      <c r="L19" s="4219" t="str">
        <f>Table1!G38</f>
        <v>NO</v>
      </c>
      <c r="M19" s="4219" t="str">
        <f>Table1!H38</f>
        <v>NO</v>
      </c>
      <c r="N19" s="4220" t="str">
        <f>Table1!I38</f>
        <v>NO</v>
      </c>
      <c r="O19" s="3783">
        <f t="shared" si="2"/>
        <v>27560.00158183563</v>
      </c>
    </row>
    <row r="20" spans="2:15" ht="18" customHeight="1" x14ac:dyDescent="0.25">
      <c r="B20" s="1372" t="s">
        <v>1484</v>
      </c>
      <c r="C20" s="4225">
        <f>Table1!C42</f>
        <v>6037.2853114300842</v>
      </c>
      <c r="D20" s="4227">
        <f>Table1!D42</f>
        <v>247.53571829451988</v>
      </c>
      <c r="E20" s="4224">
        <f>Table1!E42</f>
        <v>9.1886999609383277E-2</v>
      </c>
      <c r="F20" s="3784"/>
      <c r="G20" s="3784"/>
      <c r="H20" s="3784"/>
      <c r="I20" s="3784"/>
      <c r="J20" s="69"/>
      <c r="K20" s="4224">
        <f>Table1!F42</f>
        <v>2.7630333255657971</v>
      </c>
      <c r="L20" s="4221">
        <f>Table1!G42</f>
        <v>16.026393288281625</v>
      </c>
      <c r="M20" s="4221">
        <f>Table1!H42</f>
        <v>183.13131251473493</v>
      </c>
      <c r="N20" s="4222" t="str">
        <f>Table1!I42</f>
        <v>NO</v>
      </c>
      <c r="O20" s="3785">
        <f t="shared" si="2"/>
        <v>12992.635478573126</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22189.035610987365</v>
      </c>
      <c r="D22" s="4230">
        <f>'Table2(I)'!D10</f>
        <v>3.8379454129081627</v>
      </c>
      <c r="E22" s="4231">
        <f>'Table2(I)'!E10</f>
        <v>5.5516658037421696</v>
      </c>
      <c r="F22" s="3810">
        <f>'Table2(I)'!F10</f>
        <v>904.91759376843311</v>
      </c>
      <c r="G22" s="3810">
        <f>'Table2(I)'!G10</f>
        <v>1024.4655200863303</v>
      </c>
      <c r="H22" s="3810" t="str">
        <f>'Table2(I)'!H10</f>
        <v>NO</v>
      </c>
      <c r="I22" s="3810">
        <f>'Table2(I)'!I10</f>
        <v>9.2670624922224099E-3</v>
      </c>
      <c r="J22" s="3810" t="str">
        <f>'Table2(I)'!J10</f>
        <v>NO</v>
      </c>
      <c r="K22" s="3810">
        <f>'Table2(I)'!K10</f>
        <v>44.116079006676699</v>
      </c>
      <c r="L22" s="3810">
        <f>'Table2(I)'!L10</f>
        <v>11.715225831893719</v>
      </c>
      <c r="M22" s="3810">
        <f>'Table2(I)'!M10</f>
        <v>224.19392816905832</v>
      </c>
      <c r="N22" s="4217">
        <f>'Table2(I)'!N10</f>
        <v>1193.8514082124984</v>
      </c>
      <c r="O22" s="3781">
        <f t="shared" si="2"/>
        <v>25914.848602962462</v>
      </c>
    </row>
    <row r="23" spans="2:15" ht="18" customHeight="1" x14ac:dyDescent="0.25">
      <c r="B23" s="1133" t="s">
        <v>1487</v>
      </c>
      <c r="C23" s="4232">
        <f>'Table2(I)'!C11</f>
        <v>6439.3317149694603</v>
      </c>
      <c r="D23" s="3789"/>
      <c r="E23" s="98"/>
      <c r="F23" s="98"/>
      <c r="G23" s="98"/>
      <c r="H23" s="98"/>
      <c r="I23" s="98"/>
      <c r="J23" s="69"/>
      <c r="K23" s="4233" t="str">
        <f>'Table2(I)'!K11</f>
        <v>NO</v>
      </c>
      <c r="L23" s="4233" t="str">
        <f>'Table2(I)'!L11</f>
        <v>NO</v>
      </c>
      <c r="M23" s="4233" t="str">
        <f>'Table2(I)'!M11</f>
        <v>NO</v>
      </c>
      <c r="N23" s="4234" t="str">
        <f>'Table2(I)'!N11</f>
        <v>NO</v>
      </c>
      <c r="O23" s="3782">
        <f t="shared" si="2"/>
        <v>6439.3317149694603</v>
      </c>
    </row>
    <row r="24" spans="2:15" ht="18" customHeight="1" x14ac:dyDescent="0.25">
      <c r="B24" s="1133" t="s">
        <v>621</v>
      </c>
      <c r="C24" s="4232">
        <f>'Table2(I)'!C16</f>
        <v>1591.5349229289993</v>
      </c>
      <c r="D24" s="4235">
        <f>'Table2(I)'!D16</f>
        <v>0.48208379999999995</v>
      </c>
      <c r="E24" s="4236">
        <f>'Table2(I)'!E16</f>
        <v>5.4660888764516145</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5.9225438330000006</v>
      </c>
      <c r="N24" s="4220" t="str">
        <f>'Table2(I)'!N16</f>
        <v>NO</v>
      </c>
      <c r="O24" s="3783">
        <f t="shared" si="2"/>
        <v>3053.5468215886772</v>
      </c>
    </row>
    <row r="25" spans="2:15" ht="18" customHeight="1" x14ac:dyDescent="0.25">
      <c r="B25" s="1133" t="s">
        <v>459</v>
      </c>
      <c r="C25" s="4232">
        <f>'Table2(I)'!C27</f>
        <v>13745.157397730105</v>
      </c>
      <c r="D25" s="4235">
        <f>'Table2(I)'!D27</f>
        <v>3.3558616129081629</v>
      </c>
      <c r="E25" s="4236">
        <f>'Table2(I)'!E27</f>
        <v>8.5576927290555119E-2</v>
      </c>
      <c r="F25" s="4219" t="str">
        <f>'Table2(I)'!F27</f>
        <v>NO</v>
      </c>
      <c r="G25" s="4219">
        <f>'Table2(I)'!G27</f>
        <v>1024.4655200863303</v>
      </c>
      <c r="H25" s="4219" t="str">
        <f>'Table2(I)'!H27</f>
        <v>NO</v>
      </c>
      <c r="I25" s="4219">
        <f>'Table2(I)'!I27</f>
        <v>1.4999999999999999E-4</v>
      </c>
      <c r="J25" s="4219" t="str">
        <f>'Table2(I)'!J27</f>
        <v>NO</v>
      </c>
      <c r="K25" s="4219">
        <f>'Table2(I)'!K27</f>
        <v>44.116079006676699</v>
      </c>
      <c r="L25" s="4219">
        <f>'Table2(I)'!L27</f>
        <v>11.715225831893719</v>
      </c>
      <c r="M25" s="4219">
        <f>'Table2(I)'!M27</f>
        <v>0.10661109063144732</v>
      </c>
      <c r="N25" s="4220">
        <f>'Table2(I)'!N27</f>
        <v>1193.8514082124984</v>
      </c>
      <c r="O25" s="3783">
        <f t="shared" si="2"/>
        <v>14889.789928709861</v>
      </c>
    </row>
    <row r="26" spans="2:15" ht="18" customHeight="1" x14ac:dyDescent="0.25">
      <c r="B26" s="1133" t="s">
        <v>1488</v>
      </c>
      <c r="C26" s="4232">
        <f>'Table2(I)'!C35</f>
        <v>270.21861749999999</v>
      </c>
      <c r="D26" s="3790" t="str">
        <f>'Table2(I)'!D35</f>
        <v>NO</v>
      </c>
      <c r="E26" s="616" t="str">
        <f>'Table2(I)'!E35</f>
        <v>NO</v>
      </c>
      <c r="F26" s="69"/>
      <c r="G26" s="69"/>
      <c r="H26" s="69"/>
      <c r="I26" s="69"/>
      <c r="J26" s="69"/>
      <c r="K26" s="616" t="str">
        <f>'Table2(I)'!K35</f>
        <v>NO</v>
      </c>
      <c r="L26" s="4236" t="str">
        <f>'Table2(I)'!L35</f>
        <v>NO</v>
      </c>
      <c r="M26" s="4236">
        <f>'Table2(I)'!M35</f>
        <v>164.52772874542688</v>
      </c>
      <c r="N26" s="4237" t="str">
        <f>'Table2(I)'!N35</f>
        <v>NO</v>
      </c>
      <c r="O26" s="3783">
        <f t="shared" si="2"/>
        <v>270.21861749999999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904.91759376843311</v>
      </c>
      <c r="G28" s="4221" t="str">
        <f>'Table2(I)'!G45</f>
        <v>NO</v>
      </c>
      <c r="H28" s="4221" t="str">
        <f>'Table2(I)'!H45</f>
        <v>NO</v>
      </c>
      <c r="I28" s="4221" t="str">
        <f>'Table2(I)'!I45</f>
        <v>NO</v>
      </c>
      <c r="J28" s="4221" t="str">
        <f>'Table2(I)'!J45</f>
        <v>NO</v>
      </c>
      <c r="K28" s="3784"/>
      <c r="L28" s="3784"/>
      <c r="M28" s="3784"/>
      <c r="N28" s="3793"/>
      <c r="O28" s="3785">
        <f t="shared" si="2"/>
        <v>904.91759376843311</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9.1170624922224091E-3</v>
      </c>
      <c r="J29" s="616" t="str">
        <f>'Table2(I)'!J52</f>
        <v>NO</v>
      </c>
      <c r="K29" s="3796" t="str">
        <f>'Table2(I)'!K52</f>
        <v>NO</v>
      </c>
      <c r="L29" s="3796" t="str">
        <f>'Table2(I)'!L52</f>
        <v>NO</v>
      </c>
      <c r="M29" s="3796" t="str">
        <f>'Table2(I)'!M52</f>
        <v>NO</v>
      </c>
      <c r="N29" s="3797" t="str">
        <f>'Table2(I)'!N52</f>
        <v>NO</v>
      </c>
      <c r="O29" s="3785">
        <f t="shared" si="2"/>
        <v>214.25096856722661</v>
      </c>
    </row>
    <row r="30" spans="2:15" ht="18" customHeight="1" thickBot="1" x14ac:dyDescent="0.3">
      <c r="B30" s="1375" t="s">
        <v>2040</v>
      </c>
      <c r="C30" s="4239">
        <f>'Table2(I)'!C57</f>
        <v>142.79295785880095</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53.637044500000009</v>
      </c>
      <c r="N30" s="4242" t="str">
        <f>'Table2(I)'!N57</f>
        <v>NA</v>
      </c>
      <c r="O30" s="3798">
        <f t="shared" si="2"/>
        <v>142.79295785880095</v>
      </c>
    </row>
    <row r="31" spans="2:15" ht="18" customHeight="1" x14ac:dyDescent="0.25">
      <c r="B31" s="1134" t="s">
        <v>1491</v>
      </c>
      <c r="C31" s="3817">
        <f>Table3!C10</f>
        <v>1512.8996475617591</v>
      </c>
      <c r="D31" s="3799">
        <f>Table3!D10</f>
        <v>2577.0843807887854</v>
      </c>
      <c r="E31" s="3800">
        <f>Table3!E10</f>
        <v>44.258586676092179</v>
      </c>
      <c r="F31" s="3801"/>
      <c r="G31" s="3801"/>
      <c r="H31" s="3801"/>
      <c r="I31" s="3801"/>
      <c r="J31" s="3801"/>
      <c r="K31" s="4243">
        <f>Table3!F10</f>
        <v>37.01190063579476</v>
      </c>
      <c r="L31" s="4243">
        <f>Table3!G10</f>
        <v>600.37389933308827</v>
      </c>
      <c r="M31" s="4243">
        <f>Table3!H10</f>
        <v>35.021810794430152</v>
      </c>
      <c r="N31" s="4244" t="str">
        <f>Table3!I10</f>
        <v>NO</v>
      </c>
      <c r="O31" s="3782">
        <f t="shared" si="2"/>
        <v>85399.78777881217</v>
      </c>
    </row>
    <row r="32" spans="2:15" ht="18" customHeight="1" x14ac:dyDescent="0.25">
      <c r="B32" s="4245" t="s">
        <v>1492</v>
      </c>
      <c r="C32" s="3791"/>
      <c r="D32" s="4246">
        <f>Table3!D11</f>
        <v>2310.1841058542395</v>
      </c>
      <c r="E32" s="98"/>
      <c r="F32" s="3802"/>
      <c r="G32" s="3802"/>
      <c r="H32" s="3789"/>
      <c r="I32" s="3802"/>
      <c r="J32" s="3789"/>
      <c r="K32" s="98"/>
      <c r="L32" s="98"/>
      <c r="M32" s="98"/>
      <c r="N32" s="3803"/>
      <c r="O32" s="3782">
        <f t="shared" si="2"/>
        <v>64685.154963918707</v>
      </c>
    </row>
    <row r="33" spans="2:15" ht="18" customHeight="1" x14ac:dyDescent="0.25">
      <c r="B33" s="4245" t="s">
        <v>1493</v>
      </c>
      <c r="C33" s="3791"/>
      <c r="D33" s="4226">
        <f>Table3!D20</f>
        <v>227.88002588754338</v>
      </c>
      <c r="E33" s="4226">
        <f>Table3!E20</f>
        <v>1.091656713180658</v>
      </c>
      <c r="F33" s="3802"/>
      <c r="G33" s="3802"/>
      <c r="H33" s="3802"/>
      <c r="I33" s="3802"/>
      <c r="J33" s="3802"/>
      <c r="K33" s="69"/>
      <c r="L33" s="69"/>
      <c r="M33" s="4247" t="str">
        <f>Table3!H20</f>
        <v>NE</v>
      </c>
      <c r="N33" s="3804"/>
      <c r="O33" s="3783">
        <f t="shared" si="2"/>
        <v>6669.9297538440896</v>
      </c>
    </row>
    <row r="34" spans="2:15" ht="18" customHeight="1" x14ac:dyDescent="0.25">
      <c r="B34" s="4245" t="s">
        <v>1494</v>
      </c>
      <c r="C34" s="3791"/>
      <c r="D34" s="4226">
        <f>Table3!D31</f>
        <v>23.626046499999998</v>
      </c>
      <c r="E34" s="69"/>
      <c r="F34" s="3802"/>
      <c r="G34" s="3802"/>
      <c r="H34" s="3802"/>
      <c r="I34" s="3802"/>
      <c r="J34" s="3802"/>
      <c r="K34" s="69"/>
      <c r="L34" s="69"/>
      <c r="M34" s="4247" t="str">
        <f>Table3!H31</f>
        <v>NE</v>
      </c>
      <c r="N34" s="3804"/>
      <c r="O34" s="3783">
        <f t="shared" si="2"/>
        <v>661.52930199999992</v>
      </c>
    </row>
    <row r="35" spans="2:15" ht="18" customHeight="1" x14ac:dyDescent="0.25">
      <c r="B35" s="4245" t="s">
        <v>1495</v>
      </c>
      <c r="C35" s="4248"/>
      <c r="D35" s="4226" t="str">
        <f>Table3!D32</f>
        <v>NE</v>
      </c>
      <c r="E35" s="4226">
        <f>Table3!E32</f>
        <v>42.526309902217427</v>
      </c>
      <c r="F35" s="3802"/>
      <c r="G35" s="3802"/>
      <c r="H35" s="3802"/>
      <c r="I35" s="3802"/>
      <c r="J35" s="3802"/>
      <c r="K35" s="4247" t="str">
        <f>Table3!F32</f>
        <v>NO</v>
      </c>
      <c r="L35" s="4247" t="str">
        <f>Table3!G32</f>
        <v>NO</v>
      </c>
      <c r="M35" s="4247" t="str">
        <f>Table3!H32</f>
        <v>NO</v>
      </c>
      <c r="N35" s="3804"/>
      <c r="O35" s="3783">
        <f t="shared" si="2"/>
        <v>11269.472124087619</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15.39420254700226</v>
      </c>
      <c r="E37" s="4226">
        <f>Table3!E43</f>
        <v>0.6406200606940875</v>
      </c>
      <c r="F37" s="3802"/>
      <c r="G37" s="3802"/>
      <c r="H37" s="3802"/>
      <c r="I37" s="3802"/>
      <c r="J37" s="3802"/>
      <c r="K37" s="4247">
        <f>Table3!F43</f>
        <v>37.01190063579476</v>
      </c>
      <c r="L37" s="4247">
        <f>Table3!G43</f>
        <v>600.37389933308827</v>
      </c>
      <c r="M37" s="4247">
        <f>Table3!H43</f>
        <v>35.021810794430152</v>
      </c>
      <c r="N37" s="4247" t="str">
        <f>Table3!I43</f>
        <v>NO</v>
      </c>
      <c r="O37" s="3783">
        <f t="shared" si="2"/>
        <v>600.80198739999651</v>
      </c>
    </row>
    <row r="38" spans="2:15" ht="18" customHeight="1" x14ac:dyDescent="0.25">
      <c r="B38" s="4249" t="s">
        <v>721</v>
      </c>
      <c r="C38" s="3794">
        <f>Table3!C44</f>
        <v>720.58080698204878</v>
      </c>
      <c r="D38" s="4250"/>
      <c r="E38" s="4250"/>
      <c r="F38" s="3792"/>
      <c r="G38" s="3792"/>
      <c r="H38" s="3792"/>
      <c r="I38" s="3792"/>
      <c r="J38" s="3792"/>
      <c r="K38" s="3805"/>
      <c r="L38" s="3805"/>
      <c r="M38" s="3805"/>
      <c r="N38" s="3793"/>
      <c r="O38" s="3785">
        <f t="shared" si="2"/>
        <v>720.58080698204878</v>
      </c>
    </row>
    <row r="39" spans="2:15" ht="18" customHeight="1" x14ac:dyDescent="0.25">
      <c r="B39" s="4249" t="s">
        <v>722</v>
      </c>
      <c r="C39" s="3806">
        <f>Table3!C45</f>
        <v>792.31884057971024</v>
      </c>
      <c r="D39" s="4250"/>
      <c r="E39" s="4250"/>
      <c r="F39" s="3792"/>
      <c r="G39" s="3792"/>
      <c r="H39" s="3792"/>
      <c r="I39" s="3792"/>
      <c r="J39" s="3792"/>
      <c r="K39" s="3805"/>
      <c r="L39" s="3805"/>
      <c r="M39" s="3805"/>
      <c r="N39" s="3793"/>
      <c r="O39" s="3785">
        <f t="shared" si="2"/>
        <v>792.31884057971024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27019.109398414876</v>
      </c>
      <c r="D42" s="3809">
        <f>Table4!D10</f>
        <v>655.48495132024084</v>
      </c>
      <c r="E42" s="3810">
        <f>Table4!E10</f>
        <v>16.099685221292003</v>
      </c>
      <c r="F42" s="3801"/>
      <c r="G42" s="3801"/>
      <c r="H42" s="3801"/>
      <c r="I42" s="3801"/>
      <c r="J42" s="3801"/>
      <c r="K42" s="4253">
        <f>Table4!F10</f>
        <v>933.77463891491891</v>
      </c>
      <c r="L42" s="4253">
        <f>Table4!G10</f>
        <v>24617.656450198516</v>
      </c>
      <c r="M42" s="4253">
        <f>Table4!H10</f>
        <v>689.28387238375842</v>
      </c>
      <c r="N42" s="4254" t="str">
        <f>N50</f>
        <v>NO</v>
      </c>
      <c r="O42" s="3781">
        <f t="shared" si="2"/>
        <v>49639.104619024001</v>
      </c>
    </row>
    <row r="43" spans="2:15" ht="18" customHeight="1" x14ac:dyDescent="0.25">
      <c r="B43" s="4245" t="s">
        <v>2042</v>
      </c>
      <c r="C43" s="4255">
        <f>Table4!C11</f>
        <v>-37278.770755724319</v>
      </c>
      <c r="D43" s="4256">
        <f>Table4!D11</f>
        <v>203.68258593676029</v>
      </c>
      <c r="E43" s="4257">
        <f>Table4!E11</f>
        <v>4.4446220989247163</v>
      </c>
      <c r="F43" s="3792"/>
      <c r="G43" s="3792"/>
      <c r="H43" s="3792"/>
      <c r="I43" s="3792"/>
      <c r="J43" s="3792"/>
      <c r="K43" s="4247">
        <f>Table4!F11</f>
        <v>237.53644059042151</v>
      </c>
      <c r="L43" s="4247">
        <f>Table4!G11</f>
        <v>6250.6035590251404</v>
      </c>
      <c r="M43" s="4247">
        <f>Table4!H11</f>
        <v>176.0268135605728</v>
      </c>
      <c r="N43" s="3811"/>
      <c r="O43" s="3812">
        <f t="shared" si="2"/>
        <v>-30397.833493279981</v>
      </c>
    </row>
    <row r="44" spans="2:15" ht="18" customHeight="1" x14ac:dyDescent="0.25">
      <c r="B44" s="4245" t="s">
        <v>2043</v>
      </c>
      <c r="C44" s="4255">
        <f>Table4!C14</f>
        <v>4846.7204649307096</v>
      </c>
      <c r="D44" s="4258">
        <f>Table4!D14</f>
        <v>4.6514591999999997</v>
      </c>
      <c r="E44" s="4258">
        <f>Table4!E14</f>
        <v>0.23714124362800956</v>
      </c>
      <c r="F44" s="3802"/>
      <c r="G44" s="3802"/>
      <c r="H44" s="3802"/>
      <c r="I44" s="3802"/>
      <c r="J44" s="3802"/>
      <c r="K44" s="4247">
        <f>Table4!F14</f>
        <v>3.5024380285714281</v>
      </c>
      <c r="L44" s="4247">
        <f>Table4!G14</f>
        <v>137.17497733333337</v>
      </c>
      <c r="M44" s="4247">
        <f>Table4!H14</f>
        <v>16.581590666666667</v>
      </c>
      <c r="N44" s="4259"/>
      <c r="O44" s="3783">
        <f t="shared" si="2"/>
        <v>5039.8037520921316</v>
      </c>
    </row>
    <row r="45" spans="2:15" ht="18" customHeight="1" x14ac:dyDescent="0.25">
      <c r="B45" s="4245" t="s">
        <v>2044</v>
      </c>
      <c r="C45" s="4255">
        <f>Table4!C17</f>
        <v>59677.83172522884</v>
      </c>
      <c r="D45" s="4258">
        <f>Table4!D17</f>
        <v>350.7844926693287</v>
      </c>
      <c r="E45" s="4258">
        <f>Table4!E17</f>
        <v>10.924468425358238</v>
      </c>
      <c r="F45" s="3802"/>
      <c r="G45" s="3802"/>
      <c r="H45" s="3802"/>
      <c r="I45" s="3802"/>
      <c r="J45" s="3802"/>
      <c r="K45" s="4247">
        <f>Table4!F17</f>
        <v>665.84500700711499</v>
      </c>
      <c r="L45" s="4247">
        <f>Table4!G17</f>
        <v>17548.797139574748</v>
      </c>
      <c r="M45" s="4247">
        <f>Table4!H17</f>
        <v>484.99175542227931</v>
      </c>
      <c r="N45" s="4259"/>
      <c r="O45" s="3783">
        <f t="shared" si="2"/>
        <v>72394.781652689984</v>
      </c>
    </row>
    <row r="46" spans="2:15" ht="18" customHeight="1" x14ac:dyDescent="0.25">
      <c r="B46" s="4245" t="s">
        <v>2045</v>
      </c>
      <c r="C46" s="4255">
        <f>Table4!C20</f>
        <v>1126.000824608037</v>
      </c>
      <c r="D46" s="4258">
        <f>Table4!D20</f>
        <v>93.194662314151884</v>
      </c>
      <c r="E46" s="4258">
        <f>Table4!E20</f>
        <v>0.33938700527281834</v>
      </c>
      <c r="F46" s="3802"/>
      <c r="G46" s="3802"/>
      <c r="H46" s="3802"/>
      <c r="I46" s="3802"/>
      <c r="J46" s="3802"/>
      <c r="K46" s="4247">
        <f>Table4!F20</f>
        <v>24.502500153096623</v>
      </c>
      <c r="L46" s="4247">
        <f>Table4!G20</f>
        <v>587.5434819319612</v>
      </c>
      <c r="M46" s="4247">
        <f>Table4!H20</f>
        <v>0.37700706757300845</v>
      </c>
      <c r="N46" s="4259"/>
      <c r="O46" s="3783">
        <f t="shared" si="2"/>
        <v>3825.3889258015865</v>
      </c>
    </row>
    <row r="47" spans="2:15" ht="18" customHeight="1" x14ac:dyDescent="0.25">
      <c r="B47" s="4245" t="s">
        <v>2046</v>
      </c>
      <c r="C47" s="4255">
        <f>Table4!C23</f>
        <v>4984.8809461455048</v>
      </c>
      <c r="D47" s="4258">
        <f>Table4!D23</f>
        <v>3.1717512000000001</v>
      </c>
      <c r="E47" s="4260">
        <f>Table4!E23</f>
        <v>0.10035728239393597</v>
      </c>
      <c r="F47" s="3802"/>
      <c r="G47" s="3802"/>
      <c r="H47" s="3802"/>
      <c r="I47" s="3802"/>
      <c r="J47" s="3802"/>
      <c r="K47" s="4247">
        <f>Table4!F23</f>
        <v>2.3882531357142858</v>
      </c>
      <c r="L47" s="4247">
        <f>Table4!G23</f>
        <v>93.53729233333334</v>
      </c>
      <c r="M47" s="4247">
        <f>Table4!H23</f>
        <v>11.306705666666666</v>
      </c>
      <c r="N47" s="1838"/>
      <c r="O47" s="3783">
        <f t="shared" si="2"/>
        <v>5100.2846595798974</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-6338.0606437674905</v>
      </c>
      <c r="D49" s="3792"/>
      <c r="E49" s="3792"/>
      <c r="F49" s="3792"/>
      <c r="G49" s="3792"/>
      <c r="H49" s="3792"/>
      <c r="I49" s="3792"/>
      <c r="J49" s="3792"/>
      <c r="K49" s="3792"/>
      <c r="L49" s="3792"/>
      <c r="M49" s="3792"/>
      <c r="N49" s="3814"/>
      <c r="O49" s="3785">
        <f t="shared" si="2"/>
        <v>-6338.0606437674905</v>
      </c>
    </row>
    <row r="50" spans="2:15" ht="18" customHeight="1" thickBot="1" x14ac:dyDescent="0.3">
      <c r="B50" s="4251" t="s">
        <v>2049</v>
      </c>
      <c r="C50" s="4264">
        <f>Table4!C30</f>
        <v>0.50683699359333334</v>
      </c>
      <c r="D50" s="4265" t="str">
        <f>Table4!D30</f>
        <v>NO</v>
      </c>
      <c r="E50" s="4265">
        <f>Table4!E30</f>
        <v>5.3709165714285717E-2</v>
      </c>
      <c r="F50" s="3807"/>
      <c r="G50" s="3807"/>
      <c r="H50" s="3807"/>
      <c r="I50" s="3807"/>
      <c r="J50" s="3807"/>
      <c r="K50" s="4266" t="str">
        <f>Table4!F30</f>
        <v>NO</v>
      </c>
      <c r="L50" s="4266" t="str">
        <f>Table4!G30</f>
        <v>NO</v>
      </c>
      <c r="M50" s="4266" t="str">
        <f>Table4!H30</f>
        <v>NO</v>
      </c>
      <c r="N50" s="4266" t="s">
        <v>2146</v>
      </c>
      <c r="O50" s="3798">
        <f t="shared" si="2"/>
        <v>14.739765907879049</v>
      </c>
    </row>
    <row r="51" spans="2:15" ht="18" customHeight="1" x14ac:dyDescent="0.25">
      <c r="B51" s="1377" t="s">
        <v>1500</v>
      </c>
      <c r="C51" s="3815">
        <f>Table5!C10</f>
        <v>29.325568882446802</v>
      </c>
      <c r="D51" s="3799">
        <f>Table5!D10</f>
        <v>678.32652710387845</v>
      </c>
      <c r="E51" s="3800">
        <f>Table5!E10</f>
        <v>0.77667629320589471</v>
      </c>
      <c r="F51" s="3801"/>
      <c r="G51" s="3801"/>
      <c r="H51" s="3801"/>
      <c r="I51" s="3801"/>
      <c r="J51" s="3801"/>
      <c r="K51" s="4243" t="str">
        <f>Table5!F10</f>
        <v>NO</v>
      </c>
      <c r="L51" s="4243" t="str">
        <f>Table5!G10</f>
        <v>NO</v>
      </c>
      <c r="M51" s="4243">
        <f>Table5!H10</f>
        <v>417.57874384698749</v>
      </c>
      <c r="N51" s="4244" t="str">
        <f>Table5!I10</f>
        <v>NO</v>
      </c>
      <c r="O51" s="4267">
        <f t="shared" si="2"/>
        <v>19228.287545490606</v>
      </c>
    </row>
    <row r="52" spans="2:15" ht="18" customHeight="1" x14ac:dyDescent="0.25">
      <c r="B52" s="4245" t="s">
        <v>2050</v>
      </c>
      <c r="C52" s="4248"/>
      <c r="D52" s="4246">
        <f>Table5!D11</f>
        <v>498.85536762000004</v>
      </c>
      <c r="E52" s="3816"/>
      <c r="F52" s="3801"/>
      <c r="G52" s="3801"/>
      <c r="H52" s="3801"/>
      <c r="I52" s="3801"/>
      <c r="J52" s="3801"/>
      <c r="K52" s="4247" t="str">
        <f>Table5!F11</f>
        <v>NO</v>
      </c>
      <c r="L52" s="4247" t="str">
        <f>Table5!G11</f>
        <v>NO</v>
      </c>
      <c r="M52" s="4247">
        <f>Table5!H11</f>
        <v>2.7565942104522891</v>
      </c>
      <c r="N52" s="3803"/>
      <c r="O52" s="4267">
        <f t="shared" si="2"/>
        <v>13967.950293360002</v>
      </c>
    </row>
    <row r="53" spans="2:15" ht="18" customHeight="1" x14ac:dyDescent="0.25">
      <c r="B53" s="4245" t="s">
        <v>1501</v>
      </c>
      <c r="C53" s="4248"/>
      <c r="D53" s="4246">
        <f>Table5!D15</f>
        <v>1.5457768551959998</v>
      </c>
      <c r="E53" s="4246">
        <f>Table5!E15</f>
        <v>0.19785943746508797</v>
      </c>
      <c r="F53" s="3802"/>
      <c r="G53" s="3802"/>
      <c r="H53" s="3802"/>
      <c r="I53" s="3802"/>
      <c r="J53" s="3802"/>
      <c r="K53" s="4247" t="str">
        <f>Table5!F15</f>
        <v>NA,NE</v>
      </c>
      <c r="L53" s="4247" t="str">
        <f>Table5!G15</f>
        <v>NA,NE</v>
      </c>
      <c r="M53" s="4247" t="str">
        <f>Table5!H15</f>
        <v>NA,NE</v>
      </c>
      <c r="N53" s="3803"/>
      <c r="O53" s="3782">
        <f t="shared" si="2"/>
        <v>95.714502873736308</v>
      </c>
    </row>
    <row r="54" spans="2:15" ht="18" customHeight="1" x14ac:dyDescent="0.25">
      <c r="B54" s="4245" t="s">
        <v>2051</v>
      </c>
      <c r="C54" s="4268">
        <f>Table5!C18</f>
        <v>29.325568882446802</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29.325568882446802</v>
      </c>
    </row>
    <row r="55" spans="2:15" ht="18" customHeight="1" x14ac:dyDescent="0.25">
      <c r="B55" s="4245" t="s">
        <v>1502</v>
      </c>
      <c r="C55" s="3791"/>
      <c r="D55" s="4226">
        <f>Table5!D21</f>
        <v>177.9253826286824</v>
      </c>
      <c r="E55" s="4226">
        <f>Table5!E21</f>
        <v>0.57881685574080677</v>
      </c>
      <c r="F55" s="3802"/>
      <c r="G55" s="3802"/>
      <c r="H55" s="3802"/>
      <c r="I55" s="3802"/>
      <c r="J55" s="3802"/>
      <c r="K55" s="4247" t="str">
        <f>Table5!F21</f>
        <v>NO</v>
      </c>
      <c r="L55" s="4247" t="str">
        <f>Table5!G21</f>
        <v>NO</v>
      </c>
      <c r="M55" s="4247">
        <f>Table5!H21</f>
        <v>414.82214963653519</v>
      </c>
      <c r="N55" s="3803"/>
      <c r="O55" s="4270">
        <f t="shared" si="2"/>
        <v>5135.2971803744213</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9804.7000000000007</v>
      </c>
      <c r="D61" s="3820">
        <f>Table1!D52</f>
        <v>0.24898613499999997</v>
      </c>
      <c r="E61" s="3820">
        <f>Table1!E52</f>
        <v>0.10482924900263157</v>
      </c>
      <c r="F61" s="628"/>
      <c r="G61" s="628"/>
      <c r="H61" s="628"/>
      <c r="I61" s="628"/>
      <c r="J61" s="628"/>
      <c r="K61" s="3820">
        <f>Table1!F52</f>
        <v>103.1332270044737</v>
      </c>
      <c r="L61" s="3820">
        <f>Table1!G52</f>
        <v>13.538075621315791</v>
      </c>
      <c r="M61" s="3820">
        <f>Table1!H52</f>
        <v>7.6894316107105265</v>
      </c>
      <c r="N61" s="3821">
        <f>Table1!I52</f>
        <v>39.115754197031038</v>
      </c>
      <c r="O61" s="4267">
        <f t="shared" ref="O61:O67" si="4">IF(SUM(C61:J61)=0,"NO",SUM(C61,F61:H61)+28*SUM(D61)+265*SUM(E61)+23500*SUM(I61)+16100*SUM(J61))</f>
        <v>9839.4513627656979</v>
      </c>
    </row>
    <row r="62" spans="2:15" ht="18" customHeight="1" x14ac:dyDescent="0.25">
      <c r="B62" s="1371" t="s">
        <v>111</v>
      </c>
      <c r="C62" s="4279">
        <f>Table1!C53</f>
        <v>7328.88</v>
      </c>
      <c r="D62" s="4233">
        <f>Table1!D53</f>
        <v>1.2036134999999998E-2</v>
      </c>
      <c r="E62" s="4233">
        <f>Table1!E53</f>
        <v>3.7129249002631572E-2</v>
      </c>
      <c r="F62" s="628"/>
      <c r="G62" s="628"/>
      <c r="H62" s="628"/>
      <c r="I62" s="628"/>
      <c r="J62" s="2135"/>
      <c r="K62" s="4233">
        <f>Table1!F53</f>
        <v>37.197227004473689</v>
      </c>
      <c r="L62" s="4233">
        <f>Table1!G53</f>
        <v>11.548875621315791</v>
      </c>
      <c r="M62" s="4233">
        <f>Table1!H53</f>
        <v>5.6282816107105269</v>
      </c>
      <c r="N62" s="4234">
        <f>Table1!I53</f>
        <v>0.86346000000000012</v>
      </c>
      <c r="O62" s="3782">
        <f t="shared" si="4"/>
        <v>7339.0562627656973</v>
      </c>
    </row>
    <row r="63" spans="2:15" ht="18" customHeight="1" x14ac:dyDescent="0.25">
      <c r="B63" s="1380" t="s">
        <v>1503</v>
      </c>
      <c r="C63" s="4279">
        <f>Table1!C54</f>
        <v>2475.8199999999997</v>
      </c>
      <c r="D63" s="4219">
        <f>Table1!D54</f>
        <v>0.23694999999999997</v>
      </c>
      <c r="E63" s="4219">
        <f>Table1!E54</f>
        <v>6.7699999999999996E-2</v>
      </c>
      <c r="F63" s="628"/>
      <c r="G63" s="628"/>
      <c r="H63" s="628"/>
      <c r="I63" s="628"/>
      <c r="J63" s="628"/>
      <c r="K63" s="4219">
        <f>Table1!F54</f>
        <v>65.936000000000007</v>
      </c>
      <c r="L63" s="4219">
        <f>Table1!G54</f>
        <v>1.9891999999999999</v>
      </c>
      <c r="M63" s="4219">
        <f>Table1!H54</f>
        <v>2.0611499999999996</v>
      </c>
      <c r="N63" s="4220">
        <f>Table1!I54</f>
        <v>38.252294197031034</v>
      </c>
      <c r="O63" s="3783">
        <f t="shared" si="4"/>
        <v>2500.3950999999997</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19067.450680000002</v>
      </c>
      <c r="D65" s="3823"/>
      <c r="E65" s="3823"/>
      <c r="F65" s="3824"/>
      <c r="G65" s="3824"/>
      <c r="H65" s="3824"/>
      <c r="I65" s="3824"/>
      <c r="J65" s="3823"/>
      <c r="K65" s="3823"/>
      <c r="L65" s="3823"/>
      <c r="M65" s="3823"/>
      <c r="N65" s="3825"/>
      <c r="O65" s="3812">
        <f t="shared" si="4"/>
        <v>19067.450680000002</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-225660.25716917301</v>
      </c>
      <c r="D67" s="3824"/>
      <c r="E67" s="3824"/>
      <c r="F67" s="3828"/>
      <c r="G67" s="3824"/>
      <c r="H67" s="3824"/>
      <c r="I67" s="3824"/>
      <c r="J67" s="3824"/>
      <c r="K67" s="3824"/>
      <c r="L67" s="3824"/>
      <c r="M67" s="3824"/>
      <c r="N67" s="3829"/>
      <c r="O67" s="3785">
        <f t="shared" si="4"/>
        <v>-225660.25716917301</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370978.31579456624</v>
      </c>
      <c r="D10" s="4213">
        <f>IFERROR(Summary1!D10*28,Summary1!D10)</f>
        <v>146216.05023200723</v>
      </c>
      <c r="E10" s="4213">
        <f>IFERROR(Summary1!E10*265,Summary1!E10)</f>
        <v>20268.743956597955</v>
      </c>
      <c r="F10" s="4213">
        <f>Summary1!F10</f>
        <v>904.91759376843311</v>
      </c>
      <c r="G10" s="4213">
        <f>Summary1!G10</f>
        <v>1024.4655200863303</v>
      </c>
      <c r="H10" s="4213" t="str">
        <f>Summary1!H10</f>
        <v>NO</v>
      </c>
      <c r="I10" s="4288">
        <f>IFERROR(Summary1!I10*23500,Summary1!I10)</f>
        <v>217.77596856722664</v>
      </c>
      <c r="J10" s="4289" t="str">
        <f>IFERROR(Summary1!J10*16100,Summary1!J10)</f>
        <v>NO</v>
      </c>
      <c r="K10" s="4214">
        <f>IF(SUM(C10:J10)=0,"NO",SUM(C10:J10))</f>
        <v>539610.26906559349</v>
      </c>
    </row>
    <row r="11" spans="2:12" ht="18" customHeight="1" x14ac:dyDescent="0.2">
      <c r="B11" s="1550" t="s">
        <v>1476</v>
      </c>
      <c r="C11" s="4253">
        <f>Summary1!C11</f>
        <v>320227.94556871982</v>
      </c>
      <c r="D11" s="4253">
        <f>IFERROR(Summary1!D11*28,Summary1!D11)</f>
        <v>36603.503702484471</v>
      </c>
      <c r="E11" s="4253">
        <f>IFERROR(Summary1!E11*265,Summary1!E11)</f>
        <v>2596.7912480999121</v>
      </c>
      <c r="F11" s="1929"/>
      <c r="G11" s="1929"/>
      <c r="H11" s="1930"/>
      <c r="I11" s="1930"/>
      <c r="J11" s="627"/>
      <c r="K11" s="4290">
        <f t="shared" ref="K11:K55" si="0">IF(SUM(C11:J11)=0,"NO",SUM(C11:J11))</f>
        <v>359428.24051930424</v>
      </c>
      <c r="L11" s="19"/>
    </row>
    <row r="12" spans="2:12" ht="18" customHeight="1" x14ac:dyDescent="0.2">
      <c r="B12" s="620" t="s">
        <v>131</v>
      </c>
      <c r="C12" s="4247">
        <f>Summary1!C12</f>
        <v>313062.80677665863</v>
      </c>
      <c r="D12" s="4247">
        <f>IFERROR(Summary1!D12*28,Summary1!D12)</f>
        <v>3240.3606186229285</v>
      </c>
      <c r="E12" s="4247">
        <f>IFERROR(Summary1!E12*265,Summary1!E12)</f>
        <v>2572.4360636138981</v>
      </c>
      <c r="F12" s="628"/>
      <c r="G12" s="628"/>
      <c r="H12" s="628"/>
      <c r="I12" s="69"/>
      <c r="J12" s="69"/>
      <c r="K12" s="4291">
        <f t="shared" si="0"/>
        <v>318875.60345889546</v>
      </c>
      <c r="L12" s="19"/>
    </row>
    <row r="13" spans="2:12" ht="18" customHeight="1" x14ac:dyDescent="0.2">
      <c r="B13" s="1392" t="s">
        <v>1478</v>
      </c>
      <c r="C13" s="4247">
        <f>Summary1!C13</f>
        <v>188804.16706406116</v>
      </c>
      <c r="D13" s="4247">
        <f>IFERROR(Summary1!D13*28,Summary1!D13)</f>
        <v>259.04034054198132</v>
      </c>
      <c r="E13" s="4247">
        <f>IFERROR(Summary1!E13*265,Summary1!E13)</f>
        <v>591.59255822814816</v>
      </c>
      <c r="F13" s="628"/>
      <c r="G13" s="628"/>
      <c r="H13" s="628"/>
      <c r="I13" s="69"/>
      <c r="J13" s="69"/>
      <c r="K13" s="4291">
        <f t="shared" si="0"/>
        <v>189654.79996283128</v>
      </c>
      <c r="L13" s="19"/>
    </row>
    <row r="14" spans="2:12" ht="18" customHeight="1" x14ac:dyDescent="0.2">
      <c r="B14" s="1392" t="s">
        <v>1517</v>
      </c>
      <c r="C14" s="4247">
        <f>Summary1!C14</f>
        <v>37694.584804338745</v>
      </c>
      <c r="D14" s="4247">
        <f>IFERROR(Summary1!D14*28,Summary1!D14)</f>
        <v>64.010639315944942</v>
      </c>
      <c r="E14" s="4247">
        <f>IFERROR(Summary1!E14*265,Summary1!E14)</f>
        <v>350.06362579645719</v>
      </c>
      <c r="F14" s="628"/>
      <c r="G14" s="628"/>
      <c r="H14" s="628"/>
      <c r="I14" s="69"/>
      <c r="J14" s="69"/>
      <c r="K14" s="4291">
        <f t="shared" si="0"/>
        <v>38108.659069451147</v>
      </c>
      <c r="L14" s="19"/>
    </row>
    <row r="15" spans="2:12" ht="18" customHeight="1" x14ac:dyDescent="0.2">
      <c r="B15" s="1392" t="s">
        <v>1480</v>
      </c>
      <c r="C15" s="4247">
        <f>Summary1!C15</f>
        <v>70158.125555101506</v>
      </c>
      <c r="D15" s="4247">
        <f>IFERROR(Summary1!D15*28,Summary1!D15)</f>
        <v>804.80951053899366</v>
      </c>
      <c r="E15" s="4247">
        <f>IFERROR(Summary1!E15*265,Summary1!E15)</f>
        <v>1467.6809536192159</v>
      </c>
      <c r="F15" s="628"/>
      <c r="G15" s="628"/>
      <c r="H15" s="628"/>
      <c r="I15" s="69"/>
      <c r="J15" s="69"/>
      <c r="K15" s="4291">
        <f t="shared" si="0"/>
        <v>72430.616019259716</v>
      </c>
      <c r="L15" s="19"/>
    </row>
    <row r="16" spans="2:12" ht="18" customHeight="1" x14ac:dyDescent="0.2">
      <c r="B16" s="1392" t="s">
        <v>1481</v>
      </c>
      <c r="C16" s="4247">
        <f>Summary1!C16</f>
        <v>15779.169384823213</v>
      </c>
      <c r="D16" s="4247">
        <f>IFERROR(Summary1!D16*28,Summary1!D16)</f>
        <v>2111.6693022078211</v>
      </c>
      <c r="E16" s="4247">
        <f>IFERROR(Summary1!E16*265,Summary1!E16)</f>
        <v>158.56325763652615</v>
      </c>
      <c r="F16" s="628"/>
      <c r="G16" s="628"/>
      <c r="H16" s="628"/>
      <c r="I16" s="69"/>
      <c r="J16" s="69"/>
      <c r="K16" s="4291">
        <f t="shared" si="0"/>
        <v>18049.401944667563</v>
      </c>
      <c r="L16" s="19"/>
    </row>
    <row r="17" spans="2:12" ht="18" customHeight="1" x14ac:dyDescent="0.2">
      <c r="B17" s="1392" t="s">
        <v>1482</v>
      </c>
      <c r="C17" s="4247">
        <f>Summary1!C17</f>
        <v>626.75996833401359</v>
      </c>
      <c r="D17" s="4247">
        <f>IFERROR(Summary1!D17*28,Summary1!D17)</f>
        <v>0.83082601818724378</v>
      </c>
      <c r="E17" s="4247">
        <f>IFERROR(Summary1!E17*265,Summary1!E17)</f>
        <v>4.5356683335507002</v>
      </c>
      <c r="F17" s="628"/>
      <c r="G17" s="628"/>
      <c r="H17" s="628"/>
      <c r="I17" s="69"/>
      <c r="J17" s="69"/>
      <c r="K17" s="4291">
        <f t="shared" si="0"/>
        <v>632.12646268575156</v>
      </c>
      <c r="L17" s="19"/>
    </row>
    <row r="18" spans="2:12" ht="18" customHeight="1" x14ac:dyDescent="0.2">
      <c r="B18" s="620" t="s">
        <v>99</v>
      </c>
      <c r="C18" s="4247">
        <f>Summary1!C18</f>
        <v>7165.1387920611951</v>
      </c>
      <c r="D18" s="4247">
        <f>IFERROR(Summary1!D18*28,Summary1!D18)</f>
        <v>33363.143083861549</v>
      </c>
      <c r="E18" s="4247">
        <f>IFERROR(Summary1!E18*265,Summary1!E18)</f>
        <v>24.355184486014089</v>
      </c>
      <c r="F18" s="628"/>
      <c r="G18" s="628"/>
      <c r="H18" s="628"/>
      <c r="I18" s="69"/>
      <c r="J18" s="69"/>
      <c r="K18" s="4291">
        <f t="shared" si="0"/>
        <v>40552.637060408757</v>
      </c>
      <c r="L18" s="19"/>
    </row>
    <row r="19" spans="2:12" ht="18" customHeight="1" x14ac:dyDescent="0.2">
      <c r="B19" s="1392" t="s">
        <v>1483</v>
      </c>
      <c r="C19" s="4247">
        <f>Summary1!C19</f>
        <v>1127.8534806311106</v>
      </c>
      <c r="D19" s="4247">
        <f>IFERROR(Summary1!D19*28,Summary1!D19)</f>
        <v>26432.142971614991</v>
      </c>
      <c r="E19" s="4247">
        <f>IFERROR(Summary1!E19*265,Summary1!E19)</f>
        <v>5.1295895275195666E-3</v>
      </c>
      <c r="F19" s="628"/>
      <c r="G19" s="628"/>
      <c r="H19" s="628"/>
      <c r="I19" s="69"/>
      <c r="J19" s="69"/>
      <c r="K19" s="4291">
        <f t="shared" si="0"/>
        <v>27560.00158183563</v>
      </c>
      <c r="L19" s="19"/>
    </row>
    <row r="20" spans="2:12" ht="18" customHeight="1" x14ac:dyDescent="0.2">
      <c r="B20" s="1393" t="s">
        <v>1484</v>
      </c>
      <c r="C20" s="4247">
        <f>Summary1!C20</f>
        <v>6037.2853114300842</v>
      </c>
      <c r="D20" s="4247">
        <f>IFERROR(Summary1!D20*28,Summary1!D20)</f>
        <v>6931.0001122465565</v>
      </c>
      <c r="E20" s="4247">
        <f>IFERROR(Summary1!E20*265,Summary1!E20)</f>
        <v>24.350054896486569</v>
      </c>
      <c r="F20" s="628"/>
      <c r="G20" s="628"/>
      <c r="H20" s="628"/>
      <c r="I20" s="69"/>
      <c r="J20" s="69"/>
      <c r="K20" s="4291">
        <f t="shared" si="0"/>
        <v>12992.635478573126</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22189.035610987365</v>
      </c>
      <c r="D22" s="4253">
        <f>IFERROR(Summary1!D22*28,Summary1!D22)</f>
        <v>107.46247156142856</v>
      </c>
      <c r="E22" s="4253">
        <f>IFERROR(Summary1!E22*265,Summary1!E22)</f>
        <v>1471.191437991675</v>
      </c>
      <c r="F22" s="4253">
        <f>Summary1!F22</f>
        <v>904.91759376843311</v>
      </c>
      <c r="G22" s="4253">
        <f>Summary1!G22</f>
        <v>1024.4655200863303</v>
      </c>
      <c r="H22" s="4253" t="str">
        <f>Summary1!H22</f>
        <v>NO</v>
      </c>
      <c r="I22" s="4253">
        <f>IFERROR(Summary1!I22*23500,Summary1!I22)</f>
        <v>217.77596856722664</v>
      </c>
      <c r="J22" s="4293" t="str">
        <f>IFERROR(Summary1!J22*16100,Summary1!J22)</f>
        <v>NO</v>
      </c>
      <c r="K22" s="4290">
        <f t="shared" si="0"/>
        <v>25914.848602962462</v>
      </c>
      <c r="L22" s="19"/>
    </row>
    <row r="23" spans="2:12" ht="18" customHeight="1" x14ac:dyDescent="0.2">
      <c r="B23" s="1394" t="s">
        <v>1487</v>
      </c>
      <c r="C23" s="4247">
        <f>Summary1!C23</f>
        <v>6439.3317149694603</v>
      </c>
      <c r="D23" s="628"/>
      <c r="E23" s="628"/>
      <c r="F23" s="628"/>
      <c r="G23" s="628"/>
      <c r="H23" s="628"/>
      <c r="I23" s="69"/>
      <c r="J23" s="69"/>
      <c r="K23" s="4291">
        <f t="shared" si="0"/>
        <v>6439.3317149694603</v>
      </c>
      <c r="L23" s="19"/>
    </row>
    <row r="24" spans="2:12" ht="18" customHeight="1" x14ac:dyDescent="0.2">
      <c r="B24" s="1394" t="s">
        <v>621</v>
      </c>
      <c r="C24" s="4247">
        <f>Summary1!C24</f>
        <v>1591.5349229289993</v>
      </c>
      <c r="D24" s="4247">
        <f>IFERROR(Summary1!D24*28,Summary1!D24)</f>
        <v>13.498346399999999</v>
      </c>
      <c r="E24" s="4247">
        <f>IFERROR(Summary1!E24*265,Summary1!E24)</f>
        <v>1448.5135522596779</v>
      </c>
      <c r="F24" s="1924" t="str">
        <f>Summary1!F24</f>
        <v>NO</v>
      </c>
      <c r="G24" s="1924" t="str">
        <f>Summary1!G24</f>
        <v>NO</v>
      </c>
      <c r="H24" s="1924" t="str">
        <f>Summary1!H24</f>
        <v>NO</v>
      </c>
      <c r="I24" s="616" t="str">
        <f>IFERROR(Summary1!I24*23500,Summary1!I24)</f>
        <v>NO</v>
      </c>
      <c r="J24" s="616" t="str">
        <f>IFERROR(Summary1!J24*16100,Summary1!J24)</f>
        <v>NO</v>
      </c>
      <c r="K24" s="4291">
        <f t="shared" si="0"/>
        <v>3053.5468215886772</v>
      </c>
      <c r="L24" s="19"/>
    </row>
    <row r="25" spans="2:12" ht="18" customHeight="1" x14ac:dyDescent="0.2">
      <c r="B25" s="1394" t="s">
        <v>459</v>
      </c>
      <c r="C25" s="4247">
        <f>Summary1!C25</f>
        <v>13745.157397730105</v>
      </c>
      <c r="D25" s="4247">
        <f>IFERROR(Summary1!D25*28,Summary1!D25)</f>
        <v>93.964125161428555</v>
      </c>
      <c r="E25" s="4247">
        <f>IFERROR(Summary1!E25*265,Summary1!E25)</f>
        <v>22.677885731997108</v>
      </c>
      <c r="F25" s="1924" t="str">
        <f>Summary1!F25</f>
        <v>NO</v>
      </c>
      <c r="G25" s="4247">
        <f>Summary1!G25</f>
        <v>1024.4655200863303</v>
      </c>
      <c r="H25" s="4247" t="str">
        <f>Summary1!H25</f>
        <v>NO</v>
      </c>
      <c r="I25" s="4247">
        <f>IFERROR(Summary1!I25*23500,Summary1!I25)</f>
        <v>3.5249999999999999</v>
      </c>
      <c r="J25" s="4247" t="str">
        <f>IFERROR(Summary1!J25*16100,Summary1!J25)</f>
        <v>NO</v>
      </c>
      <c r="K25" s="4291">
        <f t="shared" si="0"/>
        <v>14889.789928709861</v>
      </c>
      <c r="L25" s="19"/>
    </row>
    <row r="26" spans="2:12" ht="18" customHeight="1" x14ac:dyDescent="0.2">
      <c r="B26" s="1395" t="s">
        <v>1519</v>
      </c>
      <c r="C26" s="4247">
        <f>Summary1!C26</f>
        <v>270.21861749999999</v>
      </c>
      <c r="D26" s="4247" t="str">
        <f>IFERROR(Summary1!D26*28,Summary1!D26)</f>
        <v>NO</v>
      </c>
      <c r="E26" s="4247" t="str">
        <f>IFERROR(Summary1!E26*265,Summary1!E26)</f>
        <v>NO</v>
      </c>
      <c r="F26" s="628"/>
      <c r="G26" s="628"/>
      <c r="H26" s="628"/>
      <c r="I26" s="69"/>
      <c r="J26" s="69"/>
      <c r="K26" s="4291">
        <f t="shared" si="0"/>
        <v>270.21861749999999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904.91759376843311</v>
      </c>
      <c r="G28" s="4247" t="str">
        <f>Summary1!G28</f>
        <v>NO</v>
      </c>
      <c r="H28" s="4247" t="str">
        <f>Summary1!H28</f>
        <v>NO</v>
      </c>
      <c r="I28" s="4247" t="str">
        <f>IFERROR(Summary1!I28*23500,Summary1!I28)</f>
        <v>NO</v>
      </c>
      <c r="J28" s="4247" t="str">
        <f>IFERROR(Summary1!J28*16100,Summary1!J28)</f>
        <v>NO</v>
      </c>
      <c r="K28" s="4291">
        <f t="shared" si="0"/>
        <v>904.91759376843311</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214.25096856722661</v>
      </c>
      <c r="J29" s="4247" t="str">
        <f>IFERROR(Summary1!J29*16100,Summary1!J29)</f>
        <v>NO</v>
      </c>
      <c r="K29" s="4291">
        <f t="shared" si="0"/>
        <v>214.25096856722661</v>
      </c>
      <c r="L29" s="19"/>
    </row>
    <row r="30" spans="2:12" ht="18" customHeight="1" thickBot="1" x14ac:dyDescent="0.25">
      <c r="B30" s="1407" t="s">
        <v>1523</v>
      </c>
      <c r="C30" s="4266">
        <f>Summary1!C30</f>
        <v>142.79295785880095</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142.79295785880095</v>
      </c>
      <c r="L30" s="19"/>
    </row>
    <row r="31" spans="2:12" ht="18" customHeight="1" x14ac:dyDescent="0.2">
      <c r="B31" s="772" t="s">
        <v>1491</v>
      </c>
      <c r="C31" s="4253">
        <f>Summary1!C31</f>
        <v>1512.8996475617591</v>
      </c>
      <c r="D31" s="4253">
        <f>IFERROR(Summary1!D31*28,Summary1!D31)</f>
        <v>72158.362662085987</v>
      </c>
      <c r="E31" s="4253">
        <f>IFERROR(Summary1!E31*265,Summary1!E31)</f>
        <v>11728.525469164428</v>
      </c>
      <c r="F31" s="1929"/>
      <c r="G31" s="1929"/>
      <c r="H31" s="1929"/>
      <c r="I31" s="4215"/>
      <c r="J31" s="627"/>
      <c r="K31" s="4290">
        <f t="shared" si="0"/>
        <v>85399.78777881217</v>
      </c>
      <c r="L31" s="19"/>
    </row>
    <row r="32" spans="2:12" ht="18" customHeight="1" x14ac:dyDescent="0.2">
      <c r="B32" s="620" t="s">
        <v>1492</v>
      </c>
      <c r="C32" s="628"/>
      <c r="D32" s="4247">
        <f>IFERROR(Summary1!D32*28,Summary1!D32)</f>
        <v>64685.154963918707</v>
      </c>
      <c r="E32" s="628"/>
      <c r="F32" s="628"/>
      <c r="G32" s="628"/>
      <c r="H32" s="628"/>
      <c r="I32" s="69"/>
      <c r="J32" s="69"/>
      <c r="K32" s="4291">
        <f t="shared" si="0"/>
        <v>64685.154963918707</v>
      </c>
      <c r="L32" s="19"/>
    </row>
    <row r="33" spans="2:12" ht="18" customHeight="1" x14ac:dyDescent="0.2">
      <c r="B33" s="620" t="s">
        <v>1493</v>
      </c>
      <c r="C33" s="628"/>
      <c r="D33" s="4247">
        <f>IFERROR(Summary1!D33*28,Summary1!D33)</f>
        <v>6380.6407248512151</v>
      </c>
      <c r="E33" s="4247">
        <f>IFERROR(Summary1!E33*265,Summary1!E33)</f>
        <v>289.28902899287436</v>
      </c>
      <c r="F33" s="628"/>
      <c r="G33" s="628"/>
      <c r="H33" s="628"/>
      <c r="I33" s="69"/>
      <c r="J33" s="69"/>
      <c r="K33" s="4291">
        <f t="shared" si="0"/>
        <v>6669.9297538440896</v>
      </c>
      <c r="L33" s="19"/>
    </row>
    <row r="34" spans="2:12" ht="18" customHeight="1" x14ac:dyDescent="0.2">
      <c r="B34" s="620" t="s">
        <v>1494</v>
      </c>
      <c r="C34" s="628"/>
      <c r="D34" s="4247">
        <f>IFERROR(Summary1!D34*28,Summary1!D34)</f>
        <v>661.52930199999992</v>
      </c>
      <c r="E34" s="628"/>
      <c r="F34" s="628"/>
      <c r="G34" s="628"/>
      <c r="H34" s="628"/>
      <c r="I34" s="69"/>
      <c r="J34" s="69"/>
      <c r="K34" s="4291">
        <f t="shared" si="0"/>
        <v>661.52930199999992</v>
      </c>
      <c r="L34" s="19"/>
    </row>
    <row r="35" spans="2:12" ht="18" customHeight="1" x14ac:dyDescent="0.2">
      <c r="B35" s="620" t="s">
        <v>1495</v>
      </c>
      <c r="C35" s="4294"/>
      <c r="D35" s="4247" t="str">
        <f>IFERROR(Summary1!D35*28,Summary1!D35)</f>
        <v>NE</v>
      </c>
      <c r="E35" s="4247">
        <f>IFERROR(Summary1!E35*265,Summary1!E35)</f>
        <v>11269.472124087619</v>
      </c>
      <c r="F35" s="628"/>
      <c r="G35" s="628"/>
      <c r="H35" s="628"/>
      <c r="I35" s="69"/>
      <c r="J35" s="69"/>
      <c r="K35" s="4291">
        <f t="shared" si="0"/>
        <v>11269.472124087619</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431.03767131606327</v>
      </c>
      <c r="E37" s="4247">
        <f>IFERROR(Summary1!E37*265,Summary1!E37)</f>
        <v>169.76431608393318</v>
      </c>
      <c r="F37" s="628"/>
      <c r="G37" s="628"/>
      <c r="H37" s="628"/>
      <c r="I37" s="69"/>
      <c r="J37" s="69"/>
      <c r="K37" s="4291">
        <f t="shared" si="0"/>
        <v>600.80198739999651</v>
      </c>
      <c r="L37" s="19"/>
    </row>
    <row r="38" spans="2:12" ht="18" customHeight="1" x14ac:dyDescent="0.2">
      <c r="B38" s="620" t="s">
        <v>721</v>
      </c>
      <c r="C38" s="1924">
        <f>Summary1!C38</f>
        <v>720.58080698204878</v>
      </c>
      <c r="D38" s="4295"/>
      <c r="E38" s="4295"/>
      <c r="F38" s="628"/>
      <c r="G38" s="628"/>
      <c r="H38" s="628"/>
      <c r="I38" s="69"/>
      <c r="J38" s="69"/>
      <c r="K38" s="4291">
        <f t="shared" si="0"/>
        <v>720.58080698204878</v>
      </c>
      <c r="L38" s="19"/>
    </row>
    <row r="39" spans="2:12" ht="18" customHeight="1" x14ac:dyDescent="0.2">
      <c r="B39" s="620" t="s">
        <v>722</v>
      </c>
      <c r="C39" s="1924">
        <f>Summary1!C39</f>
        <v>792.31884057971024</v>
      </c>
      <c r="D39" s="4295"/>
      <c r="E39" s="4295"/>
      <c r="F39" s="628"/>
      <c r="G39" s="628"/>
      <c r="H39" s="628"/>
      <c r="I39" s="69"/>
      <c r="J39" s="69"/>
      <c r="K39" s="4291">
        <f t="shared" si="0"/>
        <v>792.31884057971024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27019.109398414876</v>
      </c>
      <c r="D42" s="1927">
        <f>IFERROR(Summary1!D42*28,Summary1!D42)</f>
        <v>18353.578636966744</v>
      </c>
      <c r="E42" s="1927">
        <f>IFERROR(Summary1!E42*265,Summary1!E42)</f>
        <v>4266.4165836423808</v>
      </c>
      <c r="F42" s="1929"/>
      <c r="G42" s="1929"/>
      <c r="H42" s="1929"/>
      <c r="I42" s="4215"/>
      <c r="J42" s="627"/>
      <c r="K42" s="4290">
        <f t="shared" si="0"/>
        <v>49639.104619024001</v>
      </c>
      <c r="L42" s="19"/>
    </row>
    <row r="43" spans="2:12" ht="18" customHeight="1" x14ac:dyDescent="0.2">
      <c r="B43" s="620" t="s">
        <v>981</v>
      </c>
      <c r="C43" s="1924">
        <f>Summary1!C43</f>
        <v>-37278.770755724319</v>
      </c>
      <c r="D43" s="1924">
        <f>IFERROR(Summary1!D43*28,Summary1!D43)</f>
        <v>5703.1124062292884</v>
      </c>
      <c r="E43" s="1924">
        <f>IFERROR(Summary1!E43*265,Summary1!E43)</f>
        <v>1177.8248562150497</v>
      </c>
      <c r="F43" s="1931"/>
      <c r="G43" s="1931"/>
      <c r="H43" s="1931"/>
      <c r="I43" s="3352"/>
      <c r="J43" s="69"/>
      <c r="K43" s="4291">
        <f t="shared" si="0"/>
        <v>-30397.833493279981</v>
      </c>
      <c r="L43" s="19"/>
    </row>
    <row r="44" spans="2:12" ht="18" customHeight="1" x14ac:dyDescent="0.2">
      <c r="B44" s="620" t="s">
        <v>984</v>
      </c>
      <c r="C44" s="1924">
        <f>Summary1!C44</f>
        <v>4846.7204649307096</v>
      </c>
      <c r="D44" s="1924">
        <f>IFERROR(Summary1!D44*28,Summary1!D44)</f>
        <v>130.2408576</v>
      </c>
      <c r="E44" s="1924">
        <f>IFERROR(Summary1!E44*265,Summary1!E44)</f>
        <v>62.842429561422534</v>
      </c>
      <c r="F44" s="1931"/>
      <c r="G44" s="1931"/>
      <c r="H44" s="1931"/>
      <c r="I44" s="3352"/>
      <c r="J44" s="69"/>
      <c r="K44" s="4291">
        <f t="shared" si="0"/>
        <v>5039.8037520921316</v>
      </c>
      <c r="L44" s="19"/>
    </row>
    <row r="45" spans="2:12" ht="18" customHeight="1" x14ac:dyDescent="0.2">
      <c r="B45" s="620" t="s">
        <v>987</v>
      </c>
      <c r="C45" s="1924">
        <f>Summary1!C45</f>
        <v>59677.83172522884</v>
      </c>
      <c r="D45" s="1924">
        <f>IFERROR(Summary1!D45*28,Summary1!D45)</f>
        <v>9821.9657947412034</v>
      </c>
      <c r="E45" s="1924">
        <f>IFERROR(Summary1!E45*265,Summary1!E45)</f>
        <v>2894.9841327199333</v>
      </c>
      <c r="F45" s="1931"/>
      <c r="G45" s="1931"/>
      <c r="H45" s="1931"/>
      <c r="I45" s="3352"/>
      <c r="J45" s="69"/>
      <c r="K45" s="4291">
        <f t="shared" si="0"/>
        <v>72394.781652689984</v>
      </c>
      <c r="L45" s="19"/>
    </row>
    <row r="46" spans="2:12" ht="18" customHeight="1" x14ac:dyDescent="0.2">
      <c r="B46" s="620" t="s">
        <v>1525</v>
      </c>
      <c r="C46" s="1924">
        <f>Summary1!C46</f>
        <v>1126.000824608037</v>
      </c>
      <c r="D46" s="1924">
        <f>IFERROR(Summary1!D46*28,Summary1!D46)</f>
        <v>2609.4505447962529</v>
      </c>
      <c r="E46" s="1924">
        <f>IFERROR(Summary1!E46*265,Summary1!E46)</f>
        <v>89.937556397296859</v>
      </c>
      <c r="F46" s="1931"/>
      <c r="G46" s="1931"/>
      <c r="H46" s="1931"/>
      <c r="I46" s="3352"/>
      <c r="J46" s="69"/>
      <c r="K46" s="4291">
        <f t="shared" si="0"/>
        <v>3825.3889258015865</v>
      </c>
      <c r="L46" s="19"/>
    </row>
    <row r="47" spans="2:12" ht="18" customHeight="1" x14ac:dyDescent="0.2">
      <c r="B47" s="620" t="s">
        <v>1526</v>
      </c>
      <c r="C47" s="1924">
        <f>Summary1!C47</f>
        <v>4984.8809461455048</v>
      </c>
      <c r="D47" s="1924">
        <f>IFERROR(Summary1!D47*28,Summary1!D47)</f>
        <v>88.809033600000006</v>
      </c>
      <c r="E47" s="1924">
        <f>IFERROR(Summary1!E47*265,Summary1!E47)</f>
        <v>26.594679834393034</v>
      </c>
      <c r="F47" s="1931"/>
      <c r="G47" s="1931"/>
      <c r="H47" s="1931"/>
      <c r="I47" s="3352"/>
      <c r="J47" s="69"/>
      <c r="K47" s="4291">
        <f t="shared" si="0"/>
        <v>5100.2846595798974</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-6338.0606437674905</v>
      </c>
      <c r="D49" s="3835"/>
      <c r="E49" s="3835"/>
      <c r="F49" s="1931"/>
      <c r="G49" s="1931"/>
      <c r="H49" s="1931"/>
      <c r="I49" s="3352"/>
      <c r="J49" s="69"/>
      <c r="K49" s="4291">
        <f t="shared" si="0"/>
        <v>-6338.0606437674905</v>
      </c>
      <c r="L49" s="19"/>
    </row>
    <row r="50" spans="2:12" ht="18" customHeight="1" thickBot="1" x14ac:dyDescent="0.25">
      <c r="B50" s="1552" t="s">
        <v>1529</v>
      </c>
      <c r="C50" s="1926">
        <f>Summary1!C50</f>
        <v>0.50683699359333334</v>
      </c>
      <c r="D50" s="1926" t="str">
        <f>IFERROR(Summary1!D50*28,Summary1!D50)</f>
        <v>NO</v>
      </c>
      <c r="E50" s="1926">
        <f>IFERROR(Summary1!E50*265,Summary1!E50)</f>
        <v>14.232928914285715</v>
      </c>
      <c r="F50" s="3024"/>
      <c r="G50" s="3024"/>
      <c r="H50" s="3024"/>
      <c r="I50" s="3828"/>
      <c r="J50" s="87"/>
      <c r="K50" s="4292">
        <f t="shared" si="0"/>
        <v>14.739765907879049</v>
      </c>
      <c r="L50" s="19"/>
    </row>
    <row r="51" spans="2:12" ht="18" customHeight="1" x14ac:dyDescent="0.2">
      <c r="B51" s="1550" t="s">
        <v>1500</v>
      </c>
      <c r="C51" s="1927">
        <f>Summary1!C51</f>
        <v>29.325568882446802</v>
      </c>
      <c r="D51" s="1927">
        <f>IFERROR(Summary1!D51*28,Summary1!D51)</f>
        <v>18993.142758908598</v>
      </c>
      <c r="E51" s="1927">
        <f>IFERROR(Summary1!E51*265,Summary1!E51)</f>
        <v>205.8192176995621</v>
      </c>
      <c r="F51" s="1929"/>
      <c r="G51" s="1929"/>
      <c r="H51" s="1929"/>
      <c r="I51" s="4215"/>
      <c r="J51" s="627"/>
      <c r="K51" s="4290">
        <f t="shared" si="0"/>
        <v>19228.287545490606</v>
      </c>
      <c r="L51" s="19"/>
    </row>
    <row r="52" spans="2:12" ht="18" customHeight="1" x14ac:dyDescent="0.2">
      <c r="B52" s="620" t="s">
        <v>1530</v>
      </c>
      <c r="C52" s="628"/>
      <c r="D52" s="1924">
        <f>IFERROR(Summary1!D52*28,Summary1!D52)</f>
        <v>13967.950293360002</v>
      </c>
      <c r="E52" s="1931"/>
      <c r="F52" s="628"/>
      <c r="G52" s="628"/>
      <c r="H52" s="628"/>
      <c r="I52" s="69"/>
      <c r="J52" s="69"/>
      <c r="K52" s="4291">
        <f t="shared" si="0"/>
        <v>13967.950293360002</v>
      </c>
      <c r="L52" s="19"/>
    </row>
    <row r="53" spans="2:12" ht="18" customHeight="1" x14ac:dyDescent="0.2">
      <c r="B53" s="1396" t="s">
        <v>1531</v>
      </c>
      <c r="C53" s="628"/>
      <c r="D53" s="1924">
        <f>IFERROR(Summary1!D53*28,Summary1!D53)</f>
        <v>43.281751945487997</v>
      </c>
      <c r="E53" s="1924">
        <f>IFERROR(Summary1!E53*265,Summary1!E53)</f>
        <v>52.432750928248311</v>
      </c>
      <c r="F53" s="628"/>
      <c r="G53" s="628"/>
      <c r="H53" s="628"/>
      <c r="I53" s="69"/>
      <c r="J53" s="69"/>
      <c r="K53" s="4291">
        <f t="shared" si="0"/>
        <v>95.714502873736308</v>
      </c>
      <c r="L53" s="19"/>
    </row>
    <row r="54" spans="2:12" ht="18" customHeight="1" x14ac:dyDescent="0.2">
      <c r="B54" s="1397" t="s">
        <v>1532</v>
      </c>
      <c r="C54" s="1924">
        <f>Summary1!C54</f>
        <v>29.325568882446802</v>
      </c>
      <c r="D54" s="1924" t="str">
        <f>IFERROR(Summary1!D54*28,Summary1!D54)</f>
        <v>NO,NE</v>
      </c>
      <c r="E54" s="1924" t="str">
        <f>IFERROR(Summary1!E54*265,Summary1!E54)</f>
        <v>NO,NE</v>
      </c>
      <c r="F54" s="628"/>
      <c r="G54" s="628"/>
      <c r="H54" s="628"/>
      <c r="I54" s="69"/>
      <c r="J54" s="69"/>
      <c r="K54" s="4291">
        <f t="shared" si="0"/>
        <v>29.325568882446802</v>
      </c>
      <c r="L54" s="19"/>
    </row>
    <row r="55" spans="2:12" ht="18" customHeight="1" x14ac:dyDescent="0.2">
      <c r="B55" s="620" t="s">
        <v>1533</v>
      </c>
      <c r="C55" s="628"/>
      <c r="D55" s="1924">
        <f>IFERROR(Summary1!D55*28,Summary1!D55)</f>
        <v>4981.9107136031071</v>
      </c>
      <c r="E55" s="1924">
        <f>IFERROR(Summary1!E55*265,Summary1!E55)</f>
        <v>153.38646677131379</v>
      </c>
      <c r="F55" s="628"/>
      <c r="G55" s="628"/>
      <c r="H55" s="628"/>
      <c r="I55" s="69"/>
      <c r="J55" s="69"/>
      <c r="K55" s="4291">
        <f t="shared" si="0"/>
        <v>5135.2971803744213</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9804.7000000000007</v>
      </c>
      <c r="D60" s="4219">
        <f>IFERROR(Summary1!D61*28,Summary1!D61)</f>
        <v>6.971611779999999</v>
      </c>
      <c r="E60" s="4219">
        <f>IFERROR(Summary1!E61*265,Summary1!E61)</f>
        <v>27.779750985697369</v>
      </c>
      <c r="F60" s="1931"/>
      <c r="G60" s="1931"/>
      <c r="H60" s="1932"/>
      <c r="I60" s="630"/>
      <c r="J60" s="630"/>
      <c r="K60" s="4220">
        <f t="shared" ref="K60:K66" si="2">IF(SUM(C60:J60)=0,"NO",SUM(C60:J60))</f>
        <v>9839.4513627656979</v>
      </c>
    </row>
    <row r="61" spans="2:12" ht="18" customHeight="1" x14ac:dyDescent="0.2">
      <c r="B61" s="1386" t="s">
        <v>111</v>
      </c>
      <c r="C61" s="4219">
        <f>Summary1!C62</f>
        <v>7328.88</v>
      </c>
      <c r="D61" s="4219">
        <f>IFERROR(Summary1!D62*28,Summary1!D62)</f>
        <v>0.33701177999999993</v>
      </c>
      <c r="E61" s="4219">
        <f>IFERROR(Summary1!E62*265,Summary1!E62)</f>
        <v>9.8392509856973671</v>
      </c>
      <c r="F61" s="628"/>
      <c r="G61" s="628"/>
      <c r="H61" s="628"/>
      <c r="I61" s="631"/>
      <c r="J61" s="631"/>
      <c r="K61" s="4234">
        <f t="shared" si="2"/>
        <v>7339.0562627656973</v>
      </c>
    </row>
    <row r="62" spans="2:12" ht="18" customHeight="1" x14ac:dyDescent="0.2">
      <c r="B62" s="1387" t="s">
        <v>1503</v>
      </c>
      <c r="C62" s="4219">
        <f>Summary1!C63</f>
        <v>2475.8199999999997</v>
      </c>
      <c r="D62" s="4219">
        <f>IFERROR(Summary1!D63*28,Summary1!D63)</f>
        <v>6.6345999999999989</v>
      </c>
      <c r="E62" s="4219">
        <f>IFERROR(Summary1!E63*265,Summary1!E63)</f>
        <v>17.9405</v>
      </c>
      <c r="F62" s="628"/>
      <c r="G62" s="628"/>
      <c r="H62" s="628"/>
      <c r="I62" s="632"/>
      <c r="J62" s="632"/>
      <c r="K62" s="4220">
        <f t="shared" si="2"/>
        <v>2500.3950999999997</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19067.450680000002</v>
      </c>
      <c r="D64" s="1931"/>
      <c r="E64" s="1931"/>
      <c r="F64" s="1931"/>
      <c r="G64" s="1931"/>
      <c r="H64" s="1931"/>
      <c r="I64" s="3352"/>
      <c r="J64" s="3352"/>
      <c r="K64" s="3821">
        <f t="shared" si="2"/>
        <v>19067.450680000002</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-225660.25716917301</v>
      </c>
      <c r="D66" s="4301"/>
      <c r="E66" s="4301"/>
      <c r="F66" s="4301"/>
      <c r="G66" s="4301"/>
      <c r="H66" s="4301"/>
      <c r="I66" s="3824"/>
      <c r="J66" s="3824"/>
      <c r="K66" s="4302">
        <f t="shared" si="2"/>
        <v>-225660.25716917301</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489971.16444656951</v>
      </c>
      <c r="N71" s="1126"/>
    </row>
    <row r="72" spans="2:14" s="634" customFormat="1" ht="18" customHeight="1" x14ac:dyDescent="0.25">
      <c r="B72" s="637"/>
      <c r="C72" s="638"/>
      <c r="D72" s="638"/>
      <c r="E72" s="638"/>
      <c r="F72" s="638"/>
      <c r="G72" s="638"/>
      <c r="H72" s="638"/>
      <c r="I72" s="638"/>
      <c r="J72" s="2553" t="s">
        <v>2122</v>
      </c>
      <c r="K72" s="3821">
        <f>K10</f>
        <v>539610.26906559349</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727070.55360793835</v>
      </c>
      <c r="D10" s="3076" t="s">
        <v>1814</v>
      </c>
      <c r="E10" s="628"/>
      <c r="F10" s="628"/>
      <c r="G10" s="628"/>
      <c r="H10" s="1913">
        <f>IF(SUM(H11:H15)=0,"NO",SUM(H11:H15))</f>
        <v>37694.584804338745</v>
      </c>
      <c r="I10" s="1913">
        <f t="shared" ref="I10:K10" si="0">IF(SUM(I11:I16)=0,"NO",SUM(I11:I16))</f>
        <v>2.2860942612837478</v>
      </c>
      <c r="J10" s="1847">
        <f t="shared" si="0"/>
        <v>1.3209948143262533</v>
      </c>
      <c r="K10" s="3065" t="str">
        <f t="shared" si="0"/>
        <v>NO</v>
      </c>
    </row>
    <row r="11" spans="2:11" ht="18" customHeight="1" x14ac:dyDescent="0.2">
      <c r="B11" s="282" t="s">
        <v>132</v>
      </c>
      <c r="C11" s="1913">
        <f>IF(SUM(C18,C25,C32,C39,C46,C53,C62,C69,C76,C83,C90,C97,C114,C104:C107)=0,"NO",SUM(C18,C25,C32,C39,C46,C53,C62,C69,C76,C83,C90,C97,C114,C104:C107))</f>
        <v>159077.66393366351</v>
      </c>
      <c r="D11" s="3077" t="s">
        <v>1814</v>
      </c>
      <c r="E11" s="1913">
        <f>IFERROR(H11*1000/$C11,"NA")</f>
        <v>68.868123202945441</v>
      </c>
      <c r="F11" s="1913">
        <f t="shared" ref="F11:G16" si="1">IFERROR(I11*1000000/$C11,"NA")</f>
        <v>4.6541712416215413</v>
      </c>
      <c r="G11" s="1913">
        <f t="shared" si="1"/>
        <v>2.2094413385664193</v>
      </c>
      <c r="H11" s="1913">
        <f>IF(SUM(H18,H25,H32,H39,H46,H53,H62,H69,H76,H83,H90,H97,H114,H104:H107)=0,"NO",SUM(H18,H25,H32,H39,H46,H53,H62,H69,H76,H83,H90,H97,H114,H104:H107))</f>
        <v>10955.380158620288</v>
      </c>
      <c r="I11" s="1913">
        <f>IF(SUM(I18,I25,I32,I39,I46,I53,I62,I69,I76,I83,I90,I97,I114,I104:I107)=0,"NO",SUM(I18,I25,I32,I39,I46,I53,I62,I69,I76,I83,I90,I97,I114,I104:I107))</f>
        <v>0.74037468866439293</v>
      </c>
      <c r="J11" s="1913">
        <f>IF(SUM(J18,J25,J32,J39,J46,J53,J62,J69,J76,J83,J90,J97,J114,J104:J107)=0,"NO",SUM(J18,J25,J32,J39,J46,J53,J62,J69,J76,J83,J90,J97,J114,J104:J107))</f>
        <v>0.35147276673761246</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129680.19139534883</v>
      </c>
      <c r="D12" s="3077" t="s">
        <v>1814</v>
      </c>
      <c r="E12" s="1913">
        <f t="shared" ref="E12:E16" si="2">IFERROR(H12*1000/$C12,"NA")</f>
        <v>80.408715506267669</v>
      </c>
      <c r="F12" s="1913">
        <f t="shared" si="1"/>
        <v>0.96379338576441831</v>
      </c>
      <c r="G12" s="1913">
        <f t="shared" si="1"/>
        <v>0.69930713013493273</v>
      </c>
      <c r="H12" s="1913">
        <f>IF(SUM(H19,H26,H33,H40,H47,H54,H63,H70,H77,H84,H91,H98,H115)=0,"NO",SUM(H19,H26,H33,H40,H47,H54,H63,H70,H77,H84,H91,H98,H115))</f>
        <v>10427.417616706945</v>
      </c>
      <c r="I12" s="1913">
        <f>IF(SUM(I19,I26,I33,I40,I47,I54,I63,I70,I77,I84,I91,I98,I115)=0,"NO",SUM(I19,I26,I33,I40,I47,I54,I63,I70,I77,I84,I91,I98,I115))</f>
        <v>0.12498491073150103</v>
      </c>
      <c r="J12" s="1913">
        <f>IF(SUM(J19,J26,J33,J40,J47,J54,J63,J70,J77,J84,J91,J98,J115)=0,"NO",SUM(J19,J26,J33,J40,J47,J54,J63,J70,J77,J84,J91,J98,J115))</f>
        <v>9.0686282480030189E-2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317276.37396003673</v>
      </c>
      <c r="D13" s="3077" t="s">
        <v>1814</v>
      </c>
      <c r="E13" s="1913">
        <f t="shared" si="2"/>
        <v>51.411918339264993</v>
      </c>
      <c r="F13" s="1913">
        <f t="shared" si="1"/>
        <v>0.980958709321475</v>
      </c>
      <c r="G13" s="1913">
        <f t="shared" si="1"/>
        <v>0.54460575730373806</v>
      </c>
      <c r="H13" s="1913">
        <f t="shared" ref="H13:K14" si="3">IF(SUM(H20,H27,H34,H41,H48,H55,H64,H71,H78,H85,H92,H99,H116,H109)=0,"NO",SUM(H20,H27,H34,H41,H48,H55,H64,H71,H78,H85,H92,H99,H116,H109))</f>
        <v>16311.78702901151</v>
      </c>
      <c r="I13" s="1913">
        <f t="shared" si="3"/>
        <v>0.31123502229803529</v>
      </c>
      <c r="J13" s="1913">
        <f t="shared" si="3"/>
        <v>0.17279053991508977</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121036.3243188893</v>
      </c>
      <c r="D16" s="3092" t="s">
        <v>1814</v>
      </c>
      <c r="E16" s="1913">
        <f t="shared" si="2"/>
        <v>94.779405065791195</v>
      </c>
      <c r="F16" s="1913">
        <f t="shared" si="1"/>
        <v>9.1666666666666679</v>
      </c>
      <c r="G16" s="1913">
        <f t="shared" si="1"/>
        <v>5.8333333333333339</v>
      </c>
      <c r="H16" s="1913">
        <f>IF(SUM(H23,H30,H37,H44,H51,H58,H67,H74,H81,H88,H95,H102,H119,H111)=0,"NO",SUM(H23,H30,H37,H44,H51,H58,H67,H74,H81,H88,H95,H102,H119,H111))</f>
        <v>11471.750810294483</v>
      </c>
      <c r="I16" s="1913">
        <f>IF(SUM(I23,I30,I37,I44,I51,I58,I67,I74,I81,I88,I95,I102,I119,I111)=0,"NO",SUM(I23,I30,I37,I44,I51,I58,I67,I74,I81,I88,I95,I102,I119,I111))</f>
        <v>1.1094996395898187</v>
      </c>
      <c r="J16" s="1913">
        <f>IF(SUM(J23,J30,J37,J44,J51,J58,J67,J74,J81,J88,J95,J102,J119,J111)=0,"NO",SUM(J23,J30,J37,J44,J51,J58,J67,J74,J81,J88,J95,J102,J119,J111))</f>
        <v>0.70604522519352098</v>
      </c>
      <c r="K16" s="3065" t="str">
        <f>IF(SUM(K23,K30,K37,K44,K51,K58,K67,K74,K81,K88,K95,K102,K119,K111)=0,"NO",SUM(K23,K30,K37,K44,K51,K58,K67,K74,K81,K88,K95,K102,K119,K111))</f>
        <v>NO</v>
      </c>
    </row>
    <row r="17" spans="2:11" ht="18" customHeight="1" x14ac:dyDescent="0.2">
      <c r="B17" s="1241" t="s">
        <v>151</v>
      </c>
      <c r="C17" s="1913">
        <f>IF(SUM(C18:C23)=0,"NO",SUM(C18:C23))</f>
        <v>56289.099999999991</v>
      </c>
      <c r="D17" s="3076" t="s">
        <v>1814</v>
      </c>
      <c r="E17" s="628"/>
      <c r="F17" s="628"/>
      <c r="G17" s="628"/>
      <c r="H17" s="1913">
        <f>IF(SUM(H18:H22)=0,"NO",SUM(H18:H22))</f>
        <v>2682.5544706619339</v>
      </c>
      <c r="I17" s="1913">
        <f t="shared" ref="I17:K17" si="4">IF(SUM(I18:I23)=0,"NO",SUM(I18:I23))</f>
        <v>0.10631582284701462</v>
      </c>
      <c r="J17" s="1913">
        <f t="shared" si="4"/>
        <v>3.3732700739377605E-2</v>
      </c>
      <c r="K17" s="3065" t="str">
        <f t="shared" si="4"/>
        <v>NO</v>
      </c>
    </row>
    <row r="18" spans="2:11" ht="18" customHeight="1" x14ac:dyDescent="0.2">
      <c r="B18" s="282" t="s">
        <v>132</v>
      </c>
      <c r="C18" s="691">
        <v>2300</v>
      </c>
      <c r="D18" s="3077" t="s">
        <v>1814</v>
      </c>
      <c r="E18" s="1913">
        <f>IFERROR(H18*1000/$C18,"NA")</f>
        <v>66.869565217391298</v>
      </c>
      <c r="F18" s="1913">
        <f t="shared" ref="F18:G23" si="5">IFERROR(I18*1000000/$C18,"NA")</f>
        <v>23.807748740185161</v>
      </c>
      <c r="G18" s="1913">
        <f t="shared" si="5"/>
        <v>1.2932786436970194</v>
      </c>
      <c r="H18" s="691">
        <v>153.80000000000001</v>
      </c>
      <c r="I18" s="691">
        <v>5.4757822102425871E-2</v>
      </c>
      <c r="J18" s="691">
        <v>2.9745408805031447E-3</v>
      </c>
      <c r="K18" s="3093" t="s">
        <v>2146</v>
      </c>
    </row>
    <row r="19" spans="2:11" ht="18" customHeight="1" x14ac:dyDescent="0.2">
      <c r="B19" s="282" t="s">
        <v>133</v>
      </c>
      <c r="C19" s="691">
        <v>26689.099999999995</v>
      </c>
      <c r="D19" s="3077" t="s">
        <v>1814</v>
      </c>
      <c r="E19" s="1913">
        <f t="shared" ref="E19:E23" si="6">IFERROR(H19*1000/$C19,"NA")</f>
        <v>42.159874255782327</v>
      </c>
      <c r="F19" s="1913">
        <f t="shared" si="5"/>
        <v>0.95531682219086456</v>
      </c>
      <c r="G19" s="1913">
        <f t="shared" si="5"/>
        <v>0.58250391783237043</v>
      </c>
      <c r="H19" s="691">
        <v>1125.2090999999998</v>
      </c>
      <c r="I19" s="691">
        <v>2.5496546199134197E-2</v>
      </c>
      <c r="J19" s="691">
        <v>1.5546505313419915E-2</v>
      </c>
      <c r="K19" s="3093" t="s">
        <v>2146</v>
      </c>
    </row>
    <row r="20" spans="2:11" ht="18" customHeight="1" x14ac:dyDescent="0.2">
      <c r="B20" s="282" t="s">
        <v>134</v>
      </c>
      <c r="C20" s="691">
        <v>27300</v>
      </c>
      <c r="D20" s="3077" t="s">
        <v>1814</v>
      </c>
      <c r="E20" s="1913">
        <f t="shared" si="6"/>
        <v>51.411918339264993</v>
      </c>
      <c r="F20" s="1913">
        <f t="shared" si="5"/>
        <v>0.95463203463203461</v>
      </c>
      <c r="G20" s="1913">
        <f t="shared" si="5"/>
        <v>0.55720346320346315</v>
      </c>
      <c r="H20" s="691">
        <v>1403.5453706619344</v>
      </c>
      <c r="I20" s="691">
        <v>2.6061454545454544E-2</v>
      </c>
      <c r="J20" s="691">
        <v>1.5211654545454542E-2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196316.67529640003</v>
      </c>
      <c r="D24" s="3077" t="s">
        <v>1814</v>
      </c>
      <c r="E24" s="628"/>
      <c r="F24" s="628"/>
      <c r="G24" s="628"/>
      <c r="H24" s="1913">
        <f>IF(SUM(H25:H29)=0,"NO",SUM(H25:H29))</f>
        <v>12526.624716639435</v>
      </c>
      <c r="I24" s="1913">
        <f t="shared" ref="I24:K24" si="7">IF(SUM(I25:I30)=0,"NO",SUM(I25:I30))</f>
        <v>0.23299952689139664</v>
      </c>
      <c r="J24" s="1913">
        <f t="shared" si="7"/>
        <v>0.13486922341700278</v>
      </c>
      <c r="K24" s="3065" t="str">
        <f t="shared" si="7"/>
        <v>NO</v>
      </c>
    </row>
    <row r="25" spans="2:11" ht="18" customHeight="1" x14ac:dyDescent="0.2">
      <c r="B25" s="282" t="s">
        <v>132</v>
      </c>
      <c r="C25" s="691">
        <v>31910.540296400006</v>
      </c>
      <c r="D25" s="3077" t="s">
        <v>1814</v>
      </c>
      <c r="E25" s="1913">
        <f>IFERROR(H25*1000/$C25,"NA")</f>
        <v>72.921352245835706</v>
      </c>
      <c r="F25" s="1913">
        <f t="shared" ref="F25:G30" si="8">IFERROR(I25*1000000/$C25,"NA")</f>
        <v>1.7850513311098124</v>
      </c>
      <c r="G25" s="1913">
        <f t="shared" si="8"/>
        <v>0.71279263230743861</v>
      </c>
      <c r="H25" s="691">
        <v>2326.9597493087194</v>
      </c>
      <c r="I25" s="691">
        <v>5.6961952432522132E-2</v>
      </c>
      <c r="J25" s="691">
        <v>2.2745598016223553E-2</v>
      </c>
      <c r="K25" s="3093" t="s">
        <v>2146</v>
      </c>
    </row>
    <row r="26" spans="2:11" ht="18" customHeight="1" x14ac:dyDescent="0.2">
      <c r="B26" s="282" t="s">
        <v>133</v>
      </c>
      <c r="C26" s="691">
        <v>46106.134999999995</v>
      </c>
      <c r="D26" s="3077" t="s">
        <v>1814</v>
      </c>
      <c r="E26" s="1913">
        <f t="shared" ref="E26:E30" si="9">IFERROR(H26*1000/$C26,"NA")</f>
        <v>91.872425220113882</v>
      </c>
      <c r="F26" s="1913">
        <f t="shared" si="8"/>
        <v>0.95238095238095233</v>
      </c>
      <c r="G26" s="1913">
        <f t="shared" si="8"/>
        <v>0.706095238095238</v>
      </c>
      <c r="H26" s="691">
        <v>4235.8824399759751</v>
      </c>
      <c r="I26" s="691">
        <v>4.3910604761904753E-2</v>
      </c>
      <c r="J26" s="691">
        <v>3.2555322370476182E-2</v>
      </c>
      <c r="K26" s="3093" t="s">
        <v>2146</v>
      </c>
    </row>
    <row r="27" spans="2:11" ht="18" customHeight="1" x14ac:dyDescent="0.2">
      <c r="B27" s="282" t="s">
        <v>134</v>
      </c>
      <c r="C27" s="691">
        <v>116000.00000000003</v>
      </c>
      <c r="D27" s="3077" t="s">
        <v>1814</v>
      </c>
      <c r="E27" s="1913">
        <f t="shared" si="9"/>
        <v>51.411918339264993</v>
      </c>
      <c r="F27" s="1913">
        <f t="shared" si="8"/>
        <v>0.95727272727272728</v>
      </c>
      <c r="G27" s="1913">
        <f t="shared" si="8"/>
        <v>0.57027272727272715</v>
      </c>
      <c r="H27" s="691">
        <v>5963.7825273547405</v>
      </c>
      <c r="I27" s="691">
        <v>0.1110436363636364</v>
      </c>
      <c r="J27" s="691">
        <v>6.6151636363636371E-2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1.3416666666666672E-2</v>
      </c>
      <c r="K30" s="3093" t="s">
        <v>2146</v>
      </c>
    </row>
    <row r="31" spans="2:11" ht="18" customHeight="1" x14ac:dyDescent="0.2">
      <c r="B31" s="1241" t="s">
        <v>153</v>
      </c>
      <c r="C31" s="1913">
        <f>IF(SUM(C32:C37)=0,"NO",SUM(C32:C37))</f>
        <v>96103.833785653609</v>
      </c>
      <c r="D31" s="3077" t="s">
        <v>1814</v>
      </c>
      <c r="E31" s="628"/>
      <c r="F31" s="628"/>
      <c r="G31" s="628"/>
      <c r="H31" s="1913">
        <f>IF(SUM(H32:H36)=0,"NO",SUM(H32:H36))</f>
        <v>5783.1858987758296</v>
      </c>
      <c r="I31" s="1913">
        <f t="shared" ref="I31:K31" si="10">IF(SUM(I32:I37)=0,"NO",SUM(I32:I37))</f>
        <v>0.25869297653093698</v>
      </c>
      <c r="J31" s="1913">
        <f t="shared" si="10"/>
        <v>7.1325485477537295E-2</v>
      </c>
      <c r="K31" s="3065" t="str">
        <f t="shared" si="10"/>
        <v>NO</v>
      </c>
    </row>
    <row r="32" spans="2:11" ht="18" customHeight="1" x14ac:dyDescent="0.2">
      <c r="B32" s="282" t="s">
        <v>132</v>
      </c>
      <c r="C32" s="691">
        <v>39601.515058175042</v>
      </c>
      <c r="D32" s="3077" t="s">
        <v>1814</v>
      </c>
      <c r="E32" s="1913">
        <f>IFERROR(H32*1000/$C32,"NA")</f>
        <v>65.296852264710736</v>
      </c>
      <c r="F32" s="1913">
        <f t="shared" ref="F32:G37" si="11">IFERROR(I32*1000000/$C32,"NA")</f>
        <v>5.1662457917189588</v>
      </c>
      <c r="G32" s="1913">
        <f t="shared" si="11"/>
        <v>1.0917674347017148</v>
      </c>
      <c r="H32" s="691">
        <v>2585.8542782123732</v>
      </c>
      <c r="I32" s="691">
        <v>0.20459116051499179</v>
      </c>
      <c r="J32" s="691">
        <v>4.3235644505365094E-2</v>
      </c>
      <c r="K32" s="3093" t="s">
        <v>2146</v>
      </c>
    </row>
    <row r="33" spans="2:11" ht="18" customHeight="1" x14ac:dyDescent="0.2">
      <c r="B33" s="282" t="s">
        <v>133</v>
      </c>
      <c r="C33" s="691">
        <v>7525.9447674418616</v>
      </c>
      <c r="D33" s="3077" t="s">
        <v>1814</v>
      </c>
      <c r="E33" s="1913">
        <f t="shared" ref="E33:E37" si="12">IFERROR(H33*1000/$C33,"NA")</f>
        <v>90.269368560309786</v>
      </c>
      <c r="F33" s="1913">
        <f t="shared" si="11"/>
        <v>0.95238095238095222</v>
      </c>
      <c r="G33" s="1913">
        <f t="shared" si="11"/>
        <v>0.66666666666666652</v>
      </c>
      <c r="H33" s="691">
        <v>679.36228197674427</v>
      </c>
      <c r="I33" s="691">
        <v>7.1675664451827242E-3</v>
      </c>
      <c r="J33" s="691">
        <v>5.0172965116279068E-3</v>
      </c>
      <c r="K33" s="3093" t="s">
        <v>2146</v>
      </c>
    </row>
    <row r="34" spans="2:11" ht="18" customHeight="1" x14ac:dyDescent="0.2">
      <c r="B34" s="282" t="s">
        <v>134</v>
      </c>
      <c r="C34" s="691">
        <v>48976.373960036697</v>
      </c>
      <c r="D34" s="3077" t="s">
        <v>1814</v>
      </c>
      <c r="E34" s="1913">
        <f t="shared" si="12"/>
        <v>51.411918339265007</v>
      </c>
      <c r="F34" s="1913">
        <f t="shared" si="11"/>
        <v>0.95830388768795882</v>
      </c>
      <c r="G34" s="1913">
        <f t="shared" si="11"/>
        <v>0.47109539957716817</v>
      </c>
      <c r="H34" s="691">
        <v>2517.9693385867117</v>
      </c>
      <c r="I34" s="691">
        <v>4.6934249570762476E-2</v>
      </c>
      <c r="J34" s="691">
        <v>2.3072544460544301E-2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44300.000000000007</v>
      </c>
      <c r="D38" s="3077" t="s">
        <v>1814</v>
      </c>
      <c r="E38" s="628"/>
      <c r="F38" s="628"/>
      <c r="G38" s="628"/>
      <c r="H38" s="1913">
        <f>IF(SUM(H39:H43)=0,"NO",SUM(H39:H43))</f>
        <v>1476.8416811103293</v>
      </c>
      <c r="I38" s="1913">
        <f t="shared" ref="I38:K38" si="13">IF(SUM(I39:I44)=0,"NO",SUM(I39:I44))</f>
        <v>0.2015473506493507</v>
      </c>
      <c r="J38" s="1913">
        <f t="shared" si="13"/>
        <v>0.13386675064935066</v>
      </c>
      <c r="K38" s="3065" t="str">
        <f t="shared" si="13"/>
        <v>NO</v>
      </c>
    </row>
    <row r="39" spans="2:11" ht="18" customHeight="1" x14ac:dyDescent="0.2">
      <c r="B39" s="282" t="s">
        <v>132</v>
      </c>
      <c r="C39" s="691">
        <v>2300</v>
      </c>
      <c r="D39" s="3077" t="s">
        <v>1814</v>
      </c>
      <c r="E39" s="1913">
        <f>IFERROR(H39*1000/$C39,"NA")</f>
        <v>69.817391304347808</v>
      </c>
      <c r="F39" s="1913">
        <f t="shared" ref="F39:G44" si="14">IFERROR(I39*1000000/$C39,"NA")</f>
        <v>1.2655900621118013</v>
      </c>
      <c r="G39" s="1913">
        <f t="shared" si="14"/>
        <v>0.81599171842650109</v>
      </c>
      <c r="H39" s="691">
        <v>160.57999999999998</v>
      </c>
      <c r="I39" s="691">
        <v>2.910857142857143E-3</v>
      </c>
      <c r="J39" s="691">
        <v>1.8767809523809525E-3</v>
      </c>
      <c r="K39" s="3093" t="s">
        <v>2146</v>
      </c>
    </row>
    <row r="40" spans="2:11" ht="18" customHeight="1" x14ac:dyDescent="0.2">
      <c r="B40" s="282" t="s">
        <v>133</v>
      </c>
      <c r="C40" s="691">
        <v>4000</v>
      </c>
      <c r="D40" s="3077" t="s">
        <v>1814</v>
      </c>
      <c r="E40" s="1913">
        <f t="shared" ref="E40:E44" si="15">IFERROR(H40*1000/$C40,"NA")</f>
        <v>89.999999999999986</v>
      </c>
      <c r="F40" s="1913">
        <f t="shared" si="14"/>
        <v>0.95238095238095233</v>
      </c>
      <c r="G40" s="1913">
        <f t="shared" si="14"/>
        <v>0.66666666666666663</v>
      </c>
      <c r="H40" s="691">
        <v>359.99999999999994</v>
      </c>
      <c r="I40" s="691">
        <v>3.8095238095238091E-3</v>
      </c>
      <c r="J40" s="691">
        <v>2.6666666666666666E-3</v>
      </c>
      <c r="K40" s="3093" t="s">
        <v>2146</v>
      </c>
    </row>
    <row r="41" spans="2:11" ht="18" customHeight="1" x14ac:dyDescent="0.2">
      <c r="B41" s="282" t="s">
        <v>134</v>
      </c>
      <c r="C41" s="691">
        <v>18600.000000000004</v>
      </c>
      <c r="D41" s="3077" t="s">
        <v>1814</v>
      </c>
      <c r="E41" s="1913">
        <f t="shared" si="15"/>
        <v>51.411918339265</v>
      </c>
      <c r="F41" s="1913">
        <f t="shared" si="14"/>
        <v>0.91363636363636369</v>
      </c>
      <c r="G41" s="1913">
        <f t="shared" si="14"/>
        <v>0.86863636363636354</v>
      </c>
      <c r="H41" s="691">
        <v>956.26168111032928</v>
      </c>
      <c r="I41" s="691">
        <v>1.6993636363636367E-2</v>
      </c>
      <c r="J41" s="691">
        <v>1.6156636363636366E-2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19400.000000000004</v>
      </c>
      <c r="D44" s="3076" t="s">
        <v>1814</v>
      </c>
      <c r="E44" s="1913">
        <f t="shared" si="15"/>
        <v>94</v>
      </c>
      <c r="F44" s="1913">
        <f t="shared" si="14"/>
        <v>9.1666666666666661</v>
      </c>
      <c r="G44" s="1913">
        <f t="shared" si="14"/>
        <v>5.833333333333333</v>
      </c>
      <c r="H44" s="691">
        <v>1823.6000000000001</v>
      </c>
      <c r="I44" s="691">
        <v>0.17783333333333337</v>
      </c>
      <c r="J44" s="691">
        <v>0.11316666666666669</v>
      </c>
      <c r="K44" s="3093" t="s">
        <v>2146</v>
      </c>
    </row>
    <row r="45" spans="2:11" ht="18" customHeight="1" x14ac:dyDescent="0.2">
      <c r="B45" s="1241" t="s">
        <v>155</v>
      </c>
      <c r="C45" s="1913">
        <f>IF(SUM(C46:C51)=0,"NO",SUM(C46:C51))</f>
        <v>145945.33594679629</v>
      </c>
      <c r="D45" s="3076" t="s">
        <v>1814</v>
      </c>
      <c r="E45" s="628"/>
      <c r="F45" s="628"/>
      <c r="G45" s="628"/>
      <c r="H45" s="1913">
        <f>IF(SUM(H46:H50)=0,"NO",SUM(H46:H50))</f>
        <v>3062.3972891604308</v>
      </c>
      <c r="I45" s="1913">
        <f t="shared" ref="I45:K45" si="16">IF(SUM(I46:I51)=0,"NO",SUM(I46:I51))</f>
        <v>0.95033726856572187</v>
      </c>
      <c r="J45" s="1913">
        <f t="shared" si="16"/>
        <v>0.623953927949634</v>
      </c>
      <c r="K45" s="3065" t="str">
        <f t="shared" si="16"/>
        <v>NO</v>
      </c>
    </row>
    <row r="46" spans="2:11" ht="18" customHeight="1" x14ac:dyDescent="0.2">
      <c r="B46" s="282" t="s">
        <v>132</v>
      </c>
      <c r="C46" s="691">
        <v>6100</v>
      </c>
      <c r="D46" s="3076" t="s">
        <v>1814</v>
      </c>
      <c r="E46" s="1913">
        <f>IFERROR(H46*1000/$C46,"NA")</f>
        <v>64.486885245901632</v>
      </c>
      <c r="F46" s="1913">
        <f t="shared" ref="F46:G51" si="17">IFERROR(I46*1000000/$C46,"NA")</f>
        <v>1.5783239197318275</v>
      </c>
      <c r="G46" s="1913">
        <f t="shared" si="17"/>
        <v>2.7108231161316985</v>
      </c>
      <c r="H46" s="691">
        <v>393.37</v>
      </c>
      <c r="I46" s="691">
        <v>9.6277759103641468E-3</v>
      </c>
      <c r="J46" s="691">
        <v>1.6536021008403359E-2</v>
      </c>
      <c r="K46" s="3093" t="s">
        <v>2146</v>
      </c>
    </row>
    <row r="47" spans="2:11" ht="18" customHeight="1" x14ac:dyDescent="0.2">
      <c r="B47" s="282" t="s">
        <v>133</v>
      </c>
      <c r="C47" s="691">
        <v>13709.011627906975</v>
      </c>
      <c r="D47" s="3076" t="s">
        <v>1814</v>
      </c>
      <c r="E47" s="1913">
        <f t="shared" ref="E47:E51" si="18">IFERROR(H47*1000/$C47,"NA")</f>
        <v>90.810131682181563</v>
      </c>
      <c r="F47" s="1913">
        <f t="shared" si="17"/>
        <v>0.95238095238095222</v>
      </c>
      <c r="G47" s="1913">
        <f t="shared" si="17"/>
        <v>0.6752380952380953</v>
      </c>
      <c r="H47" s="691">
        <v>1244.9171511627906</v>
      </c>
      <c r="I47" s="691">
        <v>1.3056201550387593E-2</v>
      </c>
      <c r="J47" s="691">
        <v>9.2568468992248049E-3</v>
      </c>
      <c r="K47" s="3093" t="s">
        <v>2146</v>
      </c>
    </row>
    <row r="48" spans="2:11" ht="18" customHeight="1" x14ac:dyDescent="0.2">
      <c r="B48" s="282" t="s">
        <v>134</v>
      </c>
      <c r="C48" s="691">
        <v>27700</v>
      </c>
      <c r="D48" s="3076" t="s">
        <v>1814</v>
      </c>
      <c r="E48" s="1913">
        <f t="shared" si="18"/>
        <v>51.411918339264993</v>
      </c>
      <c r="F48" s="1913">
        <f t="shared" si="17"/>
        <v>0.91409090909090907</v>
      </c>
      <c r="G48" s="1913">
        <f t="shared" si="17"/>
        <v>0.86459090909090897</v>
      </c>
      <c r="H48" s="691">
        <v>1424.1101379976403</v>
      </c>
      <c r="I48" s="691">
        <v>2.532031818181818E-2</v>
      </c>
      <c r="J48" s="691">
        <v>2.3949168181818178E-2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98436.324318889296</v>
      </c>
      <c r="D51" s="3076" t="s">
        <v>1814</v>
      </c>
      <c r="E51" s="1913">
        <f t="shared" si="18"/>
        <v>94.958348708890028</v>
      </c>
      <c r="F51" s="1913">
        <f t="shared" si="17"/>
        <v>9.1666666666666679</v>
      </c>
      <c r="G51" s="1913">
        <f t="shared" si="17"/>
        <v>5.8333333333333339</v>
      </c>
      <c r="H51" s="691">
        <v>9347.3508102944816</v>
      </c>
      <c r="I51" s="691">
        <v>0.90233297292315195</v>
      </c>
      <c r="J51" s="691">
        <v>0.57421189186018762</v>
      </c>
      <c r="K51" s="3093" t="s">
        <v>2146</v>
      </c>
    </row>
    <row r="52" spans="2:11" ht="18" customHeight="1" x14ac:dyDescent="0.2">
      <c r="B52" s="1241" t="s">
        <v>156</v>
      </c>
      <c r="C52" s="3094">
        <f>IF(SUM(C53:C58)=0,"NO",SUM(C53:C58))</f>
        <v>81200</v>
      </c>
      <c r="D52" s="3076" t="s">
        <v>1814</v>
      </c>
      <c r="E52" s="628"/>
      <c r="F52" s="628"/>
      <c r="G52" s="628"/>
      <c r="H52" s="1913">
        <f>IF(SUM(H53:H57)=0,"NO",SUM(H53:H57))</f>
        <v>5063.3716719810454</v>
      </c>
      <c r="I52" s="1913">
        <f t="shared" ref="I52:K52" si="19">IF(SUM(I53:I58)=0,"NO",SUM(I53:I58))</f>
        <v>0.16429991838277283</v>
      </c>
      <c r="J52" s="1913">
        <f t="shared" si="19"/>
        <v>3.8574550711050412E-2</v>
      </c>
      <c r="K52" s="3065" t="str">
        <f t="shared" si="19"/>
        <v>NO</v>
      </c>
    </row>
    <row r="53" spans="2:11" ht="18" customHeight="1" x14ac:dyDescent="0.2">
      <c r="B53" s="282" t="s">
        <v>132</v>
      </c>
      <c r="C53" s="2147">
        <v>4900</v>
      </c>
      <c r="D53" s="3076" t="s">
        <v>1814</v>
      </c>
      <c r="E53" s="1913">
        <f>IFERROR(H53*1000/$C53,"NA")</f>
        <v>65.824489795918353</v>
      </c>
      <c r="F53" s="1913">
        <f t="shared" ref="F53:G58" si="20">IFERROR(I53*1000000/$C53,"NA")</f>
        <v>16.696779880219559</v>
      </c>
      <c r="G53" s="1913">
        <f t="shared" si="20"/>
        <v>1.7599235040663006</v>
      </c>
      <c r="H53" s="691">
        <v>322.53999999999996</v>
      </c>
      <c r="I53" s="691">
        <v>8.1814221413075844E-2</v>
      </c>
      <c r="J53" s="691">
        <v>8.6236251699248739E-3</v>
      </c>
      <c r="K53" s="3093" t="s">
        <v>2146</v>
      </c>
    </row>
    <row r="54" spans="2:11" ht="18" customHeight="1" x14ac:dyDescent="0.2">
      <c r="B54" s="282" t="s">
        <v>133</v>
      </c>
      <c r="C54" s="691">
        <v>22400</v>
      </c>
      <c r="D54" s="3076" t="s">
        <v>1814</v>
      </c>
      <c r="E54" s="1913">
        <f t="shared" ref="E54:E58" si="21">IFERROR(H54*1000/$C54,"NA")</f>
        <v>90</v>
      </c>
      <c r="F54" s="1913">
        <f t="shared" si="20"/>
        <v>0.95238095238095244</v>
      </c>
      <c r="G54" s="1913">
        <f t="shared" si="20"/>
        <v>0.8273197278911566</v>
      </c>
      <c r="H54" s="691">
        <v>2016</v>
      </c>
      <c r="I54" s="691">
        <v>2.1333333333333336E-2</v>
      </c>
      <c r="J54" s="691">
        <v>1.8531961904761907E-2</v>
      </c>
      <c r="K54" s="3093" t="s">
        <v>2146</v>
      </c>
    </row>
    <row r="55" spans="2:11" ht="18" customHeight="1" x14ac:dyDescent="0.2">
      <c r="B55" s="282" t="s">
        <v>134</v>
      </c>
      <c r="C55" s="691">
        <v>53000.000000000007</v>
      </c>
      <c r="D55" s="3076" t="s">
        <v>1814</v>
      </c>
      <c r="E55" s="1913">
        <f t="shared" si="21"/>
        <v>51.411918339264993</v>
      </c>
      <c r="F55" s="1913">
        <f t="shared" si="20"/>
        <v>0.99815780445969116</v>
      </c>
      <c r="G55" s="1913">
        <f t="shared" si="20"/>
        <v>0.11639554030874784</v>
      </c>
      <c r="H55" s="691">
        <v>2724.831671981045</v>
      </c>
      <c r="I55" s="691">
        <v>5.2902363636363636E-2</v>
      </c>
      <c r="J55" s="691">
        <v>6.1689636363636367E-3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899.99999999999989</v>
      </c>
      <c r="D58" s="3076" t="s">
        <v>1814</v>
      </c>
      <c r="E58" s="3095">
        <f t="shared" si="21"/>
        <v>94.000000000000028</v>
      </c>
      <c r="F58" s="3095">
        <f t="shared" si="20"/>
        <v>9.1666666666666679</v>
      </c>
      <c r="G58" s="3095">
        <f t="shared" si="20"/>
        <v>5.8333333333333339</v>
      </c>
      <c r="H58" s="2190">
        <v>84.600000000000009</v>
      </c>
      <c r="I58" s="691">
        <v>8.2500000000000004E-3</v>
      </c>
      <c r="J58" s="691">
        <v>5.2500000000000003E-3</v>
      </c>
      <c r="K58" s="3093" t="s">
        <v>2146</v>
      </c>
    </row>
    <row r="59" spans="2:11" ht="18" customHeight="1" x14ac:dyDescent="0.2">
      <c r="B59" s="1241" t="s">
        <v>157</v>
      </c>
      <c r="C59" s="3094">
        <f>IF(SUM(C61,C68,C75,C82,C89,C96,C103,C112)=0,"NO",SUM(C61,C68,C75,C82,C89,C96,C103,C112))</f>
        <v>106915.60857908847</v>
      </c>
      <c r="D59" s="3076" t="s">
        <v>1814</v>
      </c>
      <c r="E59" s="1914"/>
      <c r="F59" s="1914"/>
      <c r="G59" s="1914"/>
      <c r="H59" s="1913">
        <f>IF(SUM(H61,H68,H75,H82,H89,H96,H103,H112)=0,"NO",SUM(H61,H68,H75,H82,H89,H96,H103,H112))</f>
        <v>7099.6090760097404</v>
      </c>
      <c r="I59" s="1913">
        <f>IF(SUM(I61,I68,I75,I82,I89,I96,I103,I112)=0,"NO",SUM(I61,I68,I75,I82,I89,I96,I103,I112))</f>
        <v>0.37190139741655409</v>
      </c>
      <c r="J59" s="1913">
        <f>IF(SUM(J61,J68,J75,J82,J89,J96,J103,J112)=0,"NO",SUM(J61,J68,J75,J82,J89,J96,J103,J112))</f>
        <v>0.28467217538230066</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7699.9999999999991</v>
      </c>
      <c r="D61" s="3076" t="s">
        <v>1814</v>
      </c>
      <c r="E61" s="628"/>
      <c r="F61" s="628"/>
      <c r="G61" s="628"/>
      <c r="H61" s="1913">
        <f>IF(SUM(H62:H66)=0,"NO",SUM(H62:H66))</f>
        <v>407.38746920522249</v>
      </c>
      <c r="I61" s="1913">
        <f t="shared" ref="I61:K61" si="22">IF(SUM(I62:I67)=0,"NO",SUM(I62:I67))</f>
        <v>5.8797380952380948E-2</v>
      </c>
      <c r="J61" s="1913">
        <f t="shared" si="22"/>
        <v>7.7511666666666658E-3</v>
      </c>
      <c r="K61" s="3065" t="str">
        <f t="shared" si="22"/>
        <v>NO</v>
      </c>
    </row>
    <row r="62" spans="2:11" ht="18" customHeight="1" x14ac:dyDescent="0.2">
      <c r="B62" s="158" t="s">
        <v>132</v>
      </c>
      <c r="C62" s="691">
        <v>1200.0000000000002</v>
      </c>
      <c r="D62" s="3076" t="s">
        <v>1814</v>
      </c>
      <c r="E62" s="1913">
        <f>IFERROR(H62*1000/$C62,"NA")</f>
        <v>61.008333333333333</v>
      </c>
      <c r="F62" s="1913">
        <f t="shared" ref="F62:G67" si="23">IFERROR(I62*1000000/$C62,"NA")</f>
        <v>43.960317460317455</v>
      </c>
      <c r="G62" s="1913">
        <f t="shared" si="23"/>
        <v>2.0555555555555549</v>
      </c>
      <c r="H62" s="691">
        <v>73.210000000000008</v>
      </c>
      <c r="I62" s="691">
        <v>5.2752380952380953E-2</v>
      </c>
      <c r="J62" s="691">
        <v>2.4666666666666665E-3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6499.9999999999991</v>
      </c>
      <c r="D64" s="3076" t="s">
        <v>1814</v>
      </c>
      <c r="E64" s="1913">
        <f t="shared" si="24"/>
        <v>51.411918339265</v>
      </c>
      <c r="F64" s="1913">
        <f t="shared" si="23"/>
        <v>0.92999999999999983</v>
      </c>
      <c r="G64" s="1913">
        <f t="shared" si="23"/>
        <v>0.81299999999999994</v>
      </c>
      <c r="H64" s="691">
        <v>334.17746920522245</v>
      </c>
      <c r="I64" s="691">
        <v>6.0449999999999983E-3</v>
      </c>
      <c r="J64" s="691">
        <v>5.2844999999999993E-3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58213.999999999985</v>
      </c>
      <c r="D75" s="3077" t="s">
        <v>1814</v>
      </c>
      <c r="E75" s="628"/>
      <c r="F75" s="628"/>
      <c r="G75" s="628"/>
      <c r="H75" s="1913">
        <f>IF(SUM(H76:H80)=0,"NO",SUM(H76:H80))</f>
        <v>4023.326098471628</v>
      </c>
      <c r="I75" s="1913">
        <f t="shared" ref="I75:K75" si="28">IF(SUM(I76:I81)=0,"NO",SUM(I76:I81))</f>
        <v>0.1751546975801975</v>
      </c>
      <c r="J75" s="1913">
        <f t="shared" si="28"/>
        <v>0.16287234796914191</v>
      </c>
      <c r="K75" s="3065" t="str">
        <f t="shared" si="28"/>
        <v>NO</v>
      </c>
    </row>
    <row r="76" spans="2:11" ht="18" customHeight="1" x14ac:dyDescent="0.2">
      <c r="B76" s="158" t="s">
        <v>132</v>
      </c>
      <c r="C76" s="691">
        <v>41963.999999999985</v>
      </c>
      <c r="D76" s="3077" t="s">
        <v>1814</v>
      </c>
      <c r="E76" s="1913">
        <f>IFERROR(H76*1000/$C76,"NA")</f>
        <v>69.920057668477739</v>
      </c>
      <c r="F76" s="1913">
        <f t="shared" ref="F76:G81" si="29">IFERROR(I76*1000000/$C76,"NA")</f>
        <v>3.5791300852210202</v>
      </c>
      <c r="G76" s="1913">
        <f t="shared" si="29"/>
        <v>3.559493888068952</v>
      </c>
      <c r="H76" s="691">
        <v>2934.1252999999988</v>
      </c>
      <c r="I76" s="691">
        <v>0.15019461489621483</v>
      </c>
      <c r="J76" s="691">
        <v>0.14937060151892545</v>
      </c>
      <c r="K76" s="3093" t="s">
        <v>2146</v>
      </c>
    </row>
    <row r="77" spans="2:11" ht="18" customHeight="1" x14ac:dyDescent="0.2">
      <c r="B77" s="158" t="s">
        <v>133</v>
      </c>
      <c r="C77" s="691">
        <v>8349.9999999999982</v>
      </c>
      <c r="D77" s="3077" t="s">
        <v>1814</v>
      </c>
      <c r="E77" s="1913">
        <f t="shared" ref="E77:E81" si="30">IFERROR(H77*1000/$C77,"NA")</f>
        <v>81.801993244483327</v>
      </c>
      <c r="F77" s="1913">
        <f t="shared" si="29"/>
        <v>1.1202385359151825</v>
      </c>
      <c r="G77" s="1913">
        <f t="shared" si="29"/>
        <v>0.77984225315602573</v>
      </c>
      <c r="H77" s="691">
        <v>683.04664359143567</v>
      </c>
      <c r="I77" s="691">
        <v>9.353991774891773E-3</v>
      </c>
      <c r="J77" s="691">
        <v>6.5116828138528137E-3</v>
      </c>
      <c r="K77" s="3093" t="s">
        <v>2146</v>
      </c>
    </row>
    <row r="78" spans="2:11" ht="18" customHeight="1" x14ac:dyDescent="0.2">
      <c r="B78" s="158" t="s">
        <v>134</v>
      </c>
      <c r="C78" s="691">
        <v>7900</v>
      </c>
      <c r="D78" s="3077" t="s">
        <v>1814</v>
      </c>
      <c r="E78" s="1913">
        <f t="shared" si="30"/>
        <v>51.411918339265</v>
      </c>
      <c r="F78" s="1913">
        <f t="shared" si="29"/>
        <v>1.9754545454545458</v>
      </c>
      <c r="G78" s="1913">
        <f t="shared" si="29"/>
        <v>0.88481818181818184</v>
      </c>
      <c r="H78" s="691">
        <v>406.15415488019352</v>
      </c>
      <c r="I78" s="691">
        <v>1.5606090909090911E-2</v>
      </c>
      <c r="J78" s="691">
        <v>6.9900636363636366E-3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29301.608579088475</v>
      </c>
      <c r="D89" s="3077" t="s">
        <v>1814</v>
      </c>
      <c r="E89" s="628"/>
      <c r="F89" s="628"/>
      <c r="G89" s="628"/>
      <c r="H89" s="1913">
        <f>IF(SUM(H90:H94)=0,"NO",SUM(H90:H94))</f>
        <v>2016.8210922759463</v>
      </c>
      <c r="I89" s="1913">
        <f t="shared" ref="I89:K89" si="36">IF(SUM(I90:I95)=0,"NO",SUM(I90:I95))</f>
        <v>0.10372147905713588</v>
      </c>
      <c r="J89" s="1913">
        <f t="shared" si="36"/>
        <v>0.10280351659064793</v>
      </c>
      <c r="K89" s="3065" t="str">
        <f t="shared" si="36"/>
        <v>NO</v>
      </c>
    </row>
    <row r="90" spans="2:11" ht="18" customHeight="1" x14ac:dyDescent="0.2">
      <c r="B90" s="158" t="s">
        <v>132</v>
      </c>
      <c r="C90" s="691">
        <v>27601.608579088475</v>
      </c>
      <c r="D90" s="3077" t="s">
        <v>1814</v>
      </c>
      <c r="E90" s="1913">
        <f>IFERROR(H90*1000/$C90,"NA")</f>
        <v>69.902477805621928</v>
      </c>
      <c r="F90" s="1913">
        <f t="shared" ref="F90:G95" si="37">IFERROR(I90*1000000/$C90,"NA")</f>
        <v>3.7018141250322607</v>
      </c>
      <c r="G90" s="1913">
        <f t="shared" si="37"/>
        <v>3.6685565536897187</v>
      </c>
      <c r="H90" s="691">
        <v>1929.4208310991958</v>
      </c>
      <c r="I90" s="691">
        <v>0.10217602451168134</v>
      </c>
      <c r="J90" s="691">
        <v>0.10125806204519339</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1700.0000000000002</v>
      </c>
      <c r="D92" s="3077" t="s">
        <v>1814</v>
      </c>
      <c r="E92" s="1913">
        <f t="shared" si="38"/>
        <v>51.411918339265</v>
      </c>
      <c r="F92" s="1913">
        <f t="shared" si="37"/>
        <v>0.90909090909090917</v>
      </c>
      <c r="G92" s="1913">
        <f t="shared" si="37"/>
        <v>0.90909090909090895</v>
      </c>
      <c r="H92" s="691">
        <v>87.400261176750519</v>
      </c>
      <c r="I92" s="691">
        <v>1.5454545454545458E-3</v>
      </c>
      <c r="J92" s="691">
        <v>1.5454545454545456E-3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8200</v>
      </c>
      <c r="D96" s="3076" t="s">
        <v>1814</v>
      </c>
      <c r="E96" s="628"/>
      <c r="F96" s="628"/>
      <c r="G96" s="628"/>
      <c r="H96" s="1913">
        <f>IF(SUM(H97:H101)=0,"NO",SUM(H97:H101))</f>
        <v>465.8898528730756</v>
      </c>
      <c r="I96" s="1913">
        <f t="shared" ref="I96:K96" si="42">IF(SUM(I97:I102)=0,"NO",SUM(I97:I102))</f>
        <v>7.6935757575757593E-3</v>
      </c>
      <c r="J96" s="1913">
        <f t="shared" si="42"/>
        <v>7.6117783549783571E-3</v>
      </c>
      <c r="K96" s="3065" t="str">
        <f t="shared" si="42"/>
        <v>NO</v>
      </c>
    </row>
    <row r="97" spans="2:11" ht="18" customHeight="1" x14ac:dyDescent="0.2">
      <c r="B97" s="158" t="s">
        <v>132</v>
      </c>
      <c r="C97" s="691">
        <v>599.99999999999989</v>
      </c>
      <c r="D97" s="3076" t="s">
        <v>1814</v>
      </c>
      <c r="E97" s="1913">
        <f>IFERROR(H97*1000/$C97,"NA")</f>
        <v>64.050000000000026</v>
      </c>
      <c r="F97" s="1913">
        <f t="shared" ref="F97:G102" si="43">IFERROR(I97*1000000/$C97,"NA")</f>
        <v>1.1613275613275618</v>
      </c>
      <c r="G97" s="1913">
        <f t="shared" si="43"/>
        <v>2.2575699855699867</v>
      </c>
      <c r="H97" s="691">
        <v>38.430000000000007</v>
      </c>
      <c r="I97" s="691">
        <v>6.9679653679653687E-4</v>
      </c>
      <c r="J97" s="691">
        <v>1.3545419913419917E-3</v>
      </c>
      <c r="K97" s="3093" t="s">
        <v>2146</v>
      </c>
    </row>
    <row r="98" spans="2:11" ht="18" customHeight="1" x14ac:dyDescent="0.2">
      <c r="B98" s="158" t="s">
        <v>133</v>
      </c>
      <c r="C98" s="691">
        <v>900</v>
      </c>
      <c r="D98" s="3076" t="s">
        <v>1814</v>
      </c>
      <c r="E98" s="1913">
        <f t="shared" ref="E98:E102" si="44">IFERROR(H98*1000/$C98,"NA")</f>
        <v>92.222222222222229</v>
      </c>
      <c r="F98" s="1913">
        <f t="shared" si="43"/>
        <v>0.95238095238095233</v>
      </c>
      <c r="G98" s="1913">
        <f t="shared" si="43"/>
        <v>0.66666666666666663</v>
      </c>
      <c r="H98" s="691">
        <v>83</v>
      </c>
      <c r="I98" s="691">
        <v>8.571428571428571E-4</v>
      </c>
      <c r="J98" s="691">
        <v>5.9999999999999995E-4</v>
      </c>
      <c r="K98" s="3093" t="s">
        <v>2146</v>
      </c>
    </row>
    <row r="99" spans="2:11" ht="18" customHeight="1" x14ac:dyDescent="0.2">
      <c r="B99" s="158" t="s">
        <v>134</v>
      </c>
      <c r="C99" s="691">
        <v>6700.0000000000009</v>
      </c>
      <c r="D99" s="3076" t="s">
        <v>1814</v>
      </c>
      <c r="E99" s="1913">
        <f t="shared" si="44"/>
        <v>51.411918339265007</v>
      </c>
      <c r="F99" s="1913">
        <f t="shared" si="43"/>
        <v>0.9163636363636366</v>
      </c>
      <c r="G99" s="1913">
        <f t="shared" si="43"/>
        <v>0.84436363636363654</v>
      </c>
      <c r="H99" s="691">
        <v>344.45985287307559</v>
      </c>
      <c r="I99" s="691">
        <v>6.1396363636363653E-3</v>
      </c>
      <c r="J99" s="691">
        <v>5.6572363636363653E-3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3499.9999999999991</v>
      </c>
      <c r="D112" s="3076" t="s">
        <v>1814</v>
      </c>
      <c r="E112" s="628"/>
      <c r="F112" s="628"/>
      <c r="G112" s="628"/>
      <c r="H112" s="1913">
        <f>H113</f>
        <v>186.18456318386848</v>
      </c>
      <c r="I112" s="1913">
        <f>I113</f>
        <v>2.6534264069264069E-2</v>
      </c>
      <c r="J112" s="1913">
        <f>J113</f>
        <v>3.6333658008658003E-3</v>
      </c>
      <c r="K112" s="3065" t="str">
        <f>K113</f>
        <v>NO</v>
      </c>
    </row>
    <row r="113" spans="2:11" ht="18" customHeight="1" x14ac:dyDescent="0.2">
      <c r="B113" s="3090" t="s">
        <v>2259</v>
      </c>
      <c r="C113" s="3099">
        <f>IF(SUM(C114:C119)=0,"NO",SUM(C114:C119))</f>
        <v>3499.9999999999991</v>
      </c>
      <c r="D113" s="3099" t="s">
        <v>1814</v>
      </c>
      <c r="E113" s="628"/>
      <c r="F113" s="628"/>
      <c r="G113" s="628"/>
      <c r="H113" s="3099">
        <f>IF(SUM(H114:H118)=0,"NO",SUM(H114:H118))</f>
        <v>186.18456318386848</v>
      </c>
      <c r="I113" s="3099">
        <f t="shared" ref="I113" si="51">IF(SUM(I114:I119)=0,"NO",SUM(I114:I119))</f>
        <v>2.6534264069264069E-2</v>
      </c>
      <c r="J113" s="3099">
        <f t="shared" ref="J113" si="52">IF(SUM(J114:J119)=0,"NO",SUM(J114:J119))</f>
        <v>3.6333658008658003E-3</v>
      </c>
      <c r="K113" s="3100" t="str">
        <f t="shared" ref="K113" si="53">IF(SUM(K114:K119)=0,"NO",SUM(K114:K119))</f>
        <v>NO</v>
      </c>
    </row>
    <row r="114" spans="2:11" ht="18" customHeight="1" x14ac:dyDescent="0.2">
      <c r="B114" s="158" t="s">
        <v>132</v>
      </c>
      <c r="C114" s="691">
        <v>599.99999999999977</v>
      </c>
      <c r="D114" s="3076" t="s">
        <v>1814</v>
      </c>
      <c r="E114" s="1913">
        <f>IFERROR(H114*1000/$C114,"NA")</f>
        <v>61.816666666666677</v>
      </c>
      <c r="F114" s="1913">
        <f t="shared" ref="F114:G119" si="54">IFERROR(I114*1000000/$C114,"NA")</f>
        <v>39.818470418470433</v>
      </c>
      <c r="G114" s="1913">
        <f t="shared" si="54"/>
        <v>1.7178066378066379</v>
      </c>
      <c r="H114" s="691">
        <v>37.089999999999996</v>
      </c>
      <c r="I114" s="691">
        <v>2.389108225108225E-2</v>
      </c>
      <c r="J114" s="691">
        <v>1.0306839826839823E-3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2899.9999999999995</v>
      </c>
      <c r="D116" s="3076" t="s">
        <v>1814</v>
      </c>
      <c r="E116" s="1913">
        <f t="shared" si="55"/>
        <v>51.411918339265</v>
      </c>
      <c r="F116" s="1913">
        <f t="shared" si="54"/>
        <v>0.91144200626959238</v>
      </c>
      <c r="G116" s="1913">
        <f t="shared" si="54"/>
        <v>0.89747648902821309</v>
      </c>
      <c r="H116" s="691">
        <v>149.09456318386847</v>
      </c>
      <c r="I116" s="691">
        <v>2.6431818181818175E-3</v>
      </c>
      <c r="J116" s="691">
        <v>2.6026818181818178E-3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5222.0017940002581</v>
      </c>
      <c r="D10" s="4413">
        <f t="shared" ref="D10:F10" si="0">SUM(D11:D16)</f>
        <v>30423.316723007571</v>
      </c>
      <c r="E10" s="4413">
        <f t="shared" si="0"/>
        <v>2137.1388664894366</v>
      </c>
      <c r="F10" s="4413">
        <f t="shared" si="0"/>
        <v>2807.8017482369555</v>
      </c>
      <c r="G10" s="4414" t="s">
        <v>2146</v>
      </c>
      <c r="H10" s="4415" t="s">
        <v>2312</v>
      </c>
      <c r="I10" s="4416" t="s">
        <v>2313</v>
      </c>
    </row>
    <row r="11" spans="2:9" ht="18" customHeight="1" x14ac:dyDescent="0.2">
      <c r="B11" s="1558" t="s">
        <v>1476</v>
      </c>
      <c r="C11" s="4417">
        <f>Table1!D10</f>
        <v>1307.2679893744455</v>
      </c>
      <c r="D11" s="4418">
        <f>Table1!G10</f>
        <v>5193.571147644072</v>
      </c>
      <c r="E11" s="4418">
        <f>Table1!H10</f>
        <v>771.06051129520233</v>
      </c>
      <c r="F11" s="4418">
        <f>Table1!F10</f>
        <v>1792.8991296795652</v>
      </c>
      <c r="G11" s="4419" t="s">
        <v>2146</v>
      </c>
      <c r="H11" s="4420" t="s">
        <v>2154</v>
      </c>
      <c r="I11" s="4421" t="s">
        <v>2154</v>
      </c>
    </row>
    <row r="12" spans="2:9" ht="18" customHeight="1" x14ac:dyDescent="0.2">
      <c r="B12" s="2393" t="s">
        <v>1551</v>
      </c>
      <c r="C12" s="4422">
        <f>'Table2(I)'!D10</f>
        <v>3.8379454129081627</v>
      </c>
      <c r="D12" s="4388">
        <f>'Table2(I)'!L10</f>
        <v>11.715225831893719</v>
      </c>
      <c r="E12" s="4388">
        <f>'Table2(I)'!M10</f>
        <v>224.19392816905832</v>
      </c>
      <c r="F12" s="4388">
        <f>'Table2(I)'!K10</f>
        <v>44.116079006676699</v>
      </c>
      <c r="G12" s="4423" t="s">
        <v>2146</v>
      </c>
      <c r="H12" s="4424" t="s">
        <v>2146</v>
      </c>
      <c r="I12" s="4425" t="s">
        <v>2146</v>
      </c>
    </row>
    <row r="13" spans="2:9" ht="18" customHeight="1" x14ac:dyDescent="0.2">
      <c r="B13" s="2393" t="s">
        <v>1552</v>
      </c>
      <c r="C13" s="4422">
        <f>Table3!D10</f>
        <v>2577.0843807887854</v>
      </c>
      <c r="D13" s="4388">
        <f>Table3!G10</f>
        <v>600.37389933308827</v>
      </c>
      <c r="E13" s="4388">
        <f>Table3!H10</f>
        <v>35.021810794430152</v>
      </c>
      <c r="F13" s="4388">
        <f>Table3!F10</f>
        <v>37.01190063579476</v>
      </c>
      <c r="G13" s="4426"/>
      <c r="H13" s="4424" t="s">
        <v>2154</v>
      </c>
      <c r="I13" s="4425" t="s">
        <v>2153</v>
      </c>
    </row>
    <row r="14" spans="2:9" ht="18" customHeight="1" x14ac:dyDescent="0.2">
      <c r="B14" s="2393" t="s">
        <v>1553</v>
      </c>
      <c r="C14" s="4422">
        <f>Table4!D10</f>
        <v>655.48495132024084</v>
      </c>
      <c r="D14" s="4388">
        <f>Table4!G10</f>
        <v>24617.656450198516</v>
      </c>
      <c r="E14" s="4423">
        <f>Table4!H10</f>
        <v>689.28387238375842</v>
      </c>
      <c r="F14" s="4423">
        <f>Table4!F10</f>
        <v>933.77463891491891</v>
      </c>
      <c r="G14" s="4426"/>
      <c r="H14" s="4427" t="s">
        <v>2154</v>
      </c>
      <c r="I14" s="4425" t="s">
        <v>2154</v>
      </c>
    </row>
    <row r="15" spans="2:9" ht="18" customHeight="1" x14ac:dyDescent="0.2">
      <c r="B15" s="2393" t="s">
        <v>1554</v>
      </c>
      <c r="C15" s="4422">
        <f>Table5!D10</f>
        <v>678.32652710387845</v>
      </c>
      <c r="D15" s="4388" t="str">
        <f>Table5!G10</f>
        <v>NO</v>
      </c>
      <c r="E15" s="4423">
        <f>Table5!H10</f>
        <v>417.57874384698749</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1999</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370990.81549103477</v>
      </c>
      <c r="D10" s="4193">
        <f>SUM(D11,D22,D30,D41,D50,D56)</f>
        <v>370978.31579456624</v>
      </c>
      <c r="E10" s="3840">
        <f>IF(D10="NO",IF(C10="NO","NA",-C10),IF(C10="NO",D10,D10-C10))</f>
        <v>-12.499696468526963</v>
      </c>
      <c r="F10" s="3838">
        <f>IF(E10="NA","NA",E10/C10*100)</f>
        <v>-3.3692738328259305E-3</v>
      </c>
      <c r="G10" s="3841">
        <f>IF(E10="NA","NA",E10/Table8s2!$G$35*100)</f>
        <v>-2.5511085907770873E-3</v>
      </c>
      <c r="H10" s="3842">
        <f>IF(E10="NA","NA",E10/Table8s2!$G$34*100)</f>
        <v>-2.3164304286076394E-3</v>
      </c>
      <c r="I10" s="4194">
        <f>SUM(I11,I22,I30,I41,I50,I56)</f>
        <v>150777.44154142126</v>
      </c>
      <c r="J10" s="4193">
        <f>SUM(J11,J22,J30,J41,J50,J56)</f>
        <v>146216.05023200723</v>
      </c>
      <c r="K10" s="3840">
        <f t="shared" ref="K10:K12" si="0">IF(J10="NO",IF(I10="NO","NA",-I10),IF(I10="NO",J10,J10-I10))</f>
        <v>-4561.3913094140298</v>
      </c>
      <c r="L10" s="3838">
        <f t="shared" ref="L10:L12" si="1">IF(K10="NA","NA",K10/I10*100)</f>
        <v>-3.0252478505950338</v>
      </c>
      <c r="M10" s="3841">
        <f>IF(K10="NA","NA",K10/Table8s2!$G$35*100)</f>
        <v>-0.93095097026091245</v>
      </c>
      <c r="N10" s="3842">
        <f>IF(K10="NA","NA",K10/Table8s2!$G$34*100)</f>
        <v>-0.84531217638105405</v>
      </c>
      <c r="O10" s="4194">
        <f>SUM(O11,O22,O30,O41,O50,O56)</f>
        <v>20352.618269671657</v>
      </c>
      <c r="P10" s="4193">
        <f>SUM(P11,P22,P30,P41,P50,P56)</f>
        <v>20268.743956597958</v>
      </c>
      <c r="Q10" s="3840">
        <f t="shared" ref="Q10:Q12" si="2">IF(P10="NO",IF(O10="NO","NA",-O10),IF(O10="NO",P10,P10-O10))</f>
        <v>-83.874313073698431</v>
      </c>
      <c r="R10" s="3838">
        <f t="shared" ref="R10:R12" si="3">IF(Q10="NA","NA",Q10/O10*100)</f>
        <v>-0.41210576429217105</v>
      </c>
      <c r="S10" s="3841">
        <f>IF(Q10="NA","NA",Q10/Table8s2!$G$35*100)</f>
        <v>-1.7118214123567017E-2</v>
      </c>
      <c r="T10" s="3842">
        <f>IF(Q10="NA","NA",Q10/Table8s2!$G$34*100)</f>
        <v>-1.5543498313873435E-2</v>
      </c>
    </row>
    <row r="11" spans="2:20" ht="18" customHeight="1" x14ac:dyDescent="0.2">
      <c r="B11" s="1405" t="s">
        <v>1476</v>
      </c>
      <c r="C11" s="3839">
        <f>SUM(C12,C18,C21)</f>
        <v>319802.87526230235</v>
      </c>
      <c r="D11" s="3839">
        <f>Summary2!C11</f>
        <v>320227.94556871982</v>
      </c>
      <c r="E11" s="3843">
        <f t="shared" ref="E11:E38" si="4">IF(D11="NO",IF(C11="NO","NA",-C11),IF(C11="NO",D11,D11-C11))</f>
        <v>425.07030641747406</v>
      </c>
      <c r="F11" s="3839">
        <f t="shared" ref="F11:F38" si="5">IF(E11="NA","NA",E11/C11*100)</f>
        <v>0.13291634919443154</v>
      </c>
      <c r="G11" s="3844">
        <f>IF(E11="NA","NA",E11/Table8s2!$G$35*100)</f>
        <v>8.675414744000251E-2</v>
      </c>
      <c r="H11" s="3845">
        <f>IF(E11="NA","NA",E11/Table8s2!$G$34*100)</f>
        <v>7.8773576187410127E-2</v>
      </c>
      <c r="I11" s="3846">
        <f>SUM(I12,I18,I21)</f>
        <v>36602.544942644927</v>
      </c>
      <c r="J11" s="3839">
        <f>Summary2!D11</f>
        <v>36603.503702484471</v>
      </c>
      <c r="K11" s="3843">
        <f t="shared" si="0"/>
        <v>0.95875983954465482</v>
      </c>
      <c r="L11" s="3839">
        <f t="shared" si="1"/>
        <v>2.6193802672655748E-3</v>
      </c>
      <c r="M11" s="3844">
        <f>IF(K11="NA","NA",K11/Table8s2!$G$35*100)</f>
        <v>1.9567678857746449E-4</v>
      </c>
      <c r="N11" s="3845">
        <f>IF(K11="NA","NA",K11/Table8s2!$G$34*100)</f>
        <v>1.7767635171303805E-4</v>
      </c>
      <c r="O11" s="3846">
        <f>SUM(O12,O18,O21)</f>
        <v>2596.1830581100407</v>
      </c>
      <c r="P11" s="3839">
        <f>Summary2!E11</f>
        <v>2596.7912480999121</v>
      </c>
      <c r="Q11" s="3843">
        <f t="shared" si="2"/>
        <v>0.60818998987133455</v>
      </c>
      <c r="R11" s="3839">
        <f t="shared" si="3"/>
        <v>2.3426313794454937E-2</v>
      </c>
      <c r="S11" s="3844">
        <f>IF(Q11="NA","NA",Q11/Table8s2!$G$35*100)</f>
        <v>1.2412771077218292E-4</v>
      </c>
      <c r="T11" s="3845">
        <f>IF(Q11="NA","NA",Q11/Table8s2!$G$34*100)</f>
        <v>1.1270912077423876E-4</v>
      </c>
    </row>
    <row r="12" spans="2:20" ht="18" customHeight="1" x14ac:dyDescent="0.2">
      <c r="B12" s="620" t="s">
        <v>131</v>
      </c>
      <c r="C12" s="3839">
        <f>SUM(C13:C17)</f>
        <v>312637.73647024116</v>
      </c>
      <c r="D12" s="3839">
        <f>Summary2!C12</f>
        <v>313062.80677665863</v>
      </c>
      <c r="E12" s="3839">
        <f t="shared" si="4"/>
        <v>425.07030641747406</v>
      </c>
      <c r="F12" s="3847">
        <f t="shared" si="5"/>
        <v>0.135962571638544</v>
      </c>
      <c r="G12" s="3844">
        <f>IF(E12="NA","NA",E12/Table8s2!$G$35*100)</f>
        <v>8.675414744000251E-2</v>
      </c>
      <c r="H12" s="3845">
        <f>IF(E12="NA","NA",E12/Table8s2!$G$34*100)</f>
        <v>7.8773576187410127E-2</v>
      </c>
      <c r="I12" s="3846">
        <f>SUM(I13:I17)</f>
        <v>3239.7095428859725</v>
      </c>
      <c r="J12" s="3839">
        <f>Summary2!D12</f>
        <v>3240.3606186229285</v>
      </c>
      <c r="K12" s="3839">
        <f t="shared" si="0"/>
        <v>0.65107573695604515</v>
      </c>
      <c r="L12" s="3847">
        <f t="shared" si="1"/>
        <v>2.0096731769850548E-2</v>
      </c>
      <c r="M12" s="3844">
        <f>IF(K12="NA","NA",K12/Table8s2!$G$35*100)</f>
        <v>1.3288041913475578E-4</v>
      </c>
      <c r="N12" s="3845">
        <f>IF(K12="NA","NA",K12/Table8s2!$G$34*100)</f>
        <v>1.2065666172059122E-4</v>
      </c>
      <c r="O12" s="3848">
        <f>SUM(O13:O17)</f>
        <v>2571.8278736240268</v>
      </c>
      <c r="P12" s="3847">
        <f>Summary2!E12</f>
        <v>2572.4360636138981</v>
      </c>
      <c r="Q12" s="3839">
        <f t="shared" si="2"/>
        <v>0.60818998987133455</v>
      </c>
      <c r="R12" s="3847">
        <f t="shared" si="3"/>
        <v>2.364816075402118E-2</v>
      </c>
      <c r="S12" s="3844">
        <f>IF(Q12="NA","NA",Q12/Table8s2!$G$35*100)</f>
        <v>1.2412771077218292E-4</v>
      </c>
      <c r="T12" s="3845">
        <f>IF(Q12="NA","NA",Q12/Table8s2!$G$34*100)</f>
        <v>1.1270912077423876E-4</v>
      </c>
    </row>
    <row r="13" spans="2:20" ht="18" customHeight="1" x14ac:dyDescent="0.2">
      <c r="B13" s="1392" t="s">
        <v>1478</v>
      </c>
      <c r="C13" s="3847">
        <v>188386.2435076437</v>
      </c>
      <c r="D13" s="3839">
        <f>Summary2!C13</f>
        <v>188804.16706406116</v>
      </c>
      <c r="E13" s="3839">
        <f t="shared" si="4"/>
        <v>417.92355641745962</v>
      </c>
      <c r="F13" s="3847">
        <f t="shared" si="5"/>
        <v>0.22184398851846235</v>
      </c>
      <c r="G13" s="3844">
        <f>IF(E13="NA","NA",E13/Table8s2!$G$35*100)</f>
        <v>8.5295541195676505E-2</v>
      </c>
      <c r="H13" s="3845">
        <f>IF(E13="NA","NA",E13/Table8s2!$G$34*100)</f>
        <v>7.7449148093706496E-2</v>
      </c>
      <c r="I13" s="3846">
        <v>258.40237766362702</v>
      </c>
      <c r="J13" s="3839">
        <f>Summary2!D13</f>
        <v>259.04034054198132</v>
      </c>
      <c r="K13" s="3839">
        <f t="shared" ref="K13" si="6">IF(J13="NO",IF(I13="NO","NA",-I13),IF(I13="NO",J13,J13-I13))</f>
        <v>0.63796287835430121</v>
      </c>
      <c r="L13" s="3847">
        <f t="shared" ref="L13" si="7">IF(K13="NA","NA",K13/I13*100)</f>
        <v>0.24688738707534791</v>
      </c>
      <c r="M13" s="3844">
        <f>IF(K13="NA","NA",K13/Table8s2!$G$35*100)</f>
        <v>1.3020416805035675E-4</v>
      </c>
      <c r="N13" s="3845">
        <f>IF(K13="NA","NA",K13/Table8s2!$G$34*100)</f>
        <v>1.1822660073890333E-4</v>
      </c>
      <c r="O13" s="3848">
        <v>590.98436823827717</v>
      </c>
      <c r="P13" s="3847">
        <f>Summary2!E13</f>
        <v>591.59255822814816</v>
      </c>
      <c r="Q13" s="3839">
        <f t="shared" ref="Q13" si="8">IF(P13="NO",IF(O13="NO","NA",-O13),IF(O13="NO",P13,P13-O13))</f>
        <v>0.60818998987099349</v>
      </c>
      <c r="R13" s="3847">
        <f t="shared" ref="R13" si="9">IF(Q13="NA","NA",Q13/O13*100)</f>
        <v>0.10291134970016318</v>
      </c>
      <c r="S13" s="3844">
        <f>IF(Q13="NA","NA",Q13/Table8s2!$G$35*100)</f>
        <v>1.2412771077211331E-4</v>
      </c>
      <c r="T13" s="3845">
        <f>IF(Q13="NA","NA",Q13/Table8s2!$G$34*100)</f>
        <v>1.1270912077417555E-4</v>
      </c>
    </row>
    <row r="14" spans="2:20" ht="18" customHeight="1" x14ac:dyDescent="0.2">
      <c r="B14" s="1392" t="s">
        <v>1517</v>
      </c>
      <c r="C14" s="3847">
        <v>37694.584804338738</v>
      </c>
      <c r="D14" s="3839">
        <f>Summary2!C14</f>
        <v>37694.584804338745</v>
      </c>
      <c r="E14" s="3839">
        <f t="shared" si="4"/>
        <v>7.2759576141834259E-12</v>
      </c>
      <c r="F14" s="3847">
        <f t="shared" si="5"/>
        <v>1.9302394898234682E-14</v>
      </c>
      <c r="G14" s="3844">
        <f>IF(E14="NA","NA",E14/Table8s2!$G$35*100)</f>
        <v>1.4849766970270056E-15</v>
      </c>
      <c r="H14" s="3845">
        <f>IF(E14="NA","NA",E14/Table8s2!$G$34*100)</f>
        <v>1.3483727110647299E-15</v>
      </c>
      <c r="I14" s="3846">
        <v>64.010639315944942</v>
      </c>
      <c r="J14" s="3839">
        <f>Summary2!D14</f>
        <v>64.010639315944942</v>
      </c>
      <c r="K14" s="3839">
        <f t="shared" ref="K14:K20" si="10">IF(J14="NO",IF(I14="NO","NA",-I14),IF(I14="NO",J14,J14-I14))</f>
        <v>0</v>
      </c>
      <c r="L14" s="3847">
        <f t="shared" ref="L14:L20" si="11">IF(K14="NA","NA",K14/I14*100)</f>
        <v>0</v>
      </c>
      <c r="M14" s="3844">
        <f>IF(K14="NA","NA",K14/Table8s2!$G$35*100)</f>
        <v>0</v>
      </c>
      <c r="N14" s="3845">
        <f>IF(K14="NA","NA",K14/Table8s2!$G$34*100)</f>
        <v>0</v>
      </c>
      <c r="O14" s="3848">
        <v>350.06362579645702</v>
      </c>
      <c r="P14" s="3847">
        <f>Summary2!E14</f>
        <v>350.06362579645719</v>
      </c>
      <c r="Q14" s="3839">
        <f t="shared" ref="Q14:Q20" si="12">IF(P14="NO",IF(O14="NO","NA",-O14),IF(O14="NO",P14,P14-O14))</f>
        <v>1.7053025658242404E-13</v>
      </c>
      <c r="R14" s="3847">
        <f t="shared" ref="R14:R20" si="13">IF(Q14="NA","NA",Q14/O14*100)</f>
        <v>4.8714074818381197E-14</v>
      </c>
      <c r="S14" s="3844">
        <f>IF(Q14="NA","NA",Q14/Table8s2!$G$35*100)</f>
        <v>3.4804141336570446E-17</v>
      </c>
      <c r="T14" s="3845">
        <f>IF(Q14="NA","NA",Q14/Table8s2!$G$34*100)</f>
        <v>3.1602485415579605E-17</v>
      </c>
    </row>
    <row r="15" spans="2:20" ht="18" customHeight="1" x14ac:dyDescent="0.2">
      <c r="B15" s="1392" t="s">
        <v>1480</v>
      </c>
      <c r="C15" s="3847">
        <v>70156.597134357246</v>
      </c>
      <c r="D15" s="3839">
        <f>Summary2!C15</f>
        <v>70158.125555101506</v>
      </c>
      <c r="E15" s="3839">
        <f t="shared" si="4"/>
        <v>1.5284207442600746</v>
      </c>
      <c r="F15" s="3847">
        <f t="shared" si="5"/>
        <v>2.178584490540481E-3</v>
      </c>
      <c r="G15" s="3844">
        <f>IF(E15="NA","NA",E15/Table8s2!$G$35*100)</f>
        <v>3.1194095799218121E-4</v>
      </c>
      <c r="H15" s="3845">
        <f>IF(E15="NA","NA",E15/Table8s2!$G$34*100)</f>
        <v>2.8324530348666955E-4</v>
      </c>
      <c r="I15" s="3846">
        <v>804.79639768039306</v>
      </c>
      <c r="J15" s="3839">
        <f>Summary2!D15</f>
        <v>804.80951053899366</v>
      </c>
      <c r="K15" s="3839">
        <f t="shared" si="10"/>
        <v>1.3112858600607069E-2</v>
      </c>
      <c r="L15" s="3847">
        <f t="shared" si="11"/>
        <v>1.629338630043738E-3</v>
      </c>
      <c r="M15" s="3844">
        <f>IF(K15="NA","NA",K15/Table8s2!$G$35*100)</f>
        <v>2.676251084167016E-6</v>
      </c>
      <c r="N15" s="3845">
        <f>IF(K15="NA","NA",K15/Table8s2!$G$34*100)</f>
        <v>2.4300609814771905E-6</v>
      </c>
      <c r="O15" s="3848">
        <v>1467.6809536192159</v>
      </c>
      <c r="P15" s="3847">
        <f>Summary2!E15</f>
        <v>1467.6809536192159</v>
      </c>
      <c r="Q15" s="3839">
        <f t="shared" si="12"/>
        <v>0</v>
      </c>
      <c r="R15" s="3847">
        <f t="shared" si="13"/>
        <v>0</v>
      </c>
      <c r="S15" s="3844">
        <f>IF(Q15="NA","NA",Q15/Table8s2!$G$35*100)</f>
        <v>0</v>
      </c>
      <c r="T15" s="3845">
        <f>IF(Q15="NA","NA",Q15/Table8s2!$G$34*100)</f>
        <v>0</v>
      </c>
    </row>
    <row r="16" spans="2:20" ht="18" customHeight="1" x14ac:dyDescent="0.2">
      <c r="B16" s="1392" t="s">
        <v>1481</v>
      </c>
      <c r="C16" s="3847">
        <v>15773.55105556747</v>
      </c>
      <c r="D16" s="3839">
        <f>Summary2!C16</f>
        <v>15779.169384823213</v>
      </c>
      <c r="E16" s="3839">
        <f t="shared" si="4"/>
        <v>5.618329255743447</v>
      </c>
      <c r="F16" s="3847">
        <f t="shared" si="5"/>
        <v>3.5618671001545893E-2</v>
      </c>
      <c r="G16" s="3844">
        <f>IF(E16="NA","NA",E16/Table8s2!$G$35*100)</f>
        <v>1.1466652863315828E-3</v>
      </c>
      <c r="H16" s="3845">
        <f>IF(E16="NA","NA",E16/Table8s2!$G$34*100)</f>
        <v>1.0411827902149318E-3</v>
      </c>
      <c r="I16" s="3846">
        <v>2111.6693022078207</v>
      </c>
      <c r="J16" s="3839">
        <f>Summary2!D16</f>
        <v>2111.6693022078211</v>
      </c>
      <c r="K16" s="3839">
        <f t="shared" si="10"/>
        <v>4.5474735088646412E-13</v>
      </c>
      <c r="L16" s="3847">
        <f t="shared" si="11"/>
        <v>2.1534970007425433E-14</v>
      </c>
      <c r="M16" s="3844">
        <f>IF(K16="NA","NA",K16/Table8s2!$G$35*100)</f>
        <v>9.2811043564187852E-17</v>
      </c>
      <c r="N16" s="3845">
        <f>IF(K16="NA","NA",K16/Table8s2!$G$34*100)</f>
        <v>8.4273294441545617E-17</v>
      </c>
      <c r="O16" s="3848">
        <v>158.56325763652623</v>
      </c>
      <c r="P16" s="3847">
        <f>Summary2!E16</f>
        <v>158.56325763652615</v>
      </c>
      <c r="Q16" s="3839">
        <f t="shared" si="12"/>
        <v>-8.5265128291212022E-14</v>
      </c>
      <c r="R16" s="3847">
        <f t="shared" si="13"/>
        <v>-5.3773572492225686E-14</v>
      </c>
      <c r="S16" s="3844">
        <f>IF(Q16="NA","NA",Q16/Table8s2!$G$35*100)</f>
        <v>-1.7402070668285223E-17</v>
      </c>
      <c r="T16" s="3845">
        <f>IF(Q16="NA","NA",Q16/Table8s2!$G$34*100)</f>
        <v>-1.5801242707789802E-17</v>
      </c>
    </row>
    <row r="17" spans="2:20" ht="18" customHeight="1" x14ac:dyDescent="0.2">
      <c r="B17" s="1392" t="s">
        <v>1482</v>
      </c>
      <c r="C17" s="3847">
        <v>626.75996833401359</v>
      </c>
      <c r="D17" s="3839">
        <f>Summary2!C17</f>
        <v>626.75996833401359</v>
      </c>
      <c r="E17" s="3839">
        <f t="shared" si="4"/>
        <v>0</v>
      </c>
      <c r="F17" s="3847">
        <f t="shared" si="5"/>
        <v>0</v>
      </c>
      <c r="G17" s="3844">
        <f>IF(E17="NA","NA",E17/Table8s2!$G$35*100)</f>
        <v>0</v>
      </c>
      <c r="H17" s="3845">
        <f>IF(E17="NA","NA",E17/Table8s2!$G$34*100)</f>
        <v>0</v>
      </c>
      <c r="I17" s="3846">
        <v>0.83082601818724378</v>
      </c>
      <c r="J17" s="3839">
        <f>Summary2!D17</f>
        <v>0.83082601818724378</v>
      </c>
      <c r="K17" s="3839">
        <f t="shared" si="10"/>
        <v>0</v>
      </c>
      <c r="L17" s="3847">
        <f t="shared" si="11"/>
        <v>0</v>
      </c>
      <c r="M17" s="3844">
        <f>IF(K17="NA","NA",K17/Table8s2!$G$35*100)</f>
        <v>0</v>
      </c>
      <c r="N17" s="3845">
        <f>IF(K17="NA","NA",K17/Table8s2!$G$34*100)</f>
        <v>0</v>
      </c>
      <c r="O17" s="3848">
        <v>4.5356683335507002</v>
      </c>
      <c r="P17" s="3847">
        <f>Summary2!E17</f>
        <v>4.5356683335507002</v>
      </c>
      <c r="Q17" s="3839">
        <f t="shared" si="12"/>
        <v>0</v>
      </c>
      <c r="R17" s="3847">
        <f t="shared" si="13"/>
        <v>0</v>
      </c>
      <c r="S17" s="3844">
        <f>IF(Q17="NA","NA",Q17/Table8s2!$G$35*100)</f>
        <v>0</v>
      </c>
      <c r="T17" s="3845">
        <f>IF(Q17="NA","NA",Q17/Table8s2!$G$34*100)</f>
        <v>0</v>
      </c>
    </row>
    <row r="18" spans="2:20" ht="18" customHeight="1" x14ac:dyDescent="0.2">
      <c r="B18" s="620" t="s">
        <v>99</v>
      </c>
      <c r="C18" s="3847">
        <f>SUM(C19:C20)</f>
        <v>7165.1387920611942</v>
      </c>
      <c r="D18" s="3839">
        <f>Summary2!C18</f>
        <v>7165.1387920611951</v>
      </c>
      <c r="E18" s="3839">
        <f t="shared" si="4"/>
        <v>9.0949470177292824E-13</v>
      </c>
      <c r="F18" s="3847">
        <f t="shared" si="5"/>
        <v>1.2693329859578255E-14</v>
      </c>
      <c r="G18" s="3844">
        <f>IF(E18="NA","NA",E18/Table8s2!$G$35*100)</f>
        <v>1.856220871283757E-16</v>
      </c>
      <c r="H18" s="3845">
        <f>IF(E18="NA","NA",E18/Table8s2!$G$34*100)</f>
        <v>1.6854658888309123E-16</v>
      </c>
      <c r="I18" s="3846">
        <f>SUM(I19:I20)</f>
        <v>33362.835399758951</v>
      </c>
      <c r="J18" s="3839">
        <f>Summary2!D18</f>
        <v>33363.143083861549</v>
      </c>
      <c r="K18" s="3839">
        <f t="shared" si="10"/>
        <v>0.30768410259770462</v>
      </c>
      <c r="L18" s="3847">
        <f t="shared" si="11"/>
        <v>9.2223607169769411E-4</v>
      </c>
      <c r="M18" s="3844">
        <f>IF(K18="NA","NA",K18/Table8s2!$G$35*100)</f>
        <v>6.2796369444564947E-5</v>
      </c>
      <c r="N18" s="3845">
        <f>IF(K18="NA","NA",K18/Table8s2!$G$34*100)</f>
        <v>5.701968999413231E-5</v>
      </c>
      <c r="O18" s="3848">
        <f>SUM(O19:O20)</f>
        <v>24.355184486014085</v>
      </c>
      <c r="P18" s="3847">
        <f>Summary2!E18</f>
        <v>24.355184486014089</v>
      </c>
      <c r="Q18" s="3839">
        <f t="shared" si="12"/>
        <v>3.5527136788005009E-15</v>
      </c>
      <c r="R18" s="3847">
        <f t="shared" si="13"/>
        <v>1.4587094098345424E-14</v>
      </c>
      <c r="S18" s="3844">
        <f>IF(Q18="NA","NA",Q18/Table8s2!$G$35*100)</f>
        <v>7.2508627784521759E-19</v>
      </c>
      <c r="T18" s="3845">
        <f>IF(Q18="NA","NA",Q18/Table8s2!$G$34*100)</f>
        <v>6.5838511282457513E-19</v>
      </c>
    </row>
    <row r="19" spans="2:20" ht="18" customHeight="1" x14ac:dyDescent="0.2">
      <c r="B19" s="1392" t="s">
        <v>1483</v>
      </c>
      <c r="C19" s="3847">
        <v>1127.8534806311104</v>
      </c>
      <c r="D19" s="3839">
        <f>Summary2!C19</f>
        <v>1127.8534806311106</v>
      </c>
      <c r="E19" s="3839">
        <f t="shared" si="4"/>
        <v>2.2737367544323206E-13</v>
      </c>
      <c r="F19" s="3847">
        <f t="shared" si="5"/>
        <v>2.0159859356554107E-14</v>
      </c>
      <c r="G19" s="3844">
        <f>IF(E19="NA","NA",E19/Table8s2!$G$35*100)</f>
        <v>4.6405521782093926E-17</v>
      </c>
      <c r="H19" s="3845">
        <f>IF(E19="NA","NA",E19/Table8s2!$G$34*100)</f>
        <v>4.2136647220772808E-17</v>
      </c>
      <c r="I19" s="3846">
        <v>26432.142971614994</v>
      </c>
      <c r="J19" s="3839">
        <f>Summary2!D19</f>
        <v>26432.142971614991</v>
      </c>
      <c r="K19" s="3839">
        <f t="shared" si="10"/>
        <v>-3.637978807091713E-12</v>
      </c>
      <c r="L19" s="3847">
        <f t="shared" si="11"/>
        <v>-1.376346522867432E-14</v>
      </c>
      <c r="M19" s="3844">
        <f>IF(K19="NA","NA",K19/Table8s2!$G$35*100)</f>
        <v>-7.4248834851350282E-16</v>
      </c>
      <c r="N19" s="3845">
        <f>IF(K19="NA","NA",K19/Table8s2!$G$34*100)</f>
        <v>-6.7418635553236493E-16</v>
      </c>
      <c r="O19" s="3848">
        <v>5.1295895275195666E-3</v>
      </c>
      <c r="P19" s="3847">
        <f>Summary2!E19</f>
        <v>5.1295895275195666E-3</v>
      </c>
      <c r="Q19" s="3839">
        <f t="shared" si="12"/>
        <v>0</v>
      </c>
      <c r="R19" s="3847">
        <f t="shared" si="13"/>
        <v>0</v>
      </c>
      <c r="S19" s="3844">
        <f>IF(Q19="NA","NA",Q19/Table8s2!$G$35*100)</f>
        <v>0</v>
      </c>
      <c r="T19" s="3845">
        <f>IF(Q19="NA","NA",Q19/Table8s2!$G$34*100)</f>
        <v>0</v>
      </c>
    </row>
    <row r="20" spans="2:20" ht="18" customHeight="1" x14ac:dyDescent="0.2">
      <c r="B20" s="1393" t="s">
        <v>1484</v>
      </c>
      <c r="C20" s="3849">
        <v>6037.2853114300842</v>
      </c>
      <c r="D20" s="3850">
        <f>Summary2!C20</f>
        <v>6037.2853114300842</v>
      </c>
      <c r="E20" s="3850">
        <f t="shared" si="4"/>
        <v>0</v>
      </c>
      <c r="F20" s="3849">
        <f t="shared" si="5"/>
        <v>0</v>
      </c>
      <c r="G20" s="3851">
        <f>IF(E20="NA","NA",E20/Table8s2!$G$35*100)</f>
        <v>0</v>
      </c>
      <c r="H20" s="3852">
        <f>IF(E20="NA","NA",E20/Table8s2!$G$34*100)</f>
        <v>0</v>
      </c>
      <c r="I20" s="3853">
        <v>6930.6924281439551</v>
      </c>
      <c r="J20" s="3850">
        <f>Summary2!D20</f>
        <v>6931.0001122465565</v>
      </c>
      <c r="K20" s="3839">
        <f t="shared" si="10"/>
        <v>0.3076841026013426</v>
      </c>
      <c r="L20" s="3847">
        <f t="shared" si="11"/>
        <v>4.4394424625151148E-3</v>
      </c>
      <c r="M20" s="3844">
        <f>IF(K20="NA","NA",K20/Table8s2!$G$35*100)</f>
        <v>6.2796369445307436E-5</v>
      </c>
      <c r="N20" s="3845">
        <f>IF(K20="NA","NA",K20/Table8s2!$G$34*100)</f>
        <v>5.7019689994806494E-5</v>
      </c>
      <c r="O20" s="3854">
        <v>24.350054896486565</v>
      </c>
      <c r="P20" s="3849">
        <f>Summary2!E20</f>
        <v>24.350054896486569</v>
      </c>
      <c r="Q20" s="3839">
        <f t="shared" si="12"/>
        <v>3.5527136788005009E-15</v>
      </c>
      <c r="R20" s="3847">
        <f t="shared" si="13"/>
        <v>1.4590167019759438E-14</v>
      </c>
      <c r="S20" s="3844">
        <f>IF(Q20="NA","NA",Q20/Table8s2!$G$35*100)</f>
        <v>7.2508627784521759E-19</v>
      </c>
      <c r="T20" s="3845">
        <f>IF(Q20="NA","NA",Q20/Table8s2!$G$34*100)</f>
        <v>6.5838511282457513E-19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22143.532420495128</v>
      </c>
      <c r="D22" s="3839">
        <f>Summary2!C22</f>
        <v>22189.035610987365</v>
      </c>
      <c r="E22" s="3861">
        <f t="shared" si="4"/>
        <v>45.503190492236172</v>
      </c>
      <c r="F22" s="3861">
        <f t="shared" si="5"/>
        <v>0.2054920128737921</v>
      </c>
      <c r="G22" s="3862">
        <f>IF(E22="NA","NA",E22/Table8s2!$G$35*100)</f>
        <v>9.2869119234052829E-3</v>
      </c>
      <c r="H22" s="3863">
        <f>IF(E22="NA","NA",E22/Table8s2!$G$34*100)</f>
        <v>8.4326027692228616E-3</v>
      </c>
      <c r="I22" s="3839">
        <f>SUM(I23:I29)</f>
        <v>107.46247156142856</v>
      </c>
      <c r="J22" s="3839">
        <f>Summary2!D22</f>
        <v>107.46247156142856</v>
      </c>
      <c r="K22" s="3861">
        <f t="shared" ref="K22" si="14">IF(J22="NO",IF(I22="NO","NA",-I22),IF(I22="NO",J22,J22-I22))</f>
        <v>0</v>
      </c>
      <c r="L22" s="3861">
        <f t="shared" ref="L22" si="15">IF(K22="NA","NA",K22/I22*100)</f>
        <v>0</v>
      </c>
      <c r="M22" s="3862">
        <f>IF(K22="NA","NA",K22/Table8s2!$G$35*100)</f>
        <v>0</v>
      </c>
      <c r="N22" s="3863">
        <f>IF(K22="NA","NA",K22/Table8s2!$G$34*100)</f>
        <v>0</v>
      </c>
      <c r="O22" s="3839">
        <f>SUM(O23:O29)</f>
        <v>1471.191437991675</v>
      </c>
      <c r="P22" s="3839">
        <f>Summary2!E22</f>
        <v>1471.191437991675</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6439.3317149694594</v>
      </c>
      <c r="D23" s="3839">
        <f>Summary2!C23</f>
        <v>6439.3317149694603</v>
      </c>
      <c r="E23" s="3839">
        <f t="shared" si="4"/>
        <v>9.0949470177292824E-13</v>
      </c>
      <c r="F23" s="3847">
        <f t="shared" si="5"/>
        <v>1.4124054203616094E-14</v>
      </c>
      <c r="G23" s="3844">
        <f>IF(E23="NA","NA",E23/Table8s2!$G$35*100)</f>
        <v>1.856220871283757E-16</v>
      </c>
      <c r="H23" s="3845">
        <f>IF(E23="NA","NA",E23/Table8s2!$G$34*100)</f>
        <v>1.6854658888309123E-16</v>
      </c>
      <c r="I23" s="1925"/>
      <c r="J23" s="1925"/>
      <c r="K23" s="1925"/>
      <c r="L23" s="1925"/>
      <c r="M23" s="1925"/>
      <c r="N23" s="1925"/>
      <c r="O23" s="1925"/>
      <c r="P23" s="1925"/>
      <c r="Q23" s="1925"/>
      <c r="R23" s="1925"/>
      <c r="S23" s="1925"/>
      <c r="T23" s="1925"/>
    </row>
    <row r="24" spans="2:20" ht="18" customHeight="1" x14ac:dyDescent="0.2">
      <c r="B24" s="1394" t="s">
        <v>621</v>
      </c>
      <c r="C24" s="3839">
        <v>1544.6738499289995</v>
      </c>
      <c r="D24" s="3839">
        <f>Summary2!C24</f>
        <v>1591.5349229289993</v>
      </c>
      <c r="E24" s="3839">
        <f t="shared" si="4"/>
        <v>46.861072999999806</v>
      </c>
      <c r="F24" s="3847">
        <f t="shared" si="5"/>
        <v>3.0337195779001345</v>
      </c>
      <c r="G24" s="3844">
        <f>IF(E24="NA","NA",E24/Table8s2!$G$35*100)</f>
        <v>9.5640471114111694E-3</v>
      </c>
      <c r="H24" s="3845">
        <f>IF(E24="NA","NA",E24/Table8s2!$G$34*100)</f>
        <v>8.6842441084647899E-3</v>
      </c>
      <c r="I24" s="3846">
        <v>13.498346399999999</v>
      </c>
      <c r="J24" s="3839">
        <f>Summary2!D24</f>
        <v>13.498346399999999</v>
      </c>
      <c r="K24" s="3839">
        <f t="shared" ref="K24" si="18">IF(J24="NO",IF(I24="NO","NA",-I24),IF(I24="NO",J24,J24-I24))</f>
        <v>0</v>
      </c>
      <c r="L24" s="3847">
        <f t="shared" ref="L24" si="19">IF(K24="NA","NA",K24/I24*100)</f>
        <v>0</v>
      </c>
      <c r="M24" s="3844">
        <f>IF(K24="NA","NA",K24/Table8s2!$G$35*100)</f>
        <v>0</v>
      </c>
      <c r="N24" s="3845">
        <f>IF(K24="NA","NA",K24/Table8s2!$G$34*100)</f>
        <v>0</v>
      </c>
      <c r="O24" s="3848">
        <v>1448.5135522596779</v>
      </c>
      <c r="P24" s="3847">
        <f>Summary2!E24</f>
        <v>1448.5135522596779</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13745.157397730103</v>
      </c>
      <c r="D25" s="3839">
        <f>Summary2!C25</f>
        <v>13745.157397730105</v>
      </c>
      <c r="E25" s="3839">
        <f t="shared" si="4"/>
        <v>1.8189894035458565E-12</v>
      </c>
      <c r="F25" s="3847">
        <f t="shared" si="5"/>
        <v>1.3233674601981985E-14</v>
      </c>
      <c r="G25" s="3844">
        <f>IF(E25="NA","NA",E25/Table8s2!$G$35*100)</f>
        <v>3.7124417425675141E-16</v>
      </c>
      <c r="H25" s="3845">
        <f>IF(E25="NA","NA",E25/Table8s2!$G$34*100)</f>
        <v>3.3709317776618247E-16</v>
      </c>
      <c r="I25" s="3846">
        <v>93.964125161428555</v>
      </c>
      <c r="J25" s="3839">
        <f>Summary2!D25</f>
        <v>93.964125161428555</v>
      </c>
      <c r="K25" s="3839">
        <f t="shared" ref="K25:K26" si="22">IF(J25="NO",IF(I25="NO","NA",-I25),IF(I25="NO",J25,J25-I25))</f>
        <v>0</v>
      </c>
      <c r="L25" s="3847">
        <f t="shared" ref="L25:L26" si="23">IF(K25="NA","NA",K25/I25*100)</f>
        <v>0</v>
      </c>
      <c r="M25" s="3844">
        <f>IF(K25="NA","NA",K25/Table8s2!$G$35*100)</f>
        <v>0</v>
      </c>
      <c r="N25" s="3845">
        <f>IF(K25="NA","NA",K25/Table8s2!$G$34*100)</f>
        <v>0</v>
      </c>
      <c r="O25" s="3848">
        <v>22.677885731997105</v>
      </c>
      <c r="P25" s="3847">
        <f>Summary2!E25</f>
        <v>22.677885731997108</v>
      </c>
      <c r="Q25" s="3839">
        <f t="shared" ref="Q25:Q29" si="24">IF(P25="NO",IF(O25="NO","NA",-O25),IF(O25="NO",P25,P25-O25))</f>
        <v>3.5527136788005009E-15</v>
      </c>
      <c r="R25" s="3847">
        <f t="shared" ref="R25:R29" si="25">IF(Q25="NA","NA",Q25/O25*100)</f>
        <v>1.5665982802743556E-14</v>
      </c>
      <c r="S25" s="3844">
        <f>IF(Q25="NA","NA",Q25/Table8s2!$G$35*100)</f>
        <v>7.2508627784521759E-19</v>
      </c>
      <c r="T25" s="3845">
        <f>IF(Q25="NA","NA",Q25/Table8s2!$G$34*100)</f>
        <v>6.5838511282457513E-19</v>
      </c>
    </row>
    <row r="26" spans="2:20" ht="18" customHeight="1" x14ac:dyDescent="0.2">
      <c r="B26" s="1395" t="s">
        <v>1519</v>
      </c>
      <c r="C26" s="3839">
        <v>271.57650000776567</v>
      </c>
      <c r="D26" s="3839">
        <f>Summary2!C26</f>
        <v>270.21861749999999</v>
      </c>
      <c r="E26" s="3839">
        <f t="shared" si="4"/>
        <v>-1.3578825077656802</v>
      </c>
      <c r="F26" s="3847">
        <f t="shared" si="5"/>
        <v>-0.50000000284518431</v>
      </c>
      <c r="G26" s="3844">
        <f>IF(E26="NA","NA",E26/Table8s2!$G$35*100)</f>
        <v>-2.7713518800630456E-4</v>
      </c>
      <c r="H26" s="3845">
        <f>IF(E26="NA","NA",E26/Table8s2!$G$34*100)</f>
        <v>-2.5164133924230784E-4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142.79295785880095</v>
      </c>
      <c r="D29" s="3855">
        <f>Summary2!C30</f>
        <v>142.79295785880095</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1512.8996475617591</v>
      </c>
      <c r="D30" s="3875">
        <f>Summary2!C31</f>
        <v>1512.8996475617591</v>
      </c>
      <c r="E30" s="3861">
        <f t="shared" si="4"/>
        <v>0</v>
      </c>
      <c r="F30" s="3876">
        <f t="shared" si="5"/>
        <v>0</v>
      </c>
      <c r="G30" s="3877">
        <f>IF(E30="NA","NA",E30/Table8s2!$G$35*100)</f>
        <v>0</v>
      </c>
      <c r="H30" s="3878">
        <f>IF(E30="NA","NA",E30/Table8s2!$G$34*100)</f>
        <v>0</v>
      </c>
      <c r="I30" s="3874">
        <f>SUM(I31:I40)</f>
        <v>72158.362662085987</v>
      </c>
      <c r="J30" s="3875">
        <f>Summary2!D31</f>
        <v>72158.362662085987</v>
      </c>
      <c r="K30" s="3861">
        <f t="shared" ref="K30" si="28">IF(J30="NO",IF(I30="NO","NA",-I30),IF(I30="NO",J30,J30-I30))</f>
        <v>0</v>
      </c>
      <c r="L30" s="3876">
        <f t="shared" ref="L30" si="29">IF(K30="NA","NA",K30/I30*100)</f>
        <v>0</v>
      </c>
      <c r="M30" s="3877">
        <f>IF(K30="NA","NA",K30/Table8s2!$G$35*100)</f>
        <v>0</v>
      </c>
      <c r="N30" s="3878">
        <f>IF(K30="NA","NA",K30/Table8s2!$G$34*100)</f>
        <v>0</v>
      </c>
      <c r="O30" s="3874">
        <f>SUM(O31:O40)</f>
        <v>11728.481203141144</v>
      </c>
      <c r="P30" s="3875">
        <f>Summary2!E31</f>
        <v>11728.525469164428</v>
      </c>
      <c r="Q30" s="3861">
        <f t="shared" ref="Q30" si="30">IF(P30="NO",IF(O30="NO","NA",-O30),IF(O30="NO",P30,P30-O30))</f>
        <v>4.4266023283853428E-2</v>
      </c>
      <c r="R30" s="3880">
        <f t="shared" ref="R30" si="31">IF(Q30="NA","NA",Q30/O30*100)</f>
        <v>3.7742332120546028E-4</v>
      </c>
      <c r="S30" s="3881">
        <f>IF(Q30="NA","NA",Q30/Table8s2!$G$35*100)</f>
        <v>9.0344139606363624E-6</v>
      </c>
      <c r="T30" s="3882">
        <f>IF(Q30="NA","NA",Q30/Table8s2!$G$34*100)</f>
        <v>8.2033322606157773E-6</v>
      </c>
    </row>
    <row r="31" spans="2:20" ht="18" customHeight="1" x14ac:dyDescent="0.2">
      <c r="B31" s="620" t="s">
        <v>1492</v>
      </c>
      <c r="C31" s="3867"/>
      <c r="D31" s="3867"/>
      <c r="E31" s="3868"/>
      <c r="F31" s="3868"/>
      <c r="G31" s="3869"/>
      <c r="H31" s="3870"/>
      <c r="I31" s="3846">
        <v>64685.154963918707</v>
      </c>
      <c r="J31" s="3839">
        <f>Summary2!D32</f>
        <v>64685.154963918707</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6380.6407248512151</v>
      </c>
      <c r="J32" s="3847">
        <f>Summary2!D33</f>
        <v>6380.6407248512151</v>
      </c>
      <c r="K32" s="3893">
        <f t="shared" si="32"/>
        <v>0</v>
      </c>
      <c r="L32" s="3893">
        <f t="shared" si="33"/>
        <v>0</v>
      </c>
      <c r="M32" s="3884">
        <f>IF(K32="NA","NA",K32/Table8s2!$G$35*100)</f>
        <v>0</v>
      </c>
      <c r="N32" s="3885">
        <f>IF(K32="NA","NA",K32/Table8s2!$G$34*100)</f>
        <v>0</v>
      </c>
      <c r="O32" s="3848">
        <v>289.28902899287442</v>
      </c>
      <c r="P32" s="3847">
        <f>Summary2!E33</f>
        <v>289.28902899287436</v>
      </c>
      <c r="Q32" s="3893">
        <f t="shared" ref="Q32" si="34">IF(P32="NO",IF(O32="NO","NA",-O32),IF(O32="NO",P32,P32-O32))</f>
        <v>-5.6843418860808015E-14</v>
      </c>
      <c r="R32" s="3894">
        <f t="shared" ref="R32" si="35">IF(Q32="NA","NA",Q32/O32*100)</f>
        <v>-1.9649351743030719E-14</v>
      </c>
      <c r="S32" s="3895">
        <f>IF(Q32="NA","NA",Q32/Table8s2!$G$35*100)</f>
        <v>-1.1601380445523482E-17</v>
      </c>
      <c r="T32" s="3896">
        <f>IF(Q32="NA","NA",Q32/Table8s2!$G$34*100)</f>
        <v>-1.0534161805193202E-17</v>
      </c>
    </row>
    <row r="33" spans="2:21" ht="18" customHeight="1" x14ac:dyDescent="0.2">
      <c r="B33" s="620" t="s">
        <v>1494</v>
      </c>
      <c r="C33" s="3891"/>
      <c r="D33" s="3891"/>
      <c r="E33" s="3892"/>
      <c r="F33" s="3892"/>
      <c r="G33" s="3897"/>
      <c r="H33" s="3898"/>
      <c r="I33" s="3848">
        <v>661.52930199999992</v>
      </c>
      <c r="J33" s="3847">
        <f>Summary2!D34</f>
        <v>661.52930199999992</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11269.427858064337</v>
      </c>
      <c r="P34" s="3847">
        <f>Summary2!E35</f>
        <v>11269.472124087619</v>
      </c>
      <c r="Q34" s="3893">
        <f t="shared" ref="Q34" si="36">IF(P34="NO",IF(O34="NO","NA",-O34),IF(O34="NO",P34,P34-O34))</f>
        <v>4.4266023282034439E-2</v>
      </c>
      <c r="R34" s="3894">
        <f t="shared" ref="R34" si="37">IF(Q34="NA","NA",Q34/O34*100)</f>
        <v>3.9279743248329978E-4</v>
      </c>
      <c r="S34" s="3895">
        <f>IF(Q34="NA","NA",Q34/Table8s2!$G$35*100)</f>
        <v>9.0344139602651197E-6</v>
      </c>
      <c r="T34" s="3896">
        <f>IF(Q34="NA","NA",Q34/Table8s2!$G$34*100)</f>
        <v>8.2033322602786836E-6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431.03767131606332</v>
      </c>
      <c r="J36" s="3847">
        <f>Summary2!D37</f>
        <v>431.03767131606327</v>
      </c>
      <c r="K36" s="3893">
        <f t="shared" ref="K36" si="38">IF(J36="NO",IF(I36="NO","NA",-I36),IF(I36="NO",J36,J36-I36))</f>
        <v>-5.6843418860808015E-14</v>
      </c>
      <c r="L36" s="3893">
        <f t="shared" ref="L36" si="39">IF(K36="NA","NA",K36/I36*100)</f>
        <v>-1.3187575621233096E-14</v>
      </c>
      <c r="M36" s="3884">
        <f>IF(K36="NA","NA",K36/Table8s2!$G$35*100)</f>
        <v>-1.1601380445523482E-17</v>
      </c>
      <c r="N36" s="3885">
        <f>IF(K36="NA","NA",K36/Table8s2!$G$34*100)</f>
        <v>-1.0534161805193202E-17</v>
      </c>
      <c r="O36" s="3848">
        <v>169.76431608393312</v>
      </c>
      <c r="P36" s="3847">
        <f>Summary2!E37</f>
        <v>169.76431608393318</v>
      </c>
      <c r="Q36" s="3893">
        <f t="shared" ref="Q36" si="40">IF(P36="NO",IF(O36="NO","NA",-O36),IF(O36="NO",P36,P36-O36))</f>
        <v>5.6843418860808015E-14</v>
      </c>
      <c r="R36" s="3894">
        <f t="shared" ref="R36" si="41">IF(Q36="NA","NA",Q36/O36*100)</f>
        <v>3.3483726245923245E-14</v>
      </c>
      <c r="S36" s="3895">
        <f>IF(Q36="NA","NA",Q36/Table8s2!$G$35*100)</f>
        <v>1.1601380445523482E-17</v>
      </c>
      <c r="T36" s="3896">
        <f>IF(Q36="NA","NA",Q36/Table8s2!$G$34*100)</f>
        <v>1.0534161805193202E-17</v>
      </c>
    </row>
    <row r="37" spans="2:21" ht="18" customHeight="1" x14ac:dyDescent="0.2">
      <c r="B37" s="620" t="s">
        <v>721</v>
      </c>
      <c r="C37" s="3847">
        <v>720.58080698204878</v>
      </c>
      <c r="D37" s="3847">
        <f>Summary2!C38</f>
        <v>720.58080698204878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792.31884057971024</v>
      </c>
      <c r="D38" s="3847">
        <f>Summary2!C39</f>
        <v>792.31884057971024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27502.182591793084</v>
      </c>
      <c r="D41" s="3839">
        <f>Summary2!C42</f>
        <v>27019.109398414876</v>
      </c>
      <c r="E41" s="3929">
        <f t="shared" ref="E41" si="42">IF(D41="NO",IF(C41="NO","NA",-C41),IF(C41="NO",D41,D41-C41))</f>
        <v>-483.07319337820809</v>
      </c>
      <c r="F41" s="3929">
        <f t="shared" ref="F41" si="43">IF(E41="NA","NA",E41/C41*100)</f>
        <v>-1.7564903867752002</v>
      </c>
      <c r="G41" s="3869"/>
      <c r="H41" s="3929">
        <f>IF(E41="NA","NA",E41/Table8s2!$G$34*100)</f>
        <v>-8.9522609385235236E-2</v>
      </c>
      <c r="I41" s="3846">
        <f>SUM(I42:I49)</f>
        <v>22913.170451077345</v>
      </c>
      <c r="J41" s="3839">
        <f>Summary2!D42</f>
        <v>18353.578636966744</v>
      </c>
      <c r="K41" s="3929">
        <f t="shared" ref="K41:K46" si="44">IF(J41="NO",IF(I41="NO","NA",-I41),IF(I41="NO",J41,J41-I41))</f>
        <v>-4559.5918141106013</v>
      </c>
      <c r="L41" s="3929">
        <f t="shared" ref="L41:L46" si="45">IF(K41="NA","NA",K41/I41*100)</f>
        <v>-19.899436543912305</v>
      </c>
      <c r="M41" s="3889"/>
      <c r="N41" s="3930">
        <f>IF(K41="NA","NA",K41/Table8s2!$G$34*100)</f>
        <v>-0.84497869582914675</v>
      </c>
      <c r="O41" s="3846">
        <f>SUM(O42:O49)</f>
        <v>4214.2146172740759</v>
      </c>
      <c r="P41" s="3839">
        <f>Summary2!E42</f>
        <v>4266.4165836423808</v>
      </c>
      <c r="Q41" s="3929">
        <f t="shared" ref="Q41" si="46">IF(P41="NO",IF(O41="NO","NA",-O41),IF(O41="NO",P41,P41-O41))</f>
        <v>52.201966368304966</v>
      </c>
      <c r="R41" s="3929">
        <f t="shared" ref="R41" si="47">IF(Q41="NA","NA",Q41/O41*100)</f>
        <v>1.2387116250399062</v>
      </c>
      <c r="S41" s="3889"/>
      <c r="T41" s="3930">
        <f>IF(Q41="NA","NA",Q41/Table8s2!$G$34*100)</f>
        <v>9.6740127756833778E-3</v>
      </c>
      <c r="U41" s="713"/>
    </row>
    <row r="42" spans="2:21" ht="18" customHeight="1" x14ac:dyDescent="0.2">
      <c r="B42" s="620" t="s">
        <v>981</v>
      </c>
      <c r="C42" s="3847">
        <v>-37587.874917232519</v>
      </c>
      <c r="D42" s="3847">
        <f>Summary2!C43</f>
        <v>-37278.770755724319</v>
      </c>
      <c r="E42" s="3931">
        <f t="shared" ref="E42:E50" si="48">IF(D42="NO",IF(C42="NO","NA",-C42),IF(C42="NO",D42,D42-C42))</f>
        <v>309.10416150819947</v>
      </c>
      <c r="F42" s="3931">
        <f t="shared" ref="F42:F50" si="49">IF(E42="NA","NA",E42/C42*100)</f>
        <v>-0.822350723973724</v>
      </c>
      <c r="G42" s="3889"/>
      <c r="H42" s="3931">
        <f>IF(E42="NA","NA",E42/Table8s2!$G$34*100)</f>
        <v>5.7282853798066927E-2</v>
      </c>
      <c r="I42" s="3848">
        <v>5811.5885130119777</v>
      </c>
      <c r="J42" s="3847">
        <f>Summary2!D43</f>
        <v>5703.1124062292884</v>
      </c>
      <c r="K42" s="3931">
        <f t="shared" si="44"/>
        <v>-108.47610678268938</v>
      </c>
      <c r="L42" s="3931">
        <f t="shared" si="45"/>
        <v>-1.8665483032705179</v>
      </c>
      <c r="M42" s="3889"/>
      <c r="N42" s="3932">
        <f>IF(K42="NA","NA",K42/Table8s2!$G$34*100)</f>
        <v>-2.0102676505866002E-2</v>
      </c>
      <c r="O42" s="3848">
        <v>1186.6645423191221</v>
      </c>
      <c r="P42" s="3847">
        <f>Summary2!E43</f>
        <v>1177.8248562150497</v>
      </c>
      <c r="Q42" s="3931">
        <f t="shared" ref="Q42:Q46" si="50">IF(P42="NO",IF(O42="NO","NA",-O42),IF(O42="NO",P42,P42-O42))</f>
        <v>-8.8396861040723707</v>
      </c>
      <c r="R42" s="3931">
        <f t="shared" ref="R42:R46" si="51">IF(Q42="NA","NA",Q42/O42*100)</f>
        <v>-0.7449187018596507</v>
      </c>
      <c r="S42" s="3889"/>
      <c r="T42" s="3932">
        <f>IF(Q42="NA","NA",Q42/Table8s2!$G$34*100)</f>
        <v>-1.6381612083438395E-3</v>
      </c>
      <c r="U42" s="713"/>
    </row>
    <row r="43" spans="2:21" ht="18" customHeight="1" x14ac:dyDescent="0.2">
      <c r="B43" s="620" t="s">
        <v>984</v>
      </c>
      <c r="C43" s="3847">
        <v>4948.3168765228938</v>
      </c>
      <c r="D43" s="3847">
        <f>Summary2!C44</f>
        <v>4846.7204649307096</v>
      </c>
      <c r="E43" s="3931">
        <f t="shared" si="48"/>
        <v>-101.59641159218427</v>
      </c>
      <c r="F43" s="3931">
        <f t="shared" si="49"/>
        <v>-2.053150881953512</v>
      </c>
      <c r="G43" s="3889"/>
      <c r="H43" s="3931">
        <f>IF(E43="NA","NA",E43/Table8s2!$G$34*100)</f>
        <v>-1.8827738724860051E-2</v>
      </c>
      <c r="I43" s="3848">
        <v>129.71491452542818</v>
      </c>
      <c r="J43" s="3847">
        <f>Summary2!D44</f>
        <v>130.2408576</v>
      </c>
      <c r="K43" s="3931">
        <f t="shared" si="44"/>
        <v>0.52594307457181344</v>
      </c>
      <c r="L43" s="3931">
        <f t="shared" si="45"/>
        <v>0.40546075715041402</v>
      </c>
      <c r="M43" s="3889"/>
      <c r="N43" s="3932">
        <f>IF(K43="NA","NA",K43/Table8s2!$G$34*100)</f>
        <v>9.7467210081556352E-5</v>
      </c>
      <c r="O43" s="3848">
        <v>63.084340129641319</v>
      </c>
      <c r="P43" s="3847">
        <f>Summary2!E44</f>
        <v>62.842429561422534</v>
      </c>
      <c r="Q43" s="3931">
        <f t="shared" si="50"/>
        <v>-0.24191056821878476</v>
      </c>
      <c r="R43" s="3931">
        <f t="shared" si="51"/>
        <v>-0.38347166304925601</v>
      </c>
      <c r="S43" s="3889"/>
      <c r="T43" s="3932">
        <f>IF(Q43="NA","NA",Q43/Table8s2!$G$34*100)</f>
        <v>-4.4830608697956191E-5</v>
      </c>
      <c r="U43" s="713"/>
    </row>
    <row r="44" spans="2:21" ht="18" customHeight="1" x14ac:dyDescent="0.2">
      <c r="B44" s="620" t="s">
        <v>987</v>
      </c>
      <c r="C44" s="3847">
        <v>60166.511100464581</v>
      </c>
      <c r="D44" s="3847">
        <f>Summary2!C45</f>
        <v>59677.83172522884</v>
      </c>
      <c r="E44" s="3931">
        <f t="shared" si="48"/>
        <v>-488.67937523574074</v>
      </c>
      <c r="F44" s="3931">
        <f t="shared" si="49"/>
        <v>-0.81221158797084947</v>
      </c>
      <c r="G44" s="3889"/>
      <c r="H44" s="3931">
        <f>IF(E44="NA","NA",E44/Table8s2!$G$34*100)</f>
        <v>-9.0561541032559228E-2</v>
      </c>
      <c r="I44" s="3848">
        <v>9700.4074428394924</v>
      </c>
      <c r="J44" s="3847">
        <f>Summary2!D45</f>
        <v>9821.9657947412034</v>
      </c>
      <c r="K44" s="3931">
        <f t="shared" si="44"/>
        <v>121.55835190171092</v>
      </c>
      <c r="L44" s="3931">
        <f t="shared" si="45"/>
        <v>1.2531262487478412</v>
      </c>
      <c r="M44" s="3889"/>
      <c r="N44" s="3932">
        <f>IF(K44="NA","NA",K44/Table8s2!$G$34*100)</f>
        <v>2.2527064229560582E-2</v>
      </c>
      <c r="O44" s="3848">
        <v>2834.2151002739938</v>
      </c>
      <c r="P44" s="3847">
        <f>Summary2!E45</f>
        <v>2894.9841327199333</v>
      </c>
      <c r="Q44" s="3931">
        <f t="shared" si="50"/>
        <v>60.769032445939501</v>
      </c>
      <c r="R44" s="3931">
        <f t="shared" si="51"/>
        <v>2.1441221042137819</v>
      </c>
      <c r="S44" s="3889"/>
      <c r="T44" s="3932">
        <f>IF(Q44="NA","NA",Q44/Table8s2!$G$34*100)</f>
        <v>1.126165233125921E-2</v>
      </c>
      <c r="U44" s="713"/>
    </row>
    <row r="45" spans="2:21" ht="18" customHeight="1" x14ac:dyDescent="0.2">
      <c r="B45" s="620" t="s">
        <v>1525</v>
      </c>
      <c r="C45" s="3847">
        <v>1259.7559689600444</v>
      </c>
      <c r="D45" s="3847">
        <f>Summary2!C46</f>
        <v>1126.000824608037</v>
      </c>
      <c r="E45" s="3931">
        <f t="shared" si="48"/>
        <v>-133.75514435200739</v>
      </c>
      <c r="F45" s="3931">
        <f t="shared" si="49"/>
        <v>-10.617544004369762</v>
      </c>
      <c r="G45" s="3889"/>
      <c r="H45" s="3931">
        <f>IF(E45="NA","NA",E45/Table8s2!$G$34*100)</f>
        <v>-2.4787360808314878E-2</v>
      </c>
      <c r="I45" s="3848">
        <v>7183.3118837231759</v>
      </c>
      <c r="J45" s="3847">
        <f>Summary2!D46</f>
        <v>2609.4505447962529</v>
      </c>
      <c r="K45" s="3931">
        <f t="shared" si="44"/>
        <v>-4573.8613389269231</v>
      </c>
      <c r="L45" s="3931">
        <f t="shared" si="45"/>
        <v>-63.673433827799343</v>
      </c>
      <c r="M45" s="3889"/>
      <c r="N45" s="3932">
        <f>IF(K45="NA","NA",K45/Table8s2!$G$34*100)</f>
        <v>-0.84762310896105975</v>
      </c>
      <c r="O45" s="3848">
        <v>89.570720008711191</v>
      </c>
      <c r="P45" s="3847">
        <f>Summary2!E46</f>
        <v>89.937556397296859</v>
      </c>
      <c r="Q45" s="3931">
        <f t="shared" si="50"/>
        <v>0.36683638858566781</v>
      </c>
      <c r="R45" s="3931">
        <f t="shared" si="51"/>
        <v>0.4095494471295878</v>
      </c>
      <c r="S45" s="3889"/>
      <c r="T45" s="3932">
        <f>IF(Q45="NA","NA",Q45/Table8s2!$G$34*100)</f>
        <v>6.7981728594767755E-5</v>
      </c>
      <c r="U45" s="713"/>
    </row>
    <row r="46" spans="2:21" ht="18" customHeight="1" x14ac:dyDescent="0.2">
      <c r="B46" s="620" t="s">
        <v>1526</v>
      </c>
      <c r="C46" s="3847">
        <v>5043.6933411988048</v>
      </c>
      <c r="D46" s="3847">
        <f>Summary2!C47</f>
        <v>4984.8809461455048</v>
      </c>
      <c r="E46" s="3931">
        <f t="shared" si="48"/>
        <v>-58.812395053299952</v>
      </c>
      <c r="F46" s="3931">
        <f t="shared" si="49"/>
        <v>-1.1660581061282602</v>
      </c>
      <c r="G46" s="3889"/>
      <c r="H46" s="3931">
        <f>IF(E46="NA","NA",E46/Table8s2!$G$34*100)</f>
        <v>-1.0899050374845792E-2</v>
      </c>
      <c r="I46" s="3848">
        <v>88.14769697727499</v>
      </c>
      <c r="J46" s="3847">
        <f>Summary2!D47</f>
        <v>88.809033600000006</v>
      </c>
      <c r="K46" s="3931">
        <f t="shared" si="44"/>
        <v>0.66133662272501681</v>
      </c>
      <c r="L46" s="3931">
        <f t="shared" si="45"/>
        <v>0.75025967257603265</v>
      </c>
      <c r="M46" s="3889"/>
      <c r="N46" s="3932">
        <f>IF(K46="NA","NA",K46/Table8s2!$G$34*100)</f>
        <v>1.2255819813626021E-4</v>
      </c>
      <c r="O46" s="3848">
        <v>26.446985628321976</v>
      </c>
      <c r="P46" s="3847">
        <f>Summary2!E47</f>
        <v>26.594679834393034</v>
      </c>
      <c r="Q46" s="3931">
        <f t="shared" si="50"/>
        <v>0.14769420607105843</v>
      </c>
      <c r="R46" s="3931">
        <f t="shared" si="51"/>
        <v>0.5584538372225426</v>
      </c>
      <c r="S46" s="3889"/>
      <c r="T46" s="3932">
        <f>IF(Q46="NA","NA",Q46/Table8s2!$G$34*100)</f>
        <v>2.7370532871216571E-5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-6328.7266151143149</v>
      </c>
      <c r="D48" s="3847">
        <f>Summary2!C49</f>
        <v>-6338.0606437674905</v>
      </c>
      <c r="E48" s="3931">
        <f t="shared" si="48"/>
        <v>-9.3340286531756647</v>
      </c>
      <c r="F48" s="3931">
        <f t="shared" si="49"/>
        <v>0.14748667813970767</v>
      </c>
      <c r="G48" s="3889"/>
      <c r="H48" s="3931">
        <f>IF(E48="NA","NA",E48/Table8s2!$G$34*100)</f>
        <v>-1.7297722427222835E-3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0.50683699359333334</v>
      </c>
      <c r="D49" s="3855">
        <f>Summary2!C50</f>
        <v>0.50683699359333334</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14.232928914285715</v>
      </c>
      <c r="P49" s="3855">
        <f>Summary2!E50</f>
        <v>14.232928914285715</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29.325568882446802</v>
      </c>
      <c r="D50" s="3839">
        <f>Summary2!C51</f>
        <v>29.325568882446802</v>
      </c>
      <c r="E50" s="3839">
        <f t="shared" si="48"/>
        <v>0</v>
      </c>
      <c r="F50" s="3839">
        <f t="shared" si="49"/>
        <v>0</v>
      </c>
      <c r="G50" s="3844">
        <f>IF(E50="NA","NA",E50/Table8s2!$G$35*100)</f>
        <v>0</v>
      </c>
      <c r="H50" s="3845">
        <f>IF(E50="NA","NA",E50/Table8s2!$G$34*100)</f>
        <v>0</v>
      </c>
      <c r="I50" s="3839">
        <f>SUM(I51:I55)</f>
        <v>18995.901014051586</v>
      </c>
      <c r="J50" s="3839">
        <f>Summary2!D51</f>
        <v>18993.142758908598</v>
      </c>
      <c r="K50" s="3839">
        <f t="shared" ref="K50" si="54">IF(J50="NO",IF(I50="NO","NA",-I50),IF(I50="NO",J50,J50-I50))</f>
        <v>-2.758255142987764</v>
      </c>
      <c r="L50" s="3839">
        <f t="shared" ref="L50" si="55">IF(K50="NA","NA",K50/I50*100)</f>
        <v>-1.4520264876867049E-2</v>
      </c>
      <c r="M50" s="3844">
        <f>IF(K50="NA","NA",K50/Table8s2!$G$35*100)</f>
        <v>-5.6294234092393142E-4</v>
      </c>
      <c r="N50" s="3845">
        <f>IF(K50="NA","NA",K50/Table8s2!$G$34*100)</f>
        <v>-5.1115690362306258E-4</v>
      </c>
      <c r="O50" s="3839">
        <f>SUM(O51:O55)</f>
        <v>342.54795315472143</v>
      </c>
      <c r="P50" s="3839">
        <f>Summary2!E51</f>
        <v>205.8192176995621</v>
      </c>
      <c r="Q50" s="3839">
        <f t="shared" si="52"/>
        <v>-136.72873545515932</v>
      </c>
      <c r="R50" s="3839">
        <f t="shared" si="53"/>
        <v>-39.915210175960951</v>
      </c>
      <c r="S50" s="3844">
        <f>IF(Q50="NA","NA",Q50/Table8s2!$G$35*100)</f>
        <v>-2.7905465745029438E-2</v>
      </c>
      <c r="T50" s="3845">
        <f>IF(Q50="NA","NA",Q50/Table8s2!$G$34*100)</f>
        <v>-2.5338423542591807E-2</v>
      </c>
    </row>
    <row r="51" spans="2:21" ht="18" customHeight="1" x14ac:dyDescent="0.2">
      <c r="B51" s="620" t="s">
        <v>1530</v>
      </c>
      <c r="C51" s="3918"/>
      <c r="D51" s="3918"/>
      <c r="E51" s="3888"/>
      <c r="F51" s="3903"/>
      <c r="G51" s="3904"/>
      <c r="H51" s="3905"/>
      <c r="I51" s="3839">
        <v>13970.708548502993</v>
      </c>
      <c r="J51" s="3839">
        <f>Summary2!D52</f>
        <v>13967.950293360002</v>
      </c>
      <c r="K51" s="3839">
        <f t="shared" ref="K51:K52" si="56">IF(J51="NO",IF(I51="NO","NA",-I51),IF(I51="NO",J51,J51-I51))</f>
        <v>-2.758255142991402</v>
      </c>
      <c r="L51" s="3839">
        <f t="shared" ref="L51:L52" si="57">IF(K51="NA","NA",K51/I51*100)</f>
        <v>-1.9743129945166294E-2</v>
      </c>
      <c r="M51" s="3844">
        <f>IF(K51="NA","NA",K51/Table8s2!$G$35*100)</f>
        <v>-5.6294234092467389E-4</v>
      </c>
      <c r="N51" s="3845">
        <f>IF(K51="NA","NA",K51/Table8s2!$G$34*100)</f>
        <v>-5.1115690362373673E-4</v>
      </c>
      <c r="O51" s="3886"/>
      <c r="P51" s="3887"/>
      <c r="Q51" s="3940"/>
      <c r="R51" s="3941"/>
      <c r="S51" s="3942"/>
      <c r="T51" s="3943"/>
    </row>
    <row r="52" spans="2:21" ht="18" customHeight="1" x14ac:dyDescent="0.2">
      <c r="B52" s="1396" t="s">
        <v>1531</v>
      </c>
      <c r="C52" s="3918"/>
      <c r="D52" s="3918"/>
      <c r="E52" s="3888"/>
      <c r="F52" s="3903"/>
      <c r="G52" s="3904"/>
      <c r="H52" s="3905"/>
      <c r="I52" s="3849">
        <v>43.281751945487997</v>
      </c>
      <c r="J52" s="3847">
        <f>Summary2!D53</f>
        <v>43.281751945487997</v>
      </c>
      <c r="K52" s="3839">
        <f t="shared" si="56"/>
        <v>0</v>
      </c>
      <c r="L52" s="3839">
        <f t="shared" si="57"/>
        <v>0</v>
      </c>
      <c r="M52" s="3844">
        <f>IF(K52="NA","NA",K52/Table8s2!$G$35*100)</f>
        <v>0</v>
      </c>
      <c r="N52" s="3845">
        <f>IF(K52="NA","NA",K52/Table8s2!$G$34*100)</f>
        <v>0</v>
      </c>
      <c r="O52" s="3839">
        <v>52.432750928248311</v>
      </c>
      <c r="P52" s="3839">
        <f>Summary2!E53</f>
        <v>52.432750928248311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29.325568882446802</v>
      </c>
      <c r="D53" s="3839">
        <f>Summary2!C54</f>
        <v>29.325568882446802</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4981.9107136031062</v>
      </c>
      <c r="J54" s="3847">
        <f>Summary2!D55</f>
        <v>4981.9107136031071</v>
      </c>
      <c r="K54" s="3839">
        <f t="shared" ref="K54" si="62">IF(J54="NO",IF(I54="NO","NA",-I54),IF(I54="NO",J54,J54-I54))</f>
        <v>9.0949470177292824E-13</v>
      </c>
      <c r="L54" s="3839">
        <f t="shared" ref="L54" si="63">IF(K54="NA","NA",K54/I54*100)</f>
        <v>1.8255941426038671E-14</v>
      </c>
      <c r="M54" s="3844">
        <f>IF(K54="NA","NA",K54/Table8s2!$G$35*100)</f>
        <v>1.856220871283757E-16</v>
      </c>
      <c r="N54" s="3845">
        <f>IF(K54="NA","NA",K54/Table8s2!$G$34*100)</f>
        <v>1.6854658888309123E-16</v>
      </c>
      <c r="O54" s="3839">
        <v>290.11520222647312</v>
      </c>
      <c r="P54" s="3839">
        <f>Summary2!E55</f>
        <v>153.38646677131379</v>
      </c>
      <c r="Q54" s="3839">
        <f t="shared" ref="Q54" si="64">IF(P54="NO",IF(O54="NO","NA",-O54),IF(O54="NO",P54,P54-O54))</f>
        <v>-136.72873545515932</v>
      </c>
      <c r="R54" s="3839">
        <f t="shared" ref="R54" si="65">IF(Q54="NA","NA",Q54/O54*100)</f>
        <v>-47.129117814524086</v>
      </c>
      <c r="S54" s="3844">
        <f>IF(Q54="NA","NA",Q54/Table8s2!$G$35*100)</f>
        <v>-2.7905465745029438E-2</v>
      </c>
      <c r="T54" s="3845">
        <f>IF(Q54="NA","NA",Q54/Table8s2!$G$34*100)</f>
        <v>-2.5338423542591807E-2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9804.7000000000007</v>
      </c>
      <c r="D59" s="3847">
        <f>Summary2!C60</f>
        <v>9804.7000000000007</v>
      </c>
      <c r="E59" s="3861">
        <f t="shared" ref="E59" si="66">IF(D59="NO",IF(C59="NO","NA",-C59),IF(C59="NO",D59,D59-C59))</f>
        <v>0</v>
      </c>
      <c r="F59" s="3861">
        <f t="shared" ref="F59" si="67">IF(E59="NA","NA",E59/C59*100)</f>
        <v>0</v>
      </c>
      <c r="G59" s="3862">
        <f>IF(E59="NA","NA",E59/Table8s2!$G$35*100)</f>
        <v>0</v>
      </c>
      <c r="H59" s="3863">
        <f>IF(E59="NA","NA",E59/Table8s2!$G$34*100)</f>
        <v>0</v>
      </c>
      <c r="I59" s="3847">
        <v>6.9716117799999999</v>
      </c>
      <c r="J59" s="3847">
        <f>Summary2!D60</f>
        <v>6.971611779999999</v>
      </c>
      <c r="K59" s="3861">
        <f t="shared" ref="K59:K61" si="68">IF(J59="NO",IF(I59="NO","NA",-I59),IF(I59="NO",J59,J59-I59))</f>
        <v>-8.8817841970012523E-16</v>
      </c>
      <c r="L59" s="3861">
        <f t="shared" ref="L59:L61" si="69">IF(K59="NA","NA",K59/I59*100)</f>
        <v>-1.2739929412709282E-14</v>
      </c>
      <c r="M59" s="3862">
        <f>IF(K59="NA","NA",K59/Table8s2!$G$35*100)</f>
        <v>-1.812715694613044E-19</v>
      </c>
      <c r="N59" s="3863">
        <f>IF(K59="NA","NA",K59/Table8s2!$G$34*100)</f>
        <v>-1.6459627820614378E-19</v>
      </c>
      <c r="O59" s="3848">
        <v>27.77975098569695</v>
      </c>
      <c r="P59" s="3847">
        <f>Summary2!E60</f>
        <v>27.779750985697369</v>
      </c>
      <c r="Q59" s="3861">
        <f t="shared" ref="Q59" si="70">IF(P59="NO",IF(O59="NO","NA",-O59),IF(O59="NO",P59,P59-O59))</f>
        <v>4.1922021409845911E-13</v>
      </c>
      <c r="R59" s="3966">
        <f t="shared" ref="R59" si="71">IF(Q59="NA","NA",Q59/O59*100)</f>
        <v>1.5090855721287942E-12</v>
      </c>
      <c r="S59" s="3967">
        <f>IF(Q59="NA","NA",Q59/Table8s2!$G$35*100)</f>
        <v>8.5560180785735669E-17</v>
      </c>
      <c r="T59" s="3968">
        <f>IF(Q59="NA","NA",Q59/Table8s2!$G$34*100)</f>
        <v>7.7689443313299866E-17</v>
      </c>
    </row>
    <row r="60" spans="2:21" ht="18" customHeight="1" x14ac:dyDescent="0.2">
      <c r="B60" s="1410" t="s">
        <v>111</v>
      </c>
      <c r="C60" s="3847">
        <v>7328.88</v>
      </c>
      <c r="D60" s="3847">
        <f>Summary2!C61</f>
        <v>7328.88</v>
      </c>
      <c r="E60" s="3861">
        <f t="shared" ref="E60:E61" si="72">IF(D60="NO",IF(C60="NO","NA",-C60),IF(C60="NO",D60,D60-C60))</f>
        <v>0</v>
      </c>
      <c r="F60" s="3861">
        <f t="shared" ref="F60:F61" si="73">IF(E60="NA","NA",E60/C60*100)</f>
        <v>0</v>
      </c>
      <c r="G60" s="3862">
        <f>IF(E60="NA","NA",E60/Table8s2!$G$35*100)</f>
        <v>0</v>
      </c>
      <c r="H60" s="3863">
        <f>IF(E60="NA","NA",E60/Table8s2!$G$34*100)</f>
        <v>0</v>
      </c>
      <c r="I60" s="3847">
        <v>0.33701177999999998</v>
      </c>
      <c r="J60" s="3847">
        <f>Summary2!D61</f>
        <v>0.33701177999999993</v>
      </c>
      <c r="K60" s="3861">
        <f t="shared" si="68"/>
        <v>-5.5511151231257827E-17</v>
      </c>
      <c r="L60" s="3861">
        <f t="shared" si="69"/>
        <v>-1.6471575928668674E-14</v>
      </c>
      <c r="M60" s="3862">
        <f>IF(K60="NA","NA",K60/Table8s2!$G$35*100)</f>
        <v>-1.1329473091331525E-20</v>
      </c>
      <c r="N60" s="3863">
        <f>IF(K60="NA","NA",K60/Table8s2!$G$34*100)</f>
        <v>-1.0287267387883986E-20</v>
      </c>
      <c r="O60" s="3848">
        <v>9.8392509856969514</v>
      </c>
      <c r="P60" s="3847">
        <f>Summary2!E61</f>
        <v>9.8392509856973671</v>
      </c>
      <c r="Q60" s="3861">
        <f t="shared" ref="Q60:Q61" si="74">IF(P60="NO",IF(O60="NO","NA",-O60),IF(O60="NO",P60,P60-O60))</f>
        <v>4.1566750041965861E-13</v>
      </c>
      <c r="R60" s="3966">
        <f t="shared" ref="R60:R61" si="75">IF(Q60="NA","NA",Q60/O60*100)</f>
        <v>4.2245847882516981E-12</v>
      </c>
      <c r="S60" s="3967">
        <f>IF(Q60="NA","NA",Q60/Table8s2!$G$35*100)</f>
        <v>8.4835094507890458E-17</v>
      </c>
      <c r="T60" s="3968">
        <f>IF(Q60="NA","NA",Q60/Table8s2!$G$34*100)</f>
        <v>7.7031058200475288E-17</v>
      </c>
    </row>
    <row r="61" spans="2:21" ht="18" customHeight="1" x14ac:dyDescent="0.2">
      <c r="B61" s="1411" t="s">
        <v>1503</v>
      </c>
      <c r="C61" s="3847">
        <v>2475.8199999999997</v>
      </c>
      <c r="D61" s="3847">
        <f>Summary2!C62</f>
        <v>2475.8199999999997</v>
      </c>
      <c r="E61" s="3861">
        <f t="shared" si="72"/>
        <v>0</v>
      </c>
      <c r="F61" s="3861">
        <f t="shared" si="73"/>
        <v>0</v>
      </c>
      <c r="G61" s="3862">
        <f>IF(E61="NA","NA",E61/Table8s2!$G$35*100)</f>
        <v>0</v>
      </c>
      <c r="H61" s="3863">
        <f>IF(E61="NA","NA",E61/Table8s2!$G$34*100)</f>
        <v>0</v>
      </c>
      <c r="I61" s="3847">
        <v>6.6345999999999998</v>
      </c>
      <c r="J61" s="3847">
        <f>Summary2!D62</f>
        <v>6.6345999999999989</v>
      </c>
      <c r="K61" s="3861">
        <f t="shared" si="68"/>
        <v>-8.8817841970012523E-16</v>
      </c>
      <c r="L61" s="3861">
        <f t="shared" si="69"/>
        <v>-1.338706809302935E-14</v>
      </c>
      <c r="M61" s="3862">
        <f>IF(K61="NA","NA",K61/Table8s2!$G$35*100)</f>
        <v>-1.812715694613044E-19</v>
      </c>
      <c r="N61" s="3863">
        <f>IF(K61="NA","NA",K61/Table8s2!$G$34*100)</f>
        <v>-1.6459627820614378E-19</v>
      </c>
      <c r="O61" s="3848">
        <v>17.9405</v>
      </c>
      <c r="P61" s="3847">
        <f>Summary2!E62</f>
        <v>17.9405</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19067.450679999998</v>
      </c>
      <c r="D63" s="3847">
        <f>Summary2!C64</f>
        <v>19067.450680000002</v>
      </c>
      <c r="E63" s="3861">
        <f t="shared" ref="E63:E65" si="76">IF(D63="NO",IF(C63="NO","NA",-C63),IF(C63="NO",D63,D63-C63))</f>
        <v>3.637978807091713E-12</v>
      </c>
      <c r="F63" s="3861">
        <f t="shared" ref="F63:F65" si="77">IF(E63="NA","NA",E63/C63*100)</f>
        <v>1.907952388678586E-14</v>
      </c>
      <c r="G63" s="3862">
        <f>IF(E63="NA","NA",E63/Table8s2!$G$35*100)</f>
        <v>7.4248834851350282E-16</v>
      </c>
      <c r="H63" s="3863">
        <f>IF(E63="NA","NA",E63/Table8s2!$G$34*100)</f>
        <v>6.7418635553236493E-16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-225684.9946622836</v>
      </c>
      <c r="D65" s="3849">
        <f>Summary2!C66</f>
        <v>-225660.25716917301</v>
      </c>
      <c r="E65" s="3977">
        <f t="shared" si="76"/>
        <v>24.73749311058782</v>
      </c>
      <c r="F65" s="3984">
        <f t="shared" si="77"/>
        <v>-1.096107126998193E-2</v>
      </c>
      <c r="G65" s="3985">
        <f>IF(E65="NA","NA",E65/Table8s2!$G$35*100)</f>
        <v>5.0487650918251943E-3</v>
      </c>
      <c r="H65" s="3986">
        <f>IF(E65="NA","NA",E65/Table8s2!$G$34*100)</f>
        <v>4.5843258604815022E-3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904.91759376843333</v>
      </c>
      <c r="D10" s="4019">
        <f>IF(SUM(D11:D30)=0,"NO",SUM(D11:D30))</f>
        <v>904.91759376843311</v>
      </c>
      <c r="E10" s="4019">
        <f>IF(D10="NO",IF(C10="NO","NA",-C10),IF(C10="NO",D10,D10-C10))</f>
        <v>-2.2737367544323206E-13</v>
      </c>
      <c r="F10" s="4019">
        <f>IF(E10="NA","NA",E10/C10*100)</f>
        <v>-2.5126450961833828E-14</v>
      </c>
      <c r="G10" s="4020">
        <f>IF(E10="NA","NA",E10/$G$35*100)</f>
        <v>-4.6405521782093926E-17</v>
      </c>
      <c r="H10" s="4021">
        <f>IF(E10="NA","NA",E10/$G$34*100)</f>
        <v>-4.2136647220772808E-17</v>
      </c>
      <c r="I10" s="4022">
        <f>IF(SUM(I11:I30)=0,"NO",SUM(I11:I30))</f>
        <v>1024.4655200863303</v>
      </c>
      <c r="J10" s="4022">
        <f>IF(SUM(J11:J30)=0,"NO",SUM(J11:J30))</f>
        <v>1024.4655200863303</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217.77596856722661</v>
      </c>
      <c r="V10" s="4019">
        <f>IF(SUM(V11:V30)=0,"NO",SUM(V11:V30))</f>
        <v>217.77596856722664</v>
      </c>
      <c r="W10" s="4019">
        <f>IF(V10="NO",IF(U10="NO","NA",-U10),IF(U10="NO",V10,V10-U10))</f>
        <v>2.8421709430404007E-14</v>
      </c>
      <c r="X10" s="4023">
        <f>IF(W10="NA","NA",W10/U10*100)</f>
        <v>1.3050893364127243E-14</v>
      </c>
      <c r="Y10" s="4024">
        <f>IF(W10="NA","NA",W10/$G$35*100)</f>
        <v>5.8006902227617408E-18</v>
      </c>
      <c r="Z10" s="4021">
        <f>IF(W10="NA","NA",W10/$G$34*100)</f>
        <v>5.267080902596601E-18</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1024.4655200863303</v>
      </c>
      <c r="J13" s="3839">
        <f>'Table2(II)'!AH41</f>
        <v>1024.4655200863303</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v>3.5249999999999999</v>
      </c>
      <c r="V14" s="3847">
        <f>IFERROR('Table2(I)'!I31*23500,'Table2(I)'!I31)</f>
        <v>3.5249999999999999</v>
      </c>
      <c r="W14" s="3847">
        <f>IF(V14="NO",IF(U14="NO","NA",-U14),IF(U14="NO",V14,V14-U14))</f>
        <v>0</v>
      </c>
      <c r="X14" s="4016">
        <f>IF(W14="NA","NA",W14/U14*100)</f>
        <v>0</v>
      </c>
      <c r="Y14" s="3871">
        <f>IF(W14="NA","NA",W14/$G$35*100)</f>
        <v>0</v>
      </c>
      <c r="Z14" s="3872">
        <f>IF(W14="NA","NA",W14/$G$34*100)</f>
        <v>0</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829.52302661386523</v>
      </c>
      <c r="D21" s="3847">
        <f>'Table2(I)'!F46</f>
        <v>829.523026613865</v>
      </c>
      <c r="E21" s="3847">
        <f>IF(D21="NO",IF(C21="NO","NA",-C21),IF(C21="NO",D21,D21-C21))</f>
        <v>-2.2737367544323206E-13</v>
      </c>
      <c r="F21" s="4016">
        <f>IF(E21="NA","NA",E21/C21*100)</f>
        <v>-2.7410170441124144E-14</v>
      </c>
      <c r="G21" s="3871">
        <f>IF(E21="NA","NA",E21/$G$35*100)</f>
        <v>-4.6405521782093926E-17</v>
      </c>
      <c r="H21" s="3872">
        <f>IF(E21="NA","NA",E21/$G$34*100)</f>
        <v>-4.2136647220772808E-17</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27.240321190018484</v>
      </c>
      <c r="D22" s="3847">
        <f>'Table2(I)'!F47</f>
        <v>27.240321190018491</v>
      </c>
      <c r="E22" s="3847">
        <f t="shared" ref="E22:E25" si="0">IF(D22="NO",IF(C22="NO","NA",-C22),IF(C22="NO",D22,D22-C22))</f>
        <v>7.1054273576010019E-15</v>
      </c>
      <c r="F22" s="4016">
        <f t="shared" ref="F22:F25" si="1">IF(E22="NA","NA",E22/C22*100)</f>
        <v>2.6084227524470614E-14</v>
      </c>
      <c r="G22" s="3871">
        <f t="shared" ref="G22:G25" si="2">IF(E22="NA","NA",E22/$G$35*100)</f>
        <v>1.4501725556904352E-18</v>
      </c>
      <c r="H22" s="3872">
        <f t="shared" ref="H22:H25" si="3">IF(E22="NA","NA",E22/$G$34*100)</f>
        <v>1.3167702256491503E-18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4.2312321847403647</v>
      </c>
      <c r="D23" s="3847">
        <f>'Table2(I)'!F48</f>
        <v>4.2312321847403638</v>
      </c>
      <c r="E23" s="3847">
        <f t="shared" si="0"/>
        <v>-8.8817841970012523E-16</v>
      </c>
      <c r="F23" s="4016">
        <f t="shared" si="1"/>
        <v>-2.0991011150446366E-14</v>
      </c>
      <c r="G23" s="3871">
        <f t="shared" si="2"/>
        <v>-1.812715694613044E-19</v>
      </c>
      <c r="H23" s="3872">
        <f t="shared" si="3"/>
        <v>-1.6459627820614378E-19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11.335256759068574</v>
      </c>
      <c r="D24" s="3847">
        <f>'Table2(I)'!F49</f>
        <v>11.335256759068573</v>
      </c>
      <c r="E24" s="3847">
        <f t="shared" si="0"/>
        <v>-1.7763568394002505E-15</v>
      </c>
      <c r="F24" s="4016">
        <f t="shared" si="1"/>
        <v>-1.5671077216483049E-14</v>
      </c>
      <c r="G24" s="3871">
        <f t="shared" si="2"/>
        <v>-3.625431389226088E-19</v>
      </c>
      <c r="H24" s="3872">
        <f t="shared" si="3"/>
        <v>-3.2919255641228756E-19</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32.587757020740668</v>
      </c>
      <c r="D25" s="3847">
        <f>'Table2(I)'!F50</f>
        <v>32.587757020740682</v>
      </c>
      <c r="E25" s="3847">
        <f t="shared" si="0"/>
        <v>1.4210854715202004E-14</v>
      </c>
      <c r="F25" s="4016">
        <f t="shared" si="1"/>
        <v>4.3607955914724116E-14</v>
      </c>
      <c r="G25" s="3871">
        <f t="shared" si="2"/>
        <v>2.9003451113808704E-18</v>
      </c>
      <c r="H25" s="3872">
        <f t="shared" si="3"/>
        <v>2.6335404512983005E-18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199.07132641863535</v>
      </c>
      <c r="V27" s="3847">
        <f>IFERROR('Table2(I)'!I53*23500,'Table2(I)'!I53)</f>
        <v>199.07132641863535</v>
      </c>
      <c r="W27" s="3847">
        <f>IF(V27="NO",IF(U27="NO","NA",-U27),IF(U27="NO",V27,V27-U27))</f>
        <v>0</v>
      </c>
      <c r="X27" s="4016">
        <f>IF(W27="NA","NA",W27/U27*100)</f>
        <v>0</v>
      </c>
      <c r="Y27" s="3871">
        <f>IF(W27="NA","NA",W27/$G$35*100)</f>
        <v>0</v>
      </c>
      <c r="Z27" s="3872">
        <f>IF(W27="NA","NA",W27/$G$34*100)</f>
        <v>0</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15.179642148591265</v>
      </c>
      <c r="V28" s="3847">
        <f>IFERROR('Table2(I)'!I54*23500,'Table2(I)'!I54)</f>
        <v>15.179642148591272</v>
      </c>
      <c r="W28" s="3847">
        <f>IF(V28="NO",IF(U28="NO","NA",-U28),IF(U28="NO",V28,V28-U28))</f>
        <v>7.1054273576010019E-15</v>
      </c>
      <c r="X28" s="4016">
        <f>IF(W28="NA","NA",W28/U28*100)</f>
        <v>4.6808925322791068E-14</v>
      </c>
      <c r="Y28" s="3871">
        <f>IF(W28="NA","NA",W28/$G$35*100)</f>
        <v>1.4501725556904352E-18</v>
      </c>
      <c r="Z28" s="3872">
        <f>IF(W28="NA","NA",W28/$G$34*100)</f>
        <v>1.3167702256491503E-18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544268.03438454971</v>
      </c>
      <c r="F34" s="4523"/>
      <c r="G34" s="4522">
        <f>SUM(Table8s1!D10,Table8s1!J10,Table8s1!P10,D10,J10,P10,V10,AB10)</f>
        <v>539610.26906559349</v>
      </c>
      <c r="H34" s="4523"/>
      <c r="I34" s="3839">
        <f>G34-E34</f>
        <v>-4657.7653189562261</v>
      </c>
      <c r="J34" s="4045">
        <f>IF(I34="NA","NA",I34/E34*100)</f>
        <v>-0.85578520594602958</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489638.46672440518</v>
      </c>
      <c r="F35" s="4525"/>
      <c r="G35" s="4526">
        <f>G34-SUM(Table8s1!D41,Table8s1!J41,Table8s1!P41)</f>
        <v>489971.16444656951</v>
      </c>
      <c r="H35" s="4527"/>
      <c r="I35" s="3855">
        <f>G35-E35</f>
        <v>332.69772216433194</v>
      </c>
      <c r="J35" s="4046">
        <f>IF(I35="NA","NA",I35/E35*100)</f>
        <v>6.7947627642497316E-2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1034574.5336829172</v>
      </c>
      <c r="D10" s="1913" t="s">
        <v>1814</v>
      </c>
      <c r="E10" s="628"/>
      <c r="F10" s="628"/>
      <c r="G10" s="628"/>
      <c r="H10" s="1847">
        <f>IF(SUM(H11:H14)=0,"NO",SUM(H11:H14))</f>
        <v>70158.12555510152</v>
      </c>
      <c r="I10" s="1847">
        <f>IF(SUM(I11:I15)=0,"NO",SUM(I11:I15))</f>
        <v>28.743196804964057</v>
      </c>
      <c r="J10" s="2192">
        <f>IF(SUM(J11:J15)=0,"NO",SUM(J11:J15))</f>
        <v>5.5384186929027024</v>
      </c>
    </row>
    <row r="11" spans="2:11" ht="18" customHeight="1" x14ac:dyDescent="0.2">
      <c r="B11" s="282" t="s">
        <v>132</v>
      </c>
      <c r="C11" s="1913">
        <f>IF(SUM(C17:C18,C21:C24,C82,C89:C92,C100)=0,"NO",SUM(C17:C18,C21:C24,C82,C89:C92,C100))</f>
        <v>1019933.6821038688</v>
      </c>
      <c r="D11" s="1909" t="s">
        <v>1814</v>
      </c>
      <c r="E11" s="1913">
        <f>IFERROR(H11*1000/$C11,"NA")</f>
        <v>67.891487029343281</v>
      </c>
      <c r="F11" s="1913">
        <f t="shared" ref="F11:G15" si="0">IFERROR(I11*1000000/$C11,"NA")</f>
        <v>27.857869796221127</v>
      </c>
      <c r="G11" s="1913">
        <f t="shared" si="0"/>
        <v>5.4242435463949041</v>
      </c>
      <c r="H11" s="1913">
        <f>IF(SUM(H17:H18,H21:H24,H82,H89:H92,H100)=0,"NO",SUM(H17:H18,H21:H24,H82,H89:H92,H100))</f>
        <v>69244.81434934515</v>
      </c>
      <c r="I11" s="1913">
        <f>IF(SUM(I17:I18,I21:I24,I82,I89:I92,I100)=0,"NO",SUM(I17:I18,I21:I24,I82,I89:I92,I100))</f>
        <v>28.413179716829966</v>
      </c>
      <c r="J11" s="3085">
        <f>IF(SUM(J17:J18,J21:J24,J82,J89:J92,J100)=0,"NO",SUM(J17:J18,J21:J24,J82,J89:J92,J100))</f>
        <v>5.5323686929027023</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10470</v>
      </c>
      <c r="D13" s="1909" t="s">
        <v>1814</v>
      </c>
      <c r="E13" s="1913">
        <f t="shared" si="1"/>
        <v>51.411918339264986</v>
      </c>
      <c r="F13" s="1913">
        <f t="shared" si="0"/>
        <v>18.836398102587648</v>
      </c>
      <c r="G13" s="1913">
        <f t="shared" si="0"/>
        <v>0.18147086914995222</v>
      </c>
      <c r="H13" s="1913">
        <f>IF(SUM(H26,H84,H94,H102)=0,"NO",SUM(H26,H84,H94,H102))</f>
        <v>538.28278501210445</v>
      </c>
      <c r="I13" s="1913">
        <f>IF(SUM(I26,I84,I94,I102)=0,"NO",SUM(I26,I84,I94,I102))</f>
        <v>0.19721708813409269</v>
      </c>
      <c r="J13" s="3085">
        <f>IF(SUM(J26,J84,J94,J102)=0,"NO",SUM(J26,J84,J94,J102))</f>
        <v>1.8999999999999998E-3</v>
      </c>
    </row>
    <row r="14" spans="2:11" ht="18" customHeight="1" x14ac:dyDescent="0.2">
      <c r="B14" s="282" t="s">
        <v>175</v>
      </c>
      <c r="C14" s="1913">
        <f>IF(SUM(C28,C86,C96,C103)=0,"NO",SUM(C28,C86,C96,C103))</f>
        <v>4170.8515790484917</v>
      </c>
      <c r="D14" s="1909" t="s">
        <v>1814</v>
      </c>
      <c r="E14" s="1913">
        <f t="shared" si="1"/>
        <v>89.916510726044777</v>
      </c>
      <c r="F14" s="1913">
        <f t="shared" si="0"/>
        <v>31.840020552900146</v>
      </c>
      <c r="G14" s="1913">
        <f t="shared" si="0"/>
        <v>0.99500064227812957</v>
      </c>
      <c r="H14" s="1913">
        <f>IF(SUM(H28,H86,H96,H103)=0,"NO",SUM(H28,H86,H96,H103))</f>
        <v>375.0284207442545</v>
      </c>
      <c r="I14" s="1913">
        <f>IF(SUM(I28,I86,I96,I103)=0,"NO",SUM(I28,I86,I96,I103))</f>
        <v>0.1328</v>
      </c>
      <c r="J14" s="3085">
        <f>IF(SUM(J28,J86,J96,J103)=0,"NO",SUM(J28,J86,J96,J103))</f>
        <v>4.15E-3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68355.532269585514</v>
      </c>
      <c r="D16" s="1909" t="s">
        <v>1814</v>
      </c>
      <c r="E16" s="628"/>
      <c r="F16" s="628"/>
      <c r="G16" s="628"/>
      <c r="H16" s="1913">
        <f>IF(SUM(H17:H18)=0,"NO",SUM(H17:H18))</f>
        <v>4747.6692761062332</v>
      </c>
      <c r="I16" s="1913">
        <f>IF(SUM(I17:I19)=0,"NO",SUM(I17:I19))</f>
        <v>3.4096416862185473E-2</v>
      </c>
      <c r="J16" s="3085">
        <f>IF(SUM(J17:J19)=0,"NO",SUM(J17:J19))</f>
        <v>4.683453860415028E-2</v>
      </c>
    </row>
    <row r="17" spans="2:10" ht="18" customHeight="1" x14ac:dyDescent="0.2">
      <c r="B17" s="282" t="s">
        <v>177</v>
      </c>
      <c r="C17" s="691">
        <v>3798.3730218916103</v>
      </c>
      <c r="D17" s="1909" t="s">
        <v>1814</v>
      </c>
      <c r="E17" s="1913">
        <f t="shared" ref="E17:E19" si="2">IFERROR(H17*1000/$C17,"NA")</f>
        <v>67.000000000000043</v>
      </c>
      <c r="F17" s="1913">
        <f t="shared" ref="F17:G19" si="3">IFERROR(I17*1000000/$C17,"NA")</f>
        <v>0.50000000000000033</v>
      </c>
      <c r="G17" s="1913">
        <f t="shared" si="3"/>
        <v>2.0000000000000018</v>
      </c>
      <c r="H17" s="691">
        <v>254.49099246673808</v>
      </c>
      <c r="I17" s="691">
        <v>1.8991865109458065E-3</v>
      </c>
      <c r="J17" s="2911">
        <v>7.5967460437832268E-3</v>
      </c>
    </row>
    <row r="18" spans="2:10" ht="18" customHeight="1" x14ac:dyDescent="0.2">
      <c r="B18" s="282" t="s">
        <v>178</v>
      </c>
      <c r="C18" s="691">
        <v>64557.159247693904</v>
      </c>
      <c r="D18" s="1909" t="s">
        <v>1814</v>
      </c>
      <c r="E18" s="1913">
        <f t="shared" si="2"/>
        <v>69.599999999999994</v>
      </c>
      <c r="F18" s="1913">
        <f t="shared" si="3"/>
        <v>0.49873988766613536</v>
      </c>
      <c r="G18" s="1913">
        <f t="shared" si="3"/>
        <v>0.60779924361012982</v>
      </c>
      <c r="H18" s="691">
        <v>4493.178283639495</v>
      </c>
      <c r="I18" s="691">
        <v>3.219723035123967E-2</v>
      </c>
      <c r="J18" s="2911">
        <v>3.9237792560367052E-2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908336.30551484786</v>
      </c>
      <c r="D20" s="1909" t="s">
        <v>1814</v>
      </c>
      <c r="E20" s="628"/>
      <c r="F20" s="628"/>
      <c r="G20" s="628"/>
      <c r="H20" s="1913">
        <f>IF(SUM(H21:H24,H26,H28)=0,"NO",SUM(H21:H24,H26,H28))</f>
        <v>61457.509601451617</v>
      </c>
      <c r="I20" s="1913">
        <f>IF(SUM(I21:I24,I26:I28)=0,"NO",SUM(I21:I24,I26:I28))</f>
        <v>24.634307539514527</v>
      </c>
      <c r="J20" s="3085">
        <f>IF(SUM(J21:J24,J26:J28)=0,"NO",SUM(J21:J24,J26:J28))</f>
        <v>4.7821181392648926</v>
      </c>
    </row>
    <row r="21" spans="2:10" ht="18" customHeight="1" x14ac:dyDescent="0.2">
      <c r="B21" s="282" t="s">
        <v>167</v>
      </c>
      <c r="C21" s="1913">
        <f>IF(SUM(C31,C41,C51,C61,C72)=0,"NO",SUM(C31,C41,C51,C61,C72))</f>
        <v>581886.97085075045</v>
      </c>
      <c r="D21" s="1909" t="s">
        <v>1814</v>
      </c>
      <c r="E21" s="1913">
        <f t="shared" ref="E21:E23" si="4">IFERROR(H21*1000/$C21,"NA")</f>
        <v>67.399999999999991</v>
      </c>
      <c r="F21" s="1913">
        <f t="shared" ref="F21:G23" si="5">IFERROR(I21*1000000/$C21,"NA")</f>
        <v>32.362508292964527</v>
      </c>
      <c r="G21" s="1913">
        <f t="shared" si="5"/>
        <v>7.3806715847372493</v>
      </c>
      <c r="H21" s="1913">
        <f>IF(SUM(H31,H41,H51,H61,H72)=0,"NO",SUM(H31,H41,H51,H61,H72))</f>
        <v>39219.181835340576</v>
      </c>
      <c r="I21" s="1913">
        <f>IF(SUM(I31,I41,I51,I61,I72)=0,"NO",SUM(I31,I41,I51,I61,I72))</f>
        <v>18.831321919725422</v>
      </c>
      <c r="J21" s="3085">
        <f>IF(SUM(J31,J41,J51,J61,J72)=0,"NO",SUM(J31,J41,J51,J61,J72))</f>
        <v>4.294716631286966</v>
      </c>
    </row>
    <row r="22" spans="2:10" ht="18" customHeight="1" x14ac:dyDescent="0.2">
      <c r="B22" s="282" t="s">
        <v>168</v>
      </c>
      <c r="C22" s="1913">
        <f t="shared" ref="C22:C29" si="6">IF(SUM(C32,C42,C52,C62,C73)=0,"NO",SUM(C32,C42,C52,C62,C73))</f>
        <v>267414.88009612309</v>
      </c>
      <c r="D22" s="1909" t="s">
        <v>1814</v>
      </c>
      <c r="E22" s="1913">
        <f t="shared" si="4"/>
        <v>69.900000000000006</v>
      </c>
      <c r="F22" s="1913">
        <f t="shared" si="5"/>
        <v>12.268191575032658</v>
      </c>
      <c r="G22" s="1913">
        <f t="shared" si="5"/>
        <v>1.6216511162525533</v>
      </c>
      <c r="H22" s="1913">
        <f t="shared" ref="H22:J29" si="7">IF(SUM(H32,H42,H52,H62,H73)=0,"NO",SUM(H32,H42,H52,H62,H73))</f>
        <v>18692.300118719006</v>
      </c>
      <c r="I22" s="1913">
        <f t="shared" si="7"/>
        <v>3.2806969790336256</v>
      </c>
      <c r="J22" s="3085">
        <f t="shared" si="7"/>
        <v>0.43365363881042068</v>
      </c>
    </row>
    <row r="23" spans="2:10" ht="18" customHeight="1" x14ac:dyDescent="0.2">
      <c r="B23" s="282" t="s">
        <v>169</v>
      </c>
      <c r="C23" s="1913">
        <f t="shared" si="6"/>
        <v>58129.664041664837</v>
      </c>
      <c r="D23" s="1909" t="s">
        <v>1814</v>
      </c>
      <c r="E23" s="1913">
        <f t="shared" si="4"/>
        <v>60.199999999999939</v>
      </c>
      <c r="F23" s="1913">
        <f t="shared" si="5"/>
        <v>41.489086622761207</v>
      </c>
      <c r="G23" s="1913">
        <f t="shared" si="5"/>
        <v>0.90913770170126695</v>
      </c>
      <c r="H23" s="1913">
        <f t="shared" si="7"/>
        <v>3499.4057753082197</v>
      </c>
      <c r="I23" s="1913">
        <f t="shared" si="7"/>
        <v>2.4117466667766401</v>
      </c>
      <c r="J23" s="3085">
        <f t="shared" si="7"/>
        <v>5.2847869167505952E-2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900.00000000000011</v>
      </c>
      <c r="D26" s="1909" t="s">
        <v>1814</v>
      </c>
      <c r="E26" s="1913">
        <f t="shared" si="8"/>
        <v>51.411918339264993</v>
      </c>
      <c r="F26" s="1913">
        <f t="shared" si="9"/>
        <v>122.82441553204615</v>
      </c>
      <c r="G26" s="1913">
        <f t="shared" si="9"/>
        <v>0.99999999999999989</v>
      </c>
      <c r="H26" s="1913">
        <f t="shared" si="7"/>
        <v>46.270726505338502</v>
      </c>
      <c r="I26" s="1913">
        <f t="shared" si="7"/>
        <v>0.11054197397884155</v>
      </c>
      <c r="J26" s="3085">
        <f t="shared" si="7"/>
        <v>8.9999999999999998E-4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4.7905263094692403</v>
      </c>
      <c r="D28" s="1909" t="s">
        <v>1814</v>
      </c>
      <c r="E28" s="628"/>
      <c r="F28" s="628"/>
      <c r="G28" s="628"/>
      <c r="H28" s="1913">
        <f>H29</f>
        <v>0.35114557848409522</v>
      </c>
      <c r="I28" s="1913" t="str">
        <f>I29</f>
        <v>NE</v>
      </c>
      <c r="J28" s="3085" t="str">
        <f>J29</f>
        <v>NE</v>
      </c>
    </row>
    <row r="29" spans="2:10" ht="18" customHeight="1" x14ac:dyDescent="0.2">
      <c r="B29" s="3105" t="s">
        <v>252</v>
      </c>
      <c r="C29" s="1913">
        <f t="shared" si="6"/>
        <v>4.7905263094692403</v>
      </c>
      <c r="D29" s="1909" t="s">
        <v>1814</v>
      </c>
      <c r="E29" s="3103">
        <f t="shared" ref="E29" si="10">IFERROR(H29*1000/$C29,"NA")</f>
        <v>73.299999999999983</v>
      </c>
      <c r="F29" s="3103" t="str">
        <f>IFERROR(I29*1000000/$C29,"NA")</f>
        <v>NA</v>
      </c>
      <c r="G29" s="3103" t="str">
        <f>IFERROR(J29*1000000/$C29,"NA")</f>
        <v>NA</v>
      </c>
      <c r="H29" s="1913">
        <f t="shared" si="7"/>
        <v>0.35114557848409522</v>
      </c>
      <c r="I29" s="1913" t="str">
        <f>IF(SUM(I39,I49,I59,I69,I80)=0,"NE",SUM(I39,I49,I59,I69,I80))</f>
        <v>NE</v>
      </c>
      <c r="J29" s="3085" t="str">
        <f>IF(SUM(J39,J49,J59,J69,J80)=0,"NE",SUM(J39,J49,J59,J69,J80))</f>
        <v>NE</v>
      </c>
    </row>
    <row r="30" spans="2:10" ht="18" customHeight="1" x14ac:dyDescent="0.2">
      <c r="B30" s="1242" t="s">
        <v>182</v>
      </c>
      <c r="C30" s="1913">
        <f>IF(SUM(C31:C34,C36:C38)=0,"NO",SUM(C31:C34,C36:C38))</f>
        <v>568174.34034127893</v>
      </c>
      <c r="D30" s="1909" t="s">
        <v>1814</v>
      </c>
      <c r="E30" s="628"/>
      <c r="F30" s="628"/>
      <c r="G30" s="628"/>
      <c r="H30" s="1913">
        <f>IF(SUM(H31:H34,H36,H38)=0,"NO",SUM(H31:H34,H36,H38))</f>
        <v>38039.444913394436</v>
      </c>
      <c r="I30" s="1913">
        <f>IF(SUM(I31:I34,I36:I38)=0,"NO",SUM(I31:I34,I36:I38))</f>
        <v>18.884038866126197</v>
      </c>
      <c r="J30" s="3085">
        <f>IF(SUM(J31:J34,J36:J38)=0,"NO",SUM(J31:J34,J36:J38))</f>
        <v>4.1769173811140679</v>
      </c>
    </row>
    <row r="31" spans="2:10" ht="18" customHeight="1" x14ac:dyDescent="0.2">
      <c r="B31" s="282" t="s">
        <v>167</v>
      </c>
      <c r="C31" s="691">
        <v>505006.12009626999</v>
      </c>
      <c r="D31" s="1909" t="s">
        <v>1814</v>
      </c>
      <c r="E31" s="1913">
        <f t="shared" ref="E31:E33" si="11">IFERROR(H31*1000/$C31,"NA")</f>
        <v>67.399999999999977</v>
      </c>
      <c r="F31" s="1913">
        <f t="shared" ref="F31:G33" si="12">IFERROR(I31*1000000/$C31,"NA")</f>
        <v>33.382845918837738</v>
      </c>
      <c r="G31" s="1913">
        <f t="shared" si="12"/>
        <v>8.1844790988423899</v>
      </c>
      <c r="H31" s="691">
        <v>34037.412494488592</v>
      </c>
      <c r="I31" s="691">
        <v>16.858541495243848</v>
      </c>
      <c r="J31" s="2911">
        <v>4.1332120347154113</v>
      </c>
    </row>
    <row r="32" spans="2:10" ht="18" customHeight="1" x14ac:dyDescent="0.2">
      <c r="B32" s="282" t="s">
        <v>168</v>
      </c>
      <c r="C32" s="691">
        <v>20641.086057419499</v>
      </c>
      <c r="D32" s="1909" t="s">
        <v>1814</v>
      </c>
      <c r="E32" s="1913">
        <f t="shared" si="11"/>
        <v>69.90000000000002</v>
      </c>
      <c r="F32" s="1913">
        <f t="shared" si="12"/>
        <v>11.509333722689844</v>
      </c>
      <c r="G32" s="1913">
        <f t="shared" si="12"/>
        <v>0.24678187084327838</v>
      </c>
      <c r="H32" s="691">
        <v>1442.8119154136234</v>
      </c>
      <c r="I32" s="691">
        <v>0.23756514783360139</v>
      </c>
      <c r="J32" s="2911">
        <v>5.0938458334870932E-3</v>
      </c>
    </row>
    <row r="33" spans="2:10" ht="18" customHeight="1" x14ac:dyDescent="0.2">
      <c r="B33" s="282" t="s">
        <v>169</v>
      </c>
      <c r="C33" s="691">
        <v>42423.246372716596</v>
      </c>
      <c r="D33" s="1909" t="s">
        <v>1814</v>
      </c>
      <c r="E33" s="1913">
        <f t="shared" si="11"/>
        <v>60.199999999999953</v>
      </c>
      <c r="F33" s="1913">
        <f t="shared" si="12"/>
        <v>41.505958499662647</v>
      </c>
      <c r="G33" s="1913">
        <f t="shared" si="12"/>
        <v>0.90770075472257283</v>
      </c>
      <c r="H33" s="691">
        <v>2553.879431637537</v>
      </c>
      <c r="I33" s="691">
        <v>1.7608175033669391</v>
      </c>
      <c r="J33" s="2911">
        <v>3.8507612750296502E-2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103.88781487282699</v>
      </c>
      <c r="D36" s="1909" t="s">
        <v>1814</v>
      </c>
      <c r="E36" s="1913">
        <f t="shared" si="13"/>
        <v>51.411918339264815</v>
      </c>
      <c r="F36" s="1913">
        <f t="shared" si="14"/>
        <v>260.99999999999903</v>
      </c>
      <c r="G36" s="1913">
        <f t="shared" si="14"/>
        <v>0.99999999999999623</v>
      </c>
      <c r="H36" s="691">
        <v>5.341071854686442</v>
      </c>
      <c r="I36" s="691">
        <v>2.7114719681807745E-2</v>
      </c>
      <c r="J36" s="2911">
        <v>1.0388781487282659E-4</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126510.09419004794</v>
      </c>
      <c r="D40" s="1909" t="s">
        <v>1814</v>
      </c>
      <c r="E40" s="628"/>
      <c r="F40" s="628"/>
      <c r="G40" s="628"/>
      <c r="H40" s="1913">
        <f>IF(SUM(H41:H44,H46,H48)=0,"NO",SUM(H41:H44,H46,H48))</f>
        <v>8523.5912121975252</v>
      </c>
      <c r="I40" s="1913">
        <f>IF(SUM(I41:I44,I46:I48)=0,"NO",SUM(I41:I44,I46:I48))</f>
        <v>3.9422490398116032</v>
      </c>
      <c r="J40" s="3085">
        <f>IF(SUM(J41:J44,J46:J48)=0,"NO",SUM(J41:J44,J46:J48))</f>
        <v>0.17893531748616245</v>
      </c>
    </row>
    <row r="41" spans="2:10" ht="18" customHeight="1" x14ac:dyDescent="0.2">
      <c r="B41" s="282" t="s">
        <v>167</v>
      </c>
      <c r="C41" s="691">
        <v>71543.480022633201</v>
      </c>
      <c r="D41" s="1909" t="s">
        <v>1814</v>
      </c>
      <c r="E41" s="1913">
        <f t="shared" ref="E41:E43" si="16">IFERROR(H41*1000/$C41,"NA")</f>
        <v>67.40000000000002</v>
      </c>
      <c r="F41" s="1913">
        <f t="shared" ref="F41:G43" si="17">IFERROR(I41*1000000/$C41,"NA")</f>
        <v>24.45587229873707</v>
      </c>
      <c r="G41" s="1913">
        <f t="shared" si="17"/>
        <v>2.188313808838132</v>
      </c>
      <c r="H41" s="691">
        <v>4822.0305535254793</v>
      </c>
      <c r="I41" s="691">
        <v>1.7496582112407641</v>
      </c>
      <c r="J41" s="2911">
        <v>0.15655958526586328</v>
      </c>
    </row>
    <row r="42" spans="2:10" ht="18" customHeight="1" x14ac:dyDescent="0.2">
      <c r="B42" s="282" t="s">
        <v>168</v>
      </c>
      <c r="C42" s="691">
        <v>40488.284189553604</v>
      </c>
      <c r="D42" s="1909" t="s">
        <v>1814</v>
      </c>
      <c r="E42" s="1913">
        <f t="shared" si="16"/>
        <v>69.900000000000063</v>
      </c>
      <c r="F42" s="1913">
        <f t="shared" si="17"/>
        <v>38.487907493578184</v>
      </c>
      <c r="G42" s="1913">
        <f t="shared" si="17"/>
        <v>0.25819479430548986</v>
      </c>
      <c r="H42" s="691">
        <v>2830.1310648497997</v>
      </c>
      <c r="I42" s="691">
        <v>1.5583093364612433</v>
      </c>
      <c r="J42" s="2911">
        <v>1.045386420810401E-2</v>
      </c>
    </row>
    <row r="43" spans="2:10" ht="18" customHeight="1" x14ac:dyDescent="0.2">
      <c r="B43" s="282" t="s">
        <v>169</v>
      </c>
      <c r="C43" s="691">
        <v>14459.4554553662</v>
      </c>
      <c r="D43" s="1909" t="s">
        <v>1814</v>
      </c>
      <c r="E43" s="1913">
        <f t="shared" si="16"/>
        <v>60.19999999999991</v>
      </c>
      <c r="F43" s="1913">
        <f t="shared" si="17"/>
        <v>43.525514752690881</v>
      </c>
      <c r="G43" s="1913">
        <f t="shared" si="17"/>
        <v>0.82319790855490271</v>
      </c>
      <c r="H43" s="691">
        <v>870.45921841304403</v>
      </c>
      <c r="I43" s="691">
        <v>0.62935524173841828</v>
      </c>
      <c r="J43" s="2911">
        <v>1.1902993489700236E-2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18.8745224949331</v>
      </c>
      <c r="D46" s="1909" t="s">
        <v>1814</v>
      </c>
      <c r="E46" s="1913">
        <f t="shared" si="18"/>
        <v>51.411918339264908</v>
      </c>
      <c r="F46" s="1913">
        <f t="shared" si="19"/>
        <v>260.99999999999949</v>
      </c>
      <c r="G46" s="1913">
        <f t="shared" si="19"/>
        <v>0.99999999999999811</v>
      </c>
      <c r="H46" s="691">
        <v>0.97037540920211907</v>
      </c>
      <c r="I46" s="691">
        <v>4.9262503711775298E-3</v>
      </c>
      <c r="J46" s="2911">
        <v>1.8874522494933064E-5</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211413.71256232509</v>
      </c>
      <c r="D50" s="1909" t="s">
        <v>1814</v>
      </c>
      <c r="E50" s="628"/>
      <c r="F50" s="628"/>
      <c r="G50" s="628"/>
      <c r="H50" s="1913">
        <f>IF(SUM(H51:H54,H56,H58)=0,"NO",SUM(H51:H54,H56,H58))</f>
        <v>14743.593334165831</v>
      </c>
      <c r="I50" s="1913">
        <f>IF(SUM(I51:I54,I56:I58)=0,"NO",SUM(I51:I54,I56:I58))</f>
        <v>1.6447617465236251</v>
      </c>
      <c r="J50" s="3085">
        <f>IF(SUM(J51:J54,J56:J58)=0,"NO",SUM(J51:J54,J56:J58))</f>
        <v>0.42408866883728791</v>
      </c>
    </row>
    <row r="51" spans="2:10" ht="18" customHeight="1" x14ac:dyDescent="0.2">
      <c r="B51" s="282" t="s">
        <v>167</v>
      </c>
      <c r="C51" s="691">
        <v>3104.0028369608099</v>
      </c>
      <c r="D51" s="1909" t="s">
        <v>1814</v>
      </c>
      <c r="E51" s="1913">
        <f t="shared" ref="E51:E53" si="21">IFERROR(H51*1000/$C51,"NA")</f>
        <v>67.39999999999992</v>
      </c>
      <c r="F51" s="1913">
        <f t="shared" ref="F51:G53" si="22">IFERROR(I51*1000000/$C51,"NA")</f>
        <v>19.286169933504382</v>
      </c>
      <c r="G51" s="1913">
        <f t="shared" si="22"/>
        <v>0.89182891373492013</v>
      </c>
      <c r="H51" s="691">
        <v>209.20979121115835</v>
      </c>
      <c r="I51" s="691">
        <v>5.9864326187705874E-2</v>
      </c>
      <c r="J51" s="2911">
        <v>2.7682394783168692E-3</v>
      </c>
    </row>
    <row r="52" spans="2:10" ht="18" customHeight="1" x14ac:dyDescent="0.2">
      <c r="B52" s="282" t="s">
        <v>168</v>
      </c>
      <c r="C52" s="691">
        <v>206285.50984915</v>
      </c>
      <c r="D52" s="1909" t="s">
        <v>1814</v>
      </c>
      <c r="E52" s="1913">
        <f t="shared" si="21"/>
        <v>69.899999999999991</v>
      </c>
      <c r="F52" s="1913">
        <f t="shared" si="22"/>
        <v>7.197900113413608</v>
      </c>
      <c r="G52" s="1913">
        <f t="shared" si="22"/>
        <v>2.0268313032484788</v>
      </c>
      <c r="H52" s="691">
        <v>14419.357138455583</v>
      </c>
      <c r="I52" s="691">
        <v>1.4848224947387807</v>
      </c>
      <c r="J52" s="2911">
        <v>0.41810592876882957</v>
      </c>
    </row>
    <row r="53" spans="2:10" ht="18" customHeight="1" x14ac:dyDescent="0.2">
      <c r="B53" s="282" t="s">
        <v>169</v>
      </c>
      <c r="C53" s="691">
        <v>1246.96221358204</v>
      </c>
      <c r="D53" s="1909" t="s">
        <v>1814</v>
      </c>
      <c r="E53" s="1913">
        <f t="shared" si="21"/>
        <v>60.199999999999868</v>
      </c>
      <c r="F53" s="1913">
        <f t="shared" si="22"/>
        <v>17.30118317644029</v>
      </c>
      <c r="G53" s="1913">
        <f t="shared" si="22"/>
        <v>1.9545603715672313</v>
      </c>
      <c r="H53" s="691">
        <v>75.067125257638651</v>
      </c>
      <c r="I53" s="691">
        <v>2.1573921671282338E-2</v>
      </c>
      <c r="J53" s="2911">
        <v>2.4372629275092096E-3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777.23766263224002</v>
      </c>
      <c r="D56" s="1909" t="s">
        <v>1814</v>
      </c>
      <c r="E56" s="1913">
        <f t="shared" si="23"/>
        <v>51.411918339265021</v>
      </c>
      <c r="F56" s="1913">
        <f t="shared" si="24"/>
        <v>101.00000000000004</v>
      </c>
      <c r="G56" s="1913">
        <f t="shared" si="24"/>
        <v>1.0000000000000002</v>
      </c>
      <c r="H56" s="691">
        <v>39.959279241449941</v>
      </c>
      <c r="I56" s="691">
        <v>7.850100392585628E-2</v>
      </c>
      <c r="J56" s="2911">
        <v>7.7723766263224027E-4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2238.1584211958998</v>
      </c>
      <c r="D60" s="1909" t="s">
        <v>1814</v>
      </c>
      <c r="E60" s="628"/>
      <c r="F60" s="628"/>
      <c r="G60" s="628"/>
      <c r="H60" s="1913">
        <f>IF(SUM(H61:H64,H66,H68)=0,"NO",SUM(H61:H64,H66,H68))</f>
        <v>150.88014169382978</v>
      </c>
      <c r="I60" s="1913">
        <f>IF(SUM(I61:I64,I66:I68)=0,"NO",SUM(I61:I64,I66:I68))</f>
        <v>0.16325788705310187</v>
      </c>
      <c r="J60" s="3085">
        <f>IF(SUM(J61:J64,J66:J68)=0,"NO",SUM(J61:J64,J66:J68))</f>
        <v>2.1767718273746918E-3</v>
      </c>
    </row>
    <row r="61" spans="2:10" ht="18" customHeight="1" x14ac:dyDescent="0.2">
      <c r="B61" s="282" t="s">
        <v>167</v>
      </c>
      <c r="C61" s="691">
        <v>2233.3678948864303</v>
      </c>
      <c r="D61" s="1909" t="s">
        <v>1814</v>
      </c>
      <c r="E61" s="1913">
        <f t="shared" ref="E61:E63" si="26">IFERROR(H61*1000/$C61,"NA")</f>
        <v>67.400000000000119</v>
      </c>
      <c r="F61" s="1913">
        <f t="shared" ref="F61:G63" si="27">IFERROR(I61*1000000/$C61,"NA")</f>
        <v>73.099415204678465</v>
      </c>
      <c r="G61" s="1913">
        <f t="shared" si="27"/>
        <v>0.974658869395713</v>
      </c>
      <c r="H61" s="691">
        <v>150.52899611534568</v>
      </c>
      <c r="I61" s="691">
        <v>0.16325788705310187</v>
      </c>
      <c r="J61" s="2911">
        <v>2.1767718273746918E-3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4.7905263094692403</v>
      </c>
      <c r="D68" s="1909" t="s">
        <v>1814</v>
      </c>
      <c r="E68" s="628"/>
      <c r="F68" s="628"/>
      <c r="G68" s="628"/>
      <c r="H68" s="1913">
        <f>H69</f>
        <v>0.35114557848409522</v>
      </c>
      <c r="I68" s="1913" t="str">
        <f>I69</f>
        <v>NE</v>
      </c>
      <c r="J68" s="3085" t="str">
        <f>J69</f>
        <v>NE</v>
      </c>
    </row>
    <row r="69" spans="2:10" ht="18" customHeight="1" x14ac:dyDescent="0.2">
      <c r="B69" s="3105" t="s">
        <v>252</v>
      </c>
      <c r="C69" s="691">
        <v>4.7905263094692403</v>
      </c>
      <c r="D69" s="1909" t="s">
        <v>1814</v>
      </c>
      <c r="E69" s="3103">
        <f t="shared" ref="E69" si="30">IFERROR(H69*1000/$C69,"NA")</f>
        <v>73.299999999999983</v>
      </c>
      <c r="F69" s="3103" t="str">
        <f>IFERROR(I69*1000000/$C69,"NA")</f>
        <v>NA</v>
      </c>
      <c r="G69" s="3103" t="str">
        <f>IFERROR(J69*1000000/$C69,"NA")</f>
        <v>NA</v>
      </c>
      <c r="H69" s="691">
        <v>0.35114557848409522</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22460</v>
      </c>
      <c r="D81" s="1909" t="s">
        <v>1814</v>
      </c>
      <c r="E81" s="628"/>
      <c r="F81" s="628"/>
      <c r="G81" s="628"/>
      <c r="H81" s="1913">
        <f>IF(SUM(H82:H84,H86)=0,"NO",SUM(H82:H84,H86))</f>
        <v>1569.5842383667857</v>
      </c>
      <c r="I81" s="1913">
        <f>IF(SUM(I82:I86)=0,"NO",SUM(I82:I86))</f>
        <v>8.9760000000000006E-2</v>
      </c>
      <c r="J81" s="3085">
        <f>IF(SUM(J82:J86)=0,"NO",SUM(J82:J86))</f>
        <v>0.67320000000000002</v>
      </c>
    </row>
    <row r="82" spans="2:10" ht="18" customHeight="1" x14ac:dyDescent="0.2">
      <c r="B82" s="282" t="s">
        <v>132</v>
      </c>
      <c r="C82" s="691">
        <v>22440</v>
      </c>
      <c r="D82" s="1909" t="s">
        <v>1814</v>
      </c>
      <c r="E82" s="1913">
        <f t="shared" ref="E82:E85" si="36">IFERROR(H82*1000/$C82,"NA")</f>
        <v>69.90000000000002</v>
      </c>
      <c r="F82" s="1913">
        <f t="shared" ref="F82:G85" si="37">IFERROR(I82*1000000/$C82,"NA")</f>
        <v>4</v>
      </c>
      <c r="G82" s="1913">
        <f t="shared" si="37"/>
        <v>30</v>
      </c>
      <c r="H82" s="691">
        <v>1568.5560000000005</v>
      </c>
      <c r="I82" s="691">
        <v>8.9760000000000006E-2</v>
      </c>
      <c r="J82" s="2911">
        <v>0.67320000000000002</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20</v>
      </c>
      <c r="D84" s="1909" t="s">
        <v>1814</v>
      </c>
      <c r="E84" s="1913">
        <f t="shared" si="36"/>
        <v>51.411918339265</v>
      </c>
      <c r="F84" s="1913" t="str">
        <f t="shared" si="37"/>
        <v>NA</v>
      </c>
      <c r="G84" s="1913" t="str">
        <f t="shared" si="37"/>
        <v>NA</v>
      </c>
      <c r="H84" s="691">
        <v>1.0282383667853001</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25289.121115444104</v>
      </c>
      <c r="D88" s="1909" t="s">
        <v>1814</v>
      </c>
      <c r="E88" s="628"/>
      <c r="F88" s="628"/>
      <c r="G88" s="628"/>
      <c r="H88" s="1913">
        <f>IF(SUM(H89:H92,H94,H96)=0,"NO",SUM(H89:H92,H94,H96))</f>
        <v>1853.1301266810585</v>
      </c>
      <c r="I88" s="3334">
        <f>IF(SUM(I89:I92,I94:I96)=0,"NE",SUM(I89:I92,I94:I96))</f>
        <v>3.8802661531729457</v>
      </c>
      <c r="J88" s="3335">
        <f>IF(SUM(J89:J92,J94:J96)=0,"NE",SUM(J89:J92,J94:J96))</f>
        <v>3.5195048708621966E-2</v>
      </c>
    </row>
    <row r="89" spans="2:10" ht="18" customHeight="1" x14ac:dyDescent="0.2">
      <c r="B89" s="282" t="s">
        <v>190</v>
      </c>
      <c r="C89" s="691">
        <v>7657.53785714286</v>
      </c>
      <c r="D89" s="1909" t="s">
        <v>1814</v>
      </c>
      <c r="E89" s="1913">
        <f t="shared" ref="E89:E91" si="39">IFERROR(H89*1000/$C89,"NA")</f>
        <v>73.599999999999966</v>
      </c>
      <c r="F89" s="1913">
        <f t="shared" ref="F89:G91" si="40">IFERROR(I89*1000000/$C89,"NA")</f>
        <v>6.9999999999999973</v>
      </c>
      <c r="G89" s="1913">
        <f t="shared" si="40"/>
        <v>1.9999999999999993</v>
      </c>
      <c r="H89" s="691">
        <v>563.59478628571424</v>
      </c>
      <c r="I89" s="3336">
        <v>5.3602764999999997E-2</v>
      </c>
      <c r="J89" s="3337">
        <v>1.5315075714285715E-2</v>
      </c>
    </row>
    <row r="90" spans="2:10" ht="18" customHeight="1" x14ac:dyDescent="0.2">
      <c r="B90" s="282" t="s">
        <v>191</v>
      </c>
      <c r="C90" s="691">
        <v>3266.4259893588301</v>
      </c>
      <c r="D90" s="1909" t="s">
        <v>1814</v>
      </c>
      <c r="E90" s="1913">
        <f t="shared" si="39"/>
        <v>69.900000000000063</v>
      </c>
      <c r="F90" s="1913">
        <f t="shared" si="40"/>
        <v>7.0000000000000053</v>
      </c>
      <c r="G90" s="1913">
        <f t="shared" si="40"/>
        <v>2.0000000000000013</v>
      </c>
      <c r="H90" s="691">
        <v>228.32317665618243</v>
      </c>
      <c r="I90" s="3336">
        <v>2.2864981925511826E-2</v>
      </c>
      <c r="J90" s="3337">
        <v>6.5328519787176643E-3</v>
      </c>
    </row>
    <row r="91" spans="2:10" ht="18" customHeight="1" x14ac:dyDescent="0.2">
      <c r="B91" s="282" t="s">
        <v>167</v>
      </c>
      <c r="C91" s="691">
        <v>10163.467795131799</v>
      </c>
      <c r="D91" s="1909" t="s">
        <v>1814</v>
      </c>
      <c r="E91" s="1913">
        <f t="shared" si="39"/>
        <v>67.39999999999975</v>
      </c>
      <c r="F91" s="1913">
        <f t="shared" si="40"/>
        <v>359.99999999999864</v>
      </c>
      <c r="G91" s="1913">
        <f t="shared" si="40"/>
        <v>0.89999999999999658</v>
      </c>
      <c r="H91" s="691">
        <v>685.01772939188072</v>
      </c>
      <c r="I91" s="3336">
        <v>3.6588484062474338</v>
      </c>
      <c r="J91" s="3337">
        <v>9.1471210156185839E-3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50</v>
      </c>
      <c r="D94" s="1909" t="s">
        <v>1814</v>
      </c>
      <c r="E94" s="1913">
        <f t="shared" ref="E94:E95" si="43">IFERROR(H94*1000/$C94,"NA")</f>
        <v>51.411918339265</v>
      </c>
      <c r="F94" s="1913">
        <f t="shared" si="42"/>
        <v>243.00000000000003</v>
      </c>
      <c r="G94" s="1913">
        <f t="shared" si="42"/>
        <v>1</v>
      </c>
      <c r="H94" s="691">
        <v>2.5705959169632502</v>
      </c>
      <c r="I94" s="3336">
        <v>1.2150000000000001E-2</v>
      </c>
      <c r="J94" s="3337">
        <v>5.0000000000000002E-5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4151.6894738106148</v>
      </c>
      <c r="D96" s="1909" t="s">
        <v>1814</v>
      </c>
      <c r="E96" s="628"/>
      <c r="F96" s="628"/>
      <c r="G96" s="628"/>
      <c r="H96" s="1913">
        <f>IF(SUM(H97:H98)=0,"NO",SUM(H97:H98))</f>
        <v>373.62383843031813</v>
      </c>
      <c r="I96" s="3334">
        <f>IF(SUM(I97:I98)=0,"NE",SUM(I97:I98))</f>
        <v>0.1328</v>
      </c>
      <c r="J96" s="3335">
        <f>IF(SUM(J97:J98)=0,"NE",SUM(J97:J98))</f>
        <v>4.15E-3</v>
      </c>
    </row>
    <row r="97" spans="2:10" ht="18" customHeight="1" x14ac:dyDescent="0.2">
      <c r="B97" s="2572" t="s">
        <v>2260</v>
      </c>
      <c r="C97" s="691">
        <v>4150</v>
      </c>
      <c r="D97" s="1909" t="s">
        <v>1814</v>
      </c>
      <c r="E97" s="3103">
        <f t="shared" ref="E97" si="44">IFERROR(H97*1000/$C97,"NA")</f>
        <v>90.000000000000014</v>
      </c>
      <c r="F97" s="3103">
        <f>IFERROR(I97*1000000/$C97,"NA")</f>
        <v>32</v>
      </c>
      <c r="G97" s="3103">
        <f>IFERROR(J97*1000000/$C97,"NA")</f>
        <v>1</v>
      </c>
      <c r="H97" s="691">
        <v>373.50000000000006</v>
      </c>
      <c r="I97" s="3336">
        <v>0.1328</v>
      </c>
      <c r="J97" s="3337">
        <v>4.15E-3</v>
      </c>
    </row>
    <row r="98" spans="2:10" ht="18" customHeight="1" x14ac:dyDescent="0.2">
      <c r="B98" s="2572" t="s">
        <v>252</v>
      </c>
      <c r="C98" s="691">
        <v>1.6894738106152201</v>
      </c>
      <c r="D98" s="1909" t="s">
        <v>1814</v>
      </c>
      <c r="E98" s="3103">
        <f t="shared" ref="E98" si="45">IFERROR(H98*1000/$C98,"NA")</f>
        <v>73.3</v>
      </c>
      <c r="F98" s="3103" t="str">
        <f>IFERROR(I98*1000000/$C98,"NA")</f>
        <v>NA</v>
      </c>
      <c r="G98" s="3103" t="str">
        <f>IFERROR(J98*1000000/$C98,"NA")</f>
        <v>NA</v>
      </c>
      <c r="H98" s="691">
        <v>0.12383843031809563</v>
      </c>
      <c r="I98" s="3336" t="s">
        <v>2154</v>
      </c>
      <c r="J98" s="3337" t="s">
        <v>2154</v>
      </c>
    </row>
    <row r="99" spans="2:10" ht="18" customHeight="1" x14ac:dyDescent="0.2">
      <c r="B99" s="1241" t="s">
        <v>193</v>
      </c>
      <c r="C99" s="1913">
        <f>IF(SUM(C100:C104)=0,"NO",SUM(C100:C104))</f>
        <v>10133.57478303983</v>
      </c>
      <c r="D99" s="1909" t="s">
        <v>1814</v>
      </c>
      <c r="E99" s="628"/>
      <c r="F99" s="628"/>
      <c r="G99" s="628"/>
      <c r="H99" s="1913">
        <f>IF(SUM(H100:H103)=0,"NO",SUM(H100:H103))</f>
        <v>530.23231249580499</v>
      </c>
      <c r="I99" s="1913">
        <f>IF(SUM(I100:I104)=0,"NO",SUM(I100:I104))</f>
        <v>0.10476669541440195</v>
      </c>
      <c r="J99" s="3085">
        <f>IF(SUM(J100:J104)=0,"NO",SUM(J100:J104))</f>
        <v>1.0709663250366031E-3</v>
      </c>
    </row>
    <row r="100" spans="2:10" ht="18" customHeight="1" x14ac:dyDescent="0.2">
      <c r="B100" s="282" t="s">
        <v>132</v>
      </c>
      <c r="C100" s="1913">
        <f>IF(SUM(C106,C113:C116)=0,"NO",SUM(C106,C113:C116))</f>
        <v>619.20320411142404</v>
      </c>
      <c r="D100" s="1909" t="s">
        <v>1814</v>
      </c>
      <c r="E100" s="3103">
        <f t="shared" ref="E100:E104" si="46">IFERROR(H100*1000/$C100,"NA")</f>
        <v>65.835659871681827</v>
      </c>
      <c r="F100" s="3103">
        <f t="shared" ref="F100:G104" si="47">IFERROR(I100*1000000/$C100,"NA")</f>
        <v>48.839510290565151</v>
      </c>
      <c r="G100" s="3103">
        <f t="shared" si="47"/>
        <v>0.19535804116226063</v>
      </c>
      <c r="H100" s="1913">
        <f>IF(SUM(H106,H113:H116)=0,"NO",SUM(H106,H113:H116))</f>
        <v>40.765651537335287</v>
      </c>
      <c r="I100" s="1913">
        <f>IF(SUM(I106,I113:I116)=0,"NO",SUM(I106,I113:I116))</f>
        <v>3.0241581259150808E-2</v>
      </c>
      <c r="J100" s="3085">
        <f>IF(SUM(J106,J113:J116)=0,"NO",SUM(J106,J113:J116))</f>
        <v>1.2096632503660326E-4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9500</v>
      </c>
      <c r="D102" s="1909" t="s">
        <v>1814</v>
      </c>
      <c r="E102" s="3103">
        <f t="shared" si="46"/>
        <v>51.411918339264993</v>
      </c>
      <c r="F102" s="3103">
        <f t="shared" si="47"/>
        <v>7.84474885844749</v>
      </c>
      <c r="G102" s="3103">
        <f t="shared" si="47"/>
        <v>9.9999999999999992E-2</v>
      </c>
      <c r="H102" s="1913">
        <f t="shared" si="48"/>
        <v>488.41322422301744</v>
      </c>
      <c r="I102" s="1913">
        <f t="shared" si="48"/>
        <v>7.4525114155251149E-2</v>
      </c>
      <c r="J102" s="3085">
        <f t="shared" si="48"/>
        <v>9.4999999999999989E-4</v>
      </c>
    </row>
    <row r="103" spans="2:10" ht="18" customHeight="1" x14ac:dyDescent="0.2">
      <c r="B103" s="282" t="s">
        <v>175</v>
      </c>
      <c r="C103" s="1913">
        <f>IF(SUM(C109,C120)=0,"NO",SUM(C109,C120))</f>
        <v>14.3715789284077</v>
      </c>
      <c r="D103" s="1909" t="s">
        <v>1814</v>
      </c>
      <c r="E103" s="3103">
        <f t="shared" si="46"/>
        <v>73.300000000000097</v>
      </c>
      <c r="F103" s="3103" t="str">
        <f t="shared" si="47"/>
        <v>NA</v>
      </c>
      <c r="G103" s="3103" t="str">
        <f t="shared" si="47"/>
        <v>NA</v>
      </c>
      <c r="H103" s="1913">
        <f t="shared" si="48"/>
        <v>1.0534367354522858</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9500</v>
      </c>
      <c r="D105" s="1909" t="s">
        <v>1814</v>
      </c>
      <c r="E105" s="628"/>
      <c r="F105" s="628"/>
      <c r="G105" s="628"/>
      <c r="H105" s="1913">
        <f>IF(SUM(H106:H109)=0,"NO",SUM(H106:H109))</f>
        <v>488.41322422301744</v>
      </c>
      <c r="I105" s="1913">
        <f>IF(SUM(I106:I110)=0,"NO",SUM(I106:I110))</f>
        <v>7.4525114155251149E-2</v>
      </c>
      <c r="J105" s="3085">
        <f>IF(SUM(J106:J110)=0,"NO",SUM(J106:J110))</f>
        <v>9.4999999999999989E-4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9500</v>
      </c>
      <c r="D108" s="1909" t="s">
        <v>1814</v>
      </c>
      <c r="E108" s="3103">
        <f t="shared" si="49"/>
        <v>51.411918339264993</v>
      </c>
      <c r="F108" s="3103">
        <f t="shared" si="50"/>
        <v>7.84474885844749</v>
      </c>
      <c r="G108" s="3103">
        <f t="shared" si="50"/>
        <v>9.9999999999999992E-2</v>
      </c>
      <c r="H108" s="691">
        <v>488.41322422301744</v>
      </c>
      <c r="I108" s="691">
        <v>7.4525114155251149E-2</v>
      </c>
      <c r="J108" s="2911">
        <v>9.4999999999999989E-4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633.5747830398318</v>
      </c>
      <c r="D111" s="1909" t="s">
        <v>1814</v>
      </c>
      <c r="E111" s="628"/>
      <c r="F111" s="628"/>
      <c r="G111" s="628"/>
      <c r="H111" s="1913">
        <f>H112</f>
        <v>41.819088272787575</v>
      </c>
      <c r="I111" s="1913">
        <f>I112</f>
        <v>3.0241581259150808E-2</v>
      </c>
      <c r="J111" s="3085">
        <f>J112</f>
        <v>1.2096632503660326E-4</v>
      </c>
    </row>
    <row r="112" spans="2:10" ht="18" customHeight="1" x14ac:dyDescent="0.2">
      <c r="B112" s="3089" t="s">
        <v>2148</v>
      </c>
      <c r="C112" s="3099">
        <f>IF(SUM(C113:C116,C118:C121)=0,"NO",SUM(C113:C116,C118:C121))</f>
        <v>633.5747830398318</v>
      </c>
      <c r="D112" s="3099" t="s">
        <v>1814</v>
      </c>
      <c r="E112" s="628"/>
      <c r="F112" s="628"/>
      <c r="G112" s="628"/>
      <c r="H112" s="3099">
        <f>IF(SUM(H113:H116,H118:H120)=0,"NO",SUM(H113:H116,H118:H120))</f>
        <v>41.819088272787575</v>
      </c>
      <c r="I112" s="3099">
        <f>IF(SUM(I113:I116,I118:I121)=0,"NO",SUM(I113:I116,I118:I121))</f>
        <v>3.0241581259150808E-2</v>
      </c>
      <c r="J112" s="3100">
        <f>IF(SUM(J113:J116,J118:J121)=0,"NO",SUM(J113:J116,J118:J121))</f>
        <v>1.2096632503660326E-4</v>
      </c>
    </row>
    <row r="113" spans="2:10" ht="18" customHeight="1" x14ac:dyDescent="0.2">
      <c r="B113" s="282" t="s">
        <v>167</v>
      </c>
      <c r="C113" s="691">
        <v>619.20320411142404</v>
      </c>
      <c r="D113" s="1913" t="s">
        <v>1814</v>
      </c>
      <c r="E113" s="1913">
        <f t="shared" ref="E113:E115" si="51">IFERROR(H113*1000/$C113,"NA")</f>
        <v>65.835659871681827</v>
      </c>
      <c r="F113" s="1913">
        <f t="shared" ref="F113:G115" si="52">IFERROR(I113*1000000/$C113,"NA")</f>
        <v>48.839510290565151</v>
      </c>
      <c r="G113" s="1913">
        <f t="shared" si="52"/>
        <v>0.19535804116226063</v>
      </c>
      <c r="H113" s="691">
        <v>40.765651537335287</v>
      </c>
      <c r="I113" s="691">
        <v>3.0241581259150808E-2</v>
      </c>
      <c r="J113" s="2911">
        <v>1.2096632503660326E-4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14.3715789284077</v>
      </c>
      <c r="D120" s="1909" t="s">
        <v>1814</v>
      </c>
      <c r="E120" s="3103">
        <f t="shared" si="53"/>
        <v>73.300000000000097</v>
      </c>
      <c r="F120" s="3103" t="str">
        <f t="shared" si="54"/>
        <v>NA</v>
      </c>
      <c r="G120" s="3103" t="str">
        <f t="shared" si="54"/>
        <v>NA</v>
      </c>
      <c r="H120" s="691">
        <v>1.0534367354522858</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352777.23994177714</v>
      </c>
      <c r="D10" s="3109" t="s">
        <v>1814</v>
      </c>
      <c r="E10" s="2135"/>
      <c r="F10" s="2135"/>
      <c r="G10" s="2135"/>
      <c r="H10" s="3109">
        <f>IF(SUM(H11:H15)=0,"NO",SUM(H11:H15))</f>
        <v>15779.169384823215</v>
      </c>
      <c r="I10" s="3109">
        <f>IF(SUM(I11:I16)=0,"NO",SUM(I11:I16))</f>
        <v>75.41676079313649</v>
      </c>
      <c r="J10" s="3109">
        <f>IF(SUM(J11:J16)=0,"NO",SUM(J11:J16))</f>
        <v>0.59835191560953271</v>
      </c>
      <c r="K10" s="420" t="str">
        <f>IF(SUM(K11:K16)=0,"NO",SUM(K11:K16))</f>
        <v>NO</v>
      </c>
    </row>
    <row r="11" spans="2:12" ht="18" customHeight="1" x14ac:dyDescent="0.2">
      <c r="B11" s="282" t="s">
        <v>132</v>
      </c>
      <c r="C11" s="1913">
        <f>IF(SUM(C18,C39,C60)=0,"NO",SUM(C18,C39,C60))</f>
        <v>103379.86434195921</v>
      </c>
      <c r="D11" s="3109" t="s">
        <v>1814</v>
      </c>
      <c r="E11" s="1913">
        <f t="shared" ref="E11:E16" si="0">IFERROR(H11*1000/$C11,"NA")</f>
        <v>68.175062541499486</v>
      </c>
      <c r="F11" s="1913">
        <f t="shared" ref="F11:G16" si="1">IFERROR(I11*1000000/$C11,"NA")</f>
        <v>9.7079002426919079</v>
      </c>
      <c r="G11" s="1913">
        <f t="shared" si="1"/>
        <v>2.6635611892561588</v>
      </c>
      <c r="H11" s="1913">
        <f>IF(SUM(H18,H39,H60)=0,"NO",SUM(H18,H39,H60))</f>
        <v>7047.9287170448024</v>
      </c>
      <c r="I11" s="1913">
        <f>IF(SUM(I18,I39,I60)=0,"NO",SUM(I18,I39,I60))</f>
        <v>1.0036014101347623</v>
      </c>
      <c r="J11" s="1913">
        <f>IF(SUM(J18,J39,J60)=0,"NO",SUM(J18,J39,J60))</f>
        <v>0.27535859441180921</v>
      </c>
      <c r="K11" s="3085" t="str">
        <f>IF(SUM(K18,K39,K60)=0,"NO",SUM(K18,K39,K60))</f>
        <v>NO</v>
      </c>
    </row>
    <row r="12" spans="2:12" ht="18" customHeight="1" x14ac:dyDescent="0.2">
      <c r="B12" s="282" t="s">
        <v>133</v>
      </c>
      <c r="C12" s="1913">
        <f t="shared" ref="C12:C16" si="2">IF(SUM(C19,C40,C61)=0,"NO",SUM(C19,C40,C61))</f>
        <v>2200</v>
      </c>
      <c r="D12" s="3109" t="s">
        <v>1814</v>
      </c>
      <c r="E12" s="1913">
        <f t="shared" si="0"/>
        <v>92.499999999999986</v>
      </c>
      <c r="F12" s="1913">
        <f t="shared" si="1"/>
        <v>0.95238095238095244</v>
      </c>
      <c r="G12" s="1913">
        <f t="shared" si="1"/>
        <v>0.66666666666666685</v>
      </c>
      <c r="H12" s="1913">
        <f t="shared" ref="H12:K16" si="3">IF(SUM(H19,H40,H61)=0,"NO",SUM(H19,H40,H61))</f>
        <v>203.49999999999997</v>
      </c>
      <c r="I12" s="1913">
        <f t="shared" si="3"/>
        <v>2.0952380952380953E-3</v>
      </c>
      <c r="J12" s="1913">
        <f t="shared" si="3"/>
        <v>1.4666666666666669E-3</v>
      </c>
      <c r="K12" s="3085" t="str">
        <f t="shared" si="3"/>
        <v>NO</v>
      </c>
    </row>
    <row r="13" spans="2:12" ht="18" customHeight="1" x14ac:dyDescent="0.2">
      <c r="B13" s="282" t="s">
        <v>134</v>
      </c>
      <c r="C13" s="1913">
        <f t="shared" si="2"/>
        <v>165699.95559981797</v>
      </c>
      <c r="D13" s="3109" t="s">
        <v>1814</v>
      </c>
      <c r="E13" s="1913">
        <f t="shared" si="0"/>
        <v>51.464954452816897</v>
      </c>
      <c r="F13" s="1913">
        <f t="shared" si="1"/>
        <v>0.90909090909090895</v>
      </c>
      <c r="G13" s="1913">
        <f t="shared" si="1"/>
        <v>0.90909090909090895</v>
      </c>
      <c r="H13" s="1913">
        <f t="shared" si="3"/>
        <v>8527.7406677784129</v>
      </c>
      <c r="I13" s="1913">
        <f t="shared" si="3"/>
        <v>0.15063632327256177</v>
      </c>
      <c r="J13" s="1913">
        <f t="shared" si="3"/>
        <v>0.15063632327256177</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81497.42</v>
      </c>
      <c r="D16" s="3109" t="s">
        <v>1814</v>
      </c>
      <c r="E16" s="1913">
        <f t="shared" si="0"/>
        <v>75.409143994987843</v>
      </c>
      <c r="F16" s="1913">
        <f t="shared" si="1"/>
        <v>911.19973885840704</v>
      </c>
      <c r="G16" s="1913">
        <f t="shared" si="1"/>
        <v>2.0968802602400789</v>
      </c>
      <c r="H16" s="1913">
        <f t="shared" si="3"/>
        <v>6145.6506800000016</v>
      </c>
      <c r="I16" s="1913">
        <f t="shared" si="3"/>
        <v>74.260427821633925</v>
      </c>
      <c r="J16" s="1913">
        <f t="shared" si="3"/>
        <v>0.17089033125849501</v>
      </c>
      <c r="K16" s="3085" t="str">
        <f t="shared" si="3"/>
        <v>NO</v>
      </c>
    </row>
    <row r="17" spans="2:11" ht="18" customHeight="1" x14ac:dyDescent="0.2">
      <c r="B17" s="1241" t="s">
        <v>1942</v>
      </c>
      <c r="C17" s="3109">
        <f>IF(SUM(C18:C23)=0,"NO",SUM(C18:C23))</f>
        <v>75520.572757994902</v>
      </c>
      <c r="D17" s="3109" t="s">
        <v>1814</v>
      </c>
      <c r="E17" s="628"/>
      <c r="F17" s="628"/>
      <c r="G17" s="628"/>
      <c r="H17" s="3078">
        <f>IF(SUM(H18:H22)=0,"NO",SUM(H18:H22))</f>
        <v>4340.6186734595485</v>
      </c>
      <c r="I17" s="3078">
        <f>IF(SUM(I18:I23)=0,"NO",SUM(I18:I23))</f>
        <v>7.7700193464755651E-2</v>
      </c>
      <c r="J17" s="3110">
        <f>IF(SUM(J18:J23)=0,"NO",SUM(J18:J23))</f>
        <v>8.7570032341303575E-2</v>
      </c>
      <c r="K17" s="3085" t="str">
        <f>IF(SUM(K18:K23)=0,"NO",SUM(K18:K23))</f>
        <v>NO</v>
      </c>
    </row>
    <row r="18" spans="2:11" ht="18" customHeight="1" x14ac:dyDescent="0.2">
      <c r="B18" s="282" t="s">
        <v>132</v>
      </c>
      <c r="C18" s="3109">
        <f>IF(SUM(C26,C33)=0,"NO",SUM(C26,C33))</f>
        <v>23723.197158176943</v>
      </c>
      <c r="D18" s="3109" t="s">
        <v>1814</v>
      </c>
      <c r="E18" s="1913">
        <f t="shared" ref="E18" si="4">IFERROR(H18*1000/$C18,"NA")</f>
        <v>67.60607263450494</v>
      </c>
      <c r="F18" s="1913">
        <f t="shared" ref="F18:G23" si="5">IFERROR(I18*1000000/$C18,"NA")</f>
        <v>1.218001069033549</v>
      </c>
      <c r="G18" s="1913">
        <f t="shared" si="5"/>
        <v>1.6858694613348559</v>
      </c>
      <c r="H18" s="3109">
        <f>IF(SUM(H26,H33)=0,"NO",SUM(H26,H33))</f>
        <v>1603.8321901983913</v>
      </c>
      <c r="I18" s="3109">
        <f>IF(SUM(I26,I33)=0,"NO",SUM(I26,I33))</f>
        <v>2.8894879499553168E-2</v>
      </c>
      <c r="J18" s="3109">
        <f>IF(SUM(J26,J33)=0,"NO",SUM(J26,J33))</f>
        <v>3.9994213614196347E-2</v>
      </c>
      <c r="K18" s="3085" t="str">
        <f>IF(SUM(K26,K33)=0,"NO",SUM(K26,K33))</f>
        <v>NO</v>
      </c>
    </row>
    <row r="19" spans="2:11" ht="18" customHeight="1" x14ac:dyDescent="0.2">
      <c r="B19" s="282" t="s">
        <v>133</v>
      </c>
      <c r="C19" s="3109">
        <f t="shared" ref="C19:C21" si="6">IF(SUM(C27,C34)=0,"NO",SUM(C27,C34))</f>
        <v>2000</v>
      </c>
      <c r="D19" s="3109" t="s">
        <v>1814</v>
      </c>
      <c r="E19" s="1913">
        <f t="shared" ref="E19:E23" si="7">IFERROR(H19*1000/$C19,"NA")</f>
        <v>92.499999999999986</v>
      </c>
      <c r="F19" s="1913">
        <f t="shared" si="5"/>
        <v>0.95238095238095244</v>
      </c>
      <c r="G19" s="1913">
        <f t="shared" si="5"/>
        <v>0.66666666666666674</v>
      </c>
      <c r="H19" s="3109">
        <f t="shared" ref="H19:K21" si="8">IF(SUM(H27,H34)=0,"NO",SUM(H27,H34))</f>
        <v>184.99999999999997</v>
      </c>
      <c r="I19" s="3109">
        <f t="shared" si="8"/>
        <v>1.9047619047619048E-3</v>
      </c>
      <c r="J19" s="3109">
        <f t="shared" si="8"/>
        <v>1.3333333333333335E-3</v>
      </c>
      <c r="K19" s="3085" t="str">
        <f t="shared" si="8"/>
        <v>NO</v>
      </c>
    </row>
    <row r="20" spans="2:11" ht="18" customHeight="1" x14ac:dyDescent="0.2">
      <c r="B20" s="282" t="s">
        <v>134</v>
      </c>
      <c r="C20" s="3109">
        <f t="shared" si="6"/>
        <v>49599.955599817964</v>
      </c>
      <c r="D20" s="3109" t="s">
        <v>1814</v>
      </c>
      <c r="E20" s="1913">
        <f t="shared" si="7"/>
        <v>51.447354184134042</v>
      </c>
      <c r="F20" s="1913">
        <f t="shared" si="5"/>
        <v>0.90909090909090895</v>
      </c>
      <c r="G20" s="1913">
        <f t="shared" si="5"/>
        <v>0.90909090909090895</v>
      </c>
      <c r="H20" s="3109">
        <f t="shared" si="8"/>
        <v>2551.7864832611572</v>
      </c>
      <c r="I20" s="3109">
        <f t="shared" si="8"/>
        <v>4.5090868727107235E-2</v>
      </c>
      <c r="J20" s="3109">
        <f t="shared" si="8"/>
        <v>4.5090868727107235E-2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197.42000000000002</v>
      </c>
      <c r="D23" s="3109" t="s">
        <v>1814</v>
      </c>
      <c r="E23" s="1913">
        <f t="shared" si="7"/>
        <v>94.000000000000014</v>
      </c>
      <c r="F23" s="1913">
        <f t="shared" si="5"/>
        <v>9.1666666666666679</v>
      </c>
      <c r="G23" s="1913">
        <f t="shared" si="5"/>
        <v>5.833333333333333</v>
      </c>
      <c r="H23" s="3109">
        <f>IF(SUM(H31,H37)=0,"NO",SUM(H31,H37))</f>
        <v>18.557480000000002</v>
      </c>
      <c r="I23" s="3109">
        <f>IF(SUM(I31,I37)=0,"NO",SUM(I31,I37))</f>
        <v>1.8096833333333337E-3</v>
      </c>
      <c r="J23" s="3109">
        <f>IF(SUM(J31,J37)=0,"NO",SUM(J31,J37))</f>
        <v>1.1516166666666668E-3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75520.572757994902</v>
      </c>
      <c r="D25" s="3078" t="s">
        <v>1814</v>
      </c>
      <c r="E25" s="628"/>
      <c r="F25" s="628"/>
      <c r="G25" s="628"/>
      <c r="H25" s="3078">
        <f>IF(SUM(H26:H30)=0,"NO",SUM(H26:H30))</f>
        <v>4340.6186734595485</v>
      </c>
      <c r="I25" s="3078">
        <f>IF(SUM(I26:I31)=0,"NO",SUM(I26:I31))</f>
        <v>7.7700193464755651E-2</v>
      </c>
      <c r="J25" s="3110">
        <f>IF(SUM(J26:J31)=0,"NO",SUM(J26:J31))</f>
        <v>8.7570032341303575E-2</v>
      </c>
      <c r="K25" s="3085" t="str">
        <f>IF(SUM(K26:K31)=0,"NO",SUM(K26:K31))</f>
        <v>NO</v>
      </c>
    </row>
    <row r="26" spans="2:11" ht="18" customHeight="1" x14ac:dyDescent="0.2">
      <c r="B26" s="282" t="s">
        <v>132</v>
      </c>
      <c r="C26" s="691">
        <v>23723.197158176943</v>
      </c>
      <c r="D26" s="3078" t="s">
        <v>1814</v>
      </c>
      <c r="E26" s="1913">
        <f t="shared" ref="E26:E31" si="9">IFERROR(H26*1000/$C26,"NA")</f>
        <v>67.60607263450494</v>
      </c>
      <c r="F26" s="1913">
        <f t="shared" ref="F26:G31" si="10">IFERROR(I26*1000000/$C26,"NA")</f>
        <v>1.218001069033549</v>
      </c>
      <c r="G26" s="1913">
        <f t="shared" si="10"/>
        <v>1.6858694613348559</v>
      </c>
      <c r="H26" s="691">
        <v>1603.8321901983913</v>
      </c>
      <c r="I26" s="691">
        <v>2.8894879499553168E-2</v>
      </c>
      <c r="J26" s="691">
        <v>3.9994213614196347E-2</v>
      </c>
      <c r="K26" s="2911" t="s">
        <v>2146</v>
      </c>
    </row>
    <row r="27" spans="2:11" ht="18" customHeight="1" x14ac:dyDescent="0.2">
      <c r="B27" s="282" t="s">
        <v>133</v>
      </c>
      <c r="C27" s="691">
        <v>2000</v>
      </c>
      <c r="D27" s="3078" t="s">
        <v>1814</v>
      </c>
      <c r="E27" s="1913">
        <f t="shared" si="9"/>
        <v>92.499999999999986</v>
      </c>
      <c r="F27" s="1913">
        <f t="shared" si="10"/>
        <v>0.95238095238095244</v>
      </c>
      <c r="G27" s="1913">
        <f t="shared" si="10"/>
        <v>0.66666666666666674</v>
      </c>
      <c r="H27" s="691">
        <v>184.99999999999997</v>
      </c>
      <c r="I27" s="691">
        <v>1.9047619047619048E-3</v>
      </c>
      <c r="J27" s="691">
        <v>1.3333333333333335E-3</v>
      </c>
      <c r="K27" s="2911" t="s">
        <v>2146</v>
      </c>
    </row>
    <row r="28" spans="2:11" ht="18" customHeight="1" x14ac:dyDescent="0.2">
      <c r="B28" s="282" t="s">
        <v>134</v>
      </c>
      <c r="C28" s="691">
        <v>49599.955599817964</v>
      </c>
      <c r="D28" s="3078" t="s">
        <v>1814</v>
      </c>
      <c r="E28" s="1913">
        <f t="shared" si="9"/>
        <v>51.447354184134042</v>
      </c>
      <c r="F28" s="1913">
        <f t="shared" si="10"/>
        <v>0.90909090909090895</v>
      </c>
      <c r="G28" s="1913">
        <f t="shared" si="10"/>
        <v>0.90909090909090895</v>
      </c>
      <c r="H28" s="691">
        <v>2551.7864832611572</v>
      </c>
      <c r="I28" s="691">
        <v>4.5090868727107235E-2</v>
      </c>
      <c r="J28" s="691">
        <v>4.5090868727107235E-2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197.42000000000002</v>
      </c>
      <c r="D31" s="3078" t="s">
        <v>1814</v>
      </c>
      <c r="E31" s="1913">
        <f t="shared" si="9"/>
        <v>94.000000000000014</v>
      </c>
      <c r="F31" s="1913">
        <f t="shared" si="10"/>
        <v>9.1666666666666679</v>
      </c>
      <c r="G31" s="1913">
        <f t="shared" si="10"/>
        <v>5.833333333333333</v>
      </c>
      <c r="H31" s="691">
        <v>18.557480000000002</v>
      </c>
      <c r="I31" s="691">
        <v>1.8096833333333337E-3</v>
      </c>
      <c r="J31" s="691">
        <v>1.1516166666666668E-3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216056.66718378227</v>
      </c>
      <c r="D38" s="3078" t="s">
        <v>1814</v>
      </c>
      <c r="E38" s="628"/>
      <c r="F38" s="628"/>
      <c r="G38" s="628"/>
      <c r="H38" s="1913">
        <f>IF(SUM(H39:H43)=0,"NO",SUM(H39:H43))</f>
        <v>7175.2195195297381</v>
      </c>
      <c r="I38" s="1913">
        <f>IF(SUM(I39:I44)=0,"NO",SUM(I39:I44))</f>
        <v>75.062198262009389</v>
      </c>
      <c r="J38" s="1913">
        <f>IF(SUM(J39:J44)=0,"NO",SUM(J39:J44))</f>
        <v>0.2858243075106533</v>
      </c>
      <c r="K38" s="3085" t="str">
        <f>IF(SUM(K39:K44)=0,"NO",SUM(K39:K44))</f>
        <v>NO</v>
      </c>
    </row>
    <row r="39" spans="2:11" ht="18" customHeight="1" x14ac:dyDescent="0.2">
      <c r="B39" s="282" t="s">
        <v>132</v>
      </c>
      <c r="C39" s="3109">
        <f>IF(SUM(C47,C54)=0,"NO",SUM(C47,C54))</f>
        <v>18556.667183782261</v>
      </c>
      <c r="D39" s="3078" t="s">
        <v>1814</v>
      </c>
      <c r="E39" s="1913">
        <f t="shared" ref="E39:E44" si="13">IFERROR(H39*1000/$C39,"NA")</f>
        <v>63.907301623798141</v>
      </c>
      <c r="F39" s="1913">
        <f t="shared" ref="F39:G44" si="14">IFERROR(I39*1000000/$C39,"NA")</f>
        <v>37.61101576870152</v>
      </c>
      <c r="G39" s="1913">
        <f t="shared" si="14"/>
        <v>0.56571118223862549</v>
      </c>
      <c r="H39" s="1913">
        <f>IF(SUM(H47,H54)=0,"NO",SUM(H47,H54))</f>
        <v>1185.9065268464099</v>
      </c>
      <c r="I39" s="1913">
        <f>IF(SUM(I47,I54)=0,"NO",SUM(I47,I54))</f>
        <v>0.69793510206378062</v>
      </c>
      <c r="J39" s="1913">
        <f>IF(SUM(J47,J54)=0,"NO",SUM(J47,J54))</f>
        <v>1.0497714130946167E-2</v>
      </c>
      <c r="K39" s="3085" t="str">
        <f>IF(SUM(K47,K54)=0,"NO",SUM(K47,K54))</f>
        <v>NO</v>
      </c>
    </row>
    <row r="40" spans="2:11" ht="18" customHeight="1" x14ac:dyDescent="0.2">
      <c r="B40" s="282" t="s">
        <v>133</v>
      </c>
      <c r="C40" s="3109">
        <f t="shared" ref="C40:C42" si="15">IF(SUM(C48,C55)=0,"NO",SUM(C48,C55))</f>
        <v>200</v>
      </c>
      <c r="D40" s="3078" t="s">
        <v>1814</v>
      </c>
      <c r="E40" s="1913">
        <f t="shared" si="13"/>
        <v>92.5</v>
      </c>
      <c r="F40" s="1913">
        <f t="shared" si="14"/>
        <v>0.95238095238095244</v>
      </c>
      <c r="G40" s="1913">
        <f t="shared" si="14"/>
        <v>0.66666666666666652</v>
      </c>
      <c r="H40" s="1913">
        <f t="shared" ref="H40:K42" si="16">IF(SUM(H48,H55)=0,"NO",SUM(H48,H55))</f>
        <v>18.5</v>
      </c>
      <c r="I40" s="1913">
        <f t="shared" si="16"/>
        <v>1.9047619047619048E-4</v>
      </c>
      <c r="J40" s="1913">
        <f t="shared" si="16"/>
        <v>1.3333333333333331E-4</v>
      </c>
      <c r="K40" s="3085" t="str">
        <f t="shared" si="16"/>
        <v>NO</v>
      </c>
    </row>
    <row r="41" spans="2:11" ht="18" customHeight="1" x14ac:dyDescent="0.2">
      <c r="B41" s="282" t="s">
        <v>134</v>
      </c>
      <c r="C41" s="3109">
        <f t="shared" si="15"/>
        <v>116000</v>
      </c>
      <c r="D41" s="3078" t="s">
        <v>1814</v>
      </c>
      <c r="E41" s="1913">
        <f t="shared" si="13"/>
        <v>51.472525798994205</v>
      </c>
      <c r="F41" s="1913">
        <f t="shared" si="14"/>
        <v>0.90909090909090906</v>
      </c>
      <c r="G41" s="1913">
        <f t="shared" si="14"/>
        <v>0.90909090909090906</v>
      </c>
      <c r="H41" s="1913">
        <f t="shared" si="16"/>
        <v>5970.812992683328</v>
      </c>
      <c r="I41" s="1913">
        <f t="shared" si="16"/>
        <v>0.10545454545454545</v>
      </c>
      <c r="J41" s="1913">
        <f t="shared" si="16"/>
        <v>0.10545454545454545</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81300</v>
      </c>
      <c r="D44" s="3078" t="s">
        <v>1814</v>
      </c>
      <c r="E44" s="1913">
        <f t="shared" si="13"/>
        <v>75.364000000000019</v>
      </c>
      <c r="F44" s="1913">
        <f t="shared" si="14"/>
        <v>913.39013700246733</v>
      </c>
      <c r="G44" s="1913">
        <f t="shared" si="14"/>
        <v>2.0878070675501643</v>
      </c>
      <c r="H44" s="1913">
        <f>IF(SUM(H52,H58)=0,"NO",SUM(H52,H58))</f>
        <v>6127.0932000000012</v>
      </c>
      <c r="I44" s="1913">
        <f>IF(SUM(I52,I58)=0,"NO",SUM(I52,I58))</f>
        <v>74.258618138300591</v>
      </c>
      <c r="J44" s="1913">
        <f>IF(SUM(J52,J58)=0,"NO",SUM(J52,J58))</f>
        <v>0.16973871459182835</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212216.62198391423</v>
      </c>
      <c r="D46" s="3078" t="s">
        <v>1814</v>
      </c>
      <c r="E46" s="628"/>
      <c r="F46" s="628"/>
      <c r="G46" s="628"/>
      <c r="H46" s="1913">
        <f>IF(SUM(H47:H51)=0,"NO",SUM(H47:H51))</f>
        <v>6915.9482473750177</v>
      </c>
      <c r="I46" s="1913">
        <f>IF(SUM(I47:I52)=0,"NO",SUM(I47:I52))</f>
        <v>74.384786841804413</v>
      </c>
      <c r="J46" s="1913">
        <f>IF(SUM(J47:J52)=0,"NO",SUM(J47:J52))</f>
        <v>0.2843189487990867</v>
      </c>
      <c r="K46" s="3085" t="str">
        <f>IF(SUM(K47:K52)=0,"NO",SUM(K47:K52))</f>
        <v>NO</v>
      </c>
    </row>
    <row r="47" spans="2:11" ht="18" customHeight="1" x14ac:dyDescent="0.2">
      <c r="B47" s="282" t="s">
        <v>132</v>
      </c>
      <c r="C47" s="691">
        <v>14716.62198391421</v>
      </c>
      <c r="D47" s="3078" t="s">
        <v>1814</v>
      </c>
      <c r="E47" s="1913">
        <f t="shared" ref="E47:E52" si="17">IFERROR(H47*1000/$C47,"NA")</f>
        <v>62.965214143879919</v>
      </c>
      <c r="F47" s="1913">
        <f t="shared" ref="F47:G52" si="18">IFERROR(I47*1000000/$C47,"NA")</f>
        <v>1.3945919030356024</v>
      </c>
      <c r="G47" s="1913">
        <f t="shared" si="18"/>
        <v>0.61103393354864388</v>
      </c>
      <c r="H47" s="691">
        <v>926.63525469168917</v>
      </c>
      <c r="I47" s="691">
        <v>2.0523681858802503E-2</v>
      </c>
      <c r="J47" s="691">
        <v>8.9923554193795489E-3</v>
      </c>
      <c r="K47" s="2911" t="s">
        <v>2146</v>
      </c>
    </row>
    <row r="48" spans="2:11" ht="18" customHeight="1" x14ac:dyDescent="0.2">
      <c r="B48" s="282" t="s">
        <v>133</v>
      </c>
      <c r="C48" s="691">
        <v>200</v>
      </c>
      <c r="D48" s="3078" t="s">
        <v>1814</v>
      </c>
      <c r="E48" s="1913">
        <f t="shared" si="17"/>
        <v>92.5</v>
      </c>
      <c r="F48" s="1913">
        <f t="shared" si="18"/>
        <v>0.95238095238095244</v>
      </c>
      <c r="G48" s="1913">
        <f t="shared" si="18"/>
        <v>0.66666666666666652</v>
      </c>
      <c r="H48" s="691">
        <v>18.5</v>
      </c>
      <c r="I48" s="691">
        <v>1.9047619047619048E-4</v>
      </c>
      <c r="J48" s="691">
        <v>1.3333333333333331E-4</v>
      </c>
      <c r="K48" s="2911" t="s">
        <v>2146</v>
      </c>
    </row>
    <row r="49" spans="2:11" ht="18" customHeight="1" x14ac:dyDescent="0.2">
      <c r="B49" s="282" t="s">
        <v>134</v>
      </c>
      <c r="C49" s="691">
        <v>116000</v>
      </c>
      <c r="D49" s="3078" t="s">
        <v>1814</v>
      </c>
      <c r="E49" s="1913">
        <f t="shared" si="17"/>
        <v>51.472525798994205</v>
      </c>
      <c r="F49" s="1913">
        <f t="shared" si="18"/>
        <v>0.90909090909090906</v>
      </c>
      <c r="G49" s="1913">
        <f t="shared" si="18"/>
        <v>0.90909090909090906</v>
      </c>
      <c r="H49" s="691">
        <v>5970.812992683328</v>
      </c>
      <c r="I49" s="691">
        <v>0.10545454545454545</v>
      </c>
      <c r="J49" s="691">
        <v>0.10545454545454545</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81300</v>
      </c>
      <c r="D52" s="3078" t="s">
        <v>1814</v>
      </c>
      <c r="E52" s="1913">
        <f t="shared" si="17"/>
        <v>75.364000000000019</v>
      </c>
      <c r="F52" s="1913">
        <f t="shared" si="18"/>
        <v>913.39013700246733</v>
      </c>
      <c r="G52" s="1913">
        <f t="shared" si="18"/>
        <v>2.0878070675501643</v>
      </c>
      <c r="H52" s="691">
        <v>6127.0932000000012</v>
      </c>
      <c r="I52" s="691">
        <v>74.258618138300591</v>
      </c>
      <c r="J52" s="691">
        <v>0.16973871459182835</v>
      </c>
      <c r="K52" s="2911" t="s">
        <v>2146</v>
      </c>
    </row>
    <row r="53" spans="2:11" ht="18" customHeight="1" x14ac:dyDescent="0.2">
      <c r="B53" s="1242" t="s">
        <v>205</v>
      </c>
      <c r="C53" s="3078">
        <f>IF(SUM(C54:C58)=0,"NO",SUM(C54:C58))</f>
        <v>3840.0451998680501</v>
      </c>
      <c r="D53" s="3078" t="s">
        <v>1814</v>
      </c>
      <c r="E53" s="628"/>
      <c r="F53" s="628"/>
      <c r="G53" s="628"/>
      <c r="H53" s="3078">
        <f>IF(SUM(H54:H57)=0,"NO",SUM(H54:H57))</f>
        <v>259.27127215472075</v>
      </c>
      <c r="I53" s="3078">
        <f>IF(SUM(I54:I58)=0,"NO",SUM(I54:I58))</f>
        <v>0.67741142020497813</v>
      </c>
      <c r="J53" s="3078">
        <f>IF(SUM(J54:J58)=0,"NO",SUM(J54:J58))</f>
        <v>1.5053587115666184E-3</v>
      </c>
      <c r="K53" s="2921"/>
    </row>
    <row r="54" spans="2:11" ht="18" customHeight="1" x14ac:dyDescent="0.2">
      <c r="B54" s="282" t="s">
        <v>132</v>
      </c>
      <c r="C54" s="691">
        <v>3840.0451998680501</v>
      </c>
      <c r="D54" s="3078" t="s">
        <v>1814</v>
      </c>
      <c r="E54" s="1913">
        <f t="shared" ref="E54:E58" si="19">IFERROR(H54*1000/$C54,"NA")</f>
        <v>67.517765718911264</v>
      </c>
      <c r="F54" s="1913">
        <f t="shared" ref="F54:G58" si="20">IFERROR(I54*1000000/$C54,"NA")</f>
        <v>176.40714755864201</v>
      </c>
      <c r="G54" s="1913">
        <f t="shared" si="20"/>
        <v>0.39201588346364907</v>
      </c>
      <c r="H54" s="691">
        <v>259.27127215472075</v>
      </c>
      <c r="I54" s="691">
        <v>0.67741142020497813</v>
      </c>
      <c r="J54" s="691">
        <v>1.5053587115666184E-3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61200.000000000007</v>
      </c>
      <c r="D59" s="3078" t="s">
        <v>1814</v>
      </c>
      <c r="E59" s="628"/>
      <c r="F59" s="628"/>
      <c r="G59" s="628"/>
      <c r="H59" s="1913">
        <f>IF(SUM(H60:H64)=0,"NO",SUM(H60:H64))</f>
        <v>4263.3311918339277</v>
      </c>
      <c r="I59" s="1913">
        <f>IF(SUM(I60:I65)=0,"NO",SUM(I60:I65))</f>
        <v>0.27686233766233764</v>
      </c>
      <c r="J59" s="1913">
        <f>IF(SUM(J60:J65)=0,"NO",SUM(J60:J65))</f>
        <v>0.22495757575757577</v>
      </c>
      <c r="K59" s="3085" t="str">
        <f>IF(SUM(K60:K65)=0,"NO",SUM(K60:K65))</f>
        <v>NO</v>
      </c>
    </row>
    <row r="60" spans="2:11" ht="18" customHeight="1" x14ac:dyDescent="0.2">
      <c r="B60" s="282" t="s">
        <v>132</v>
      </c>
      <c r="C60" s="1913">
        <f>IF(SUM(C67,C74:C77,C84:C87)=0,"NO",SUM(C67,C74:C77,C84:C87))</f>
        <v>61100.000000000007</v>
      </c>
      <c r="D60" s="3078" t="s">
        <v>1814</v>
      </c>
      <c r="E60" s="1913">
        <f t="shared" ref="E60:E65" si="21">IFERROR(H60*1000/$C60,"NA")</f>
        <v>69.692144026186597</v>
      </c>
      <c r="F60" s="1913">
        <f t="shared" ref="F60:G65" si="22">IFERROR(I60*1000000/$C60,"NA")</f>
        <v>4.5298106149169977</v>
      </c>
      <c r="G60" s="1913">
        <f t="shared" si="22"/>
        <v>3.6803055100927442</v>
      </c>
      <c r="H60" s="1913">
        <f>IF(SUM(H67,H74:H77,H84:H87)=0,"NO",SUM(H67,H74:H77,H84:H87))</f>
        <v>4258.1900000000014</v>
      </c>
      <c r="I60" s="1913">
        <f>IF(SUM(I67,I74:I77,I84:I87)=0,"NO",SUM(I67,I74:I77,I84:I87))</f>
        <v>0.27677142857142856</v>
      </c>
      <c r="J60" s="1913">
        <f>IF(SUM(J67,J74:J77,J84:J87)=0,"NO",SUM(J67,J74:J77,J84:J87))</f>
        <v>0.22486666666666669</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100</v>
      </c>
      <c r="D62" s="3078" t="s">
        <v>1814</v>
      </c>
      <c r="E62" s="1913">
        <f t="shared" si="21"/>
        <v>51.411918339265</v>
      </c>
      <c r="F62" s="1913">
        <f t="shared" si="22"/>
        <v>0.90909090909090917</v>
      </c>
      <c r="G62" s="1913">
        <f t="shared" si="22"/>
        <v>0.90909090909090917</v>
      </c>
      <c r="H62" s="1913">
        <f>IF(SUM(H69,H79,H89)=0,"NO",SUM(H69,H79,H89))</f>
        <v>5.1411918339265004</v>
      </c>
      <c r="I62" s="1913">
        <f>IF(SUM(I69,I79,I89)=0,"NO",SUM(I69,I79,I89))</f>
        <v>9.0909090909090917E-5</v>
      </c>
      <c r="J62" s="1913">
        <f>IF(SUM(J69,J79,J89)=0,"NO",SUM(J69,J79,J89))</f>
        <v>9.0909090909090917E-5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61200.000000000007</v>
      </c>
      <c r="D66" s="3078" t="s">
        <v>1814</v>
      </c>
      <c r="E66" s="2108"/>
      <c r="F66" s="2108"/>
      <c r="G66" s="2108"/>
      <c r="H66" s="1913">
        <f>IF(SUM(H67:H71)=0,"NO",SUM(H67:H71))</f>
        <v>4263.3311918339277</v>
      </c>
      <c r="I66" s="1913">
        <f>IF(SUM(I67:I72)=0,"NO",SUM(I67:I72))</f>
        <v>0.27686233766233764</v>
      </c>
      <c r="J66" s="1913">
        <f>IF(SUM(J67:J72)=0,"NO",SUM(J67:J72))</f>
        <v>0.22495757575757577</v>
      </c>
      <c r="K66" s="3085" t="str">
        <f>IF(SUM(K67:K72)=0,"NO",SUM(K67:K72))</f>
        <v>NO</v>
      </c>
    </row>
    <row r="67" spans="2:11" ht="18" customHeight="1" x14ac:dyDescent="0.2">
      <c r="B67" s="282" t="s">
        <v>132</v>
      </c>
      <c r="C67" s="691">
        <v>61100.000000000007</v>
      </c>
      <c r="D67" s="3078" t="s">
        <v>1814</v>
      </c>
      <c r="E67" s="1913">
        <f t="shared" ref="E67:E72" si="23">IFERROR(H67*1000/$C67,"NA")</f>
        <v>69.692144026186597</v>
      </c>
      <c r="F67" s="1913">
        <f t="shared" ref="F67:G72" si="24">IFERROR(I67*1000000/$C67,"NA")</f>
        <v>4.5298106149169977</v>
      </c>
      <c r="G67" s="1913">
        <f t="shared" si="24"/>
        <v>3.6803055100927442</v>
      </c>
      <c r="H67" s="691">
        <v>4258.1900000000014</v>
      </c>
      <c r="I67" s="691">
        <v>0.27677142857142856</v>
      </c>
      <c r="J67" s="691">
        <v>0.22486666666666669</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100</v>
      </c>
      <c r="D69" s="3078" t="s">
        <v>1814</v>
      </c>
      <c r="E69" s="1913">
        <f t="shared" si="23"/>
        <v>51.411918339265</v>
      </c>
      <c r="F69" s="1913">
        <f t="shared" si="24"/>
        <v>0.90909090909090917</v>
      </c>
      <c r="G69" s="1913">
        <f t="shared" si="24"/>
        <v>0.90909090909090917</v>
      </c>
      <c r="H69" s="691">
        <v>5.1411918339265004</v>
      </c>
      <c r="I69" s="691">
        <v>9.0909090909090917E-5</v>
      </c>
      <c r="J69" s="691">
        <v>9.0909090909090917E-5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9005.7238855170854</v>
      </c>
      <c r="D93" s="3078" t="s">
        <v>1814</v>
      </c>
      <c r="E93" s="2134"/>
      <c r="F93" s="2134"/>
      <c r="G93" s="2134"/>
      <c r="H93" s="3109">
        <f>IF(SUM(H94:H98)=0,"NO",SUM(H94:H98))</f>
        <v>626.75996833401359</v>
      </c>
      <c r="I93" s="3109">
        <f>IF(SUM(I94:I99)=0,"NO",SUM(I94:I99))</f>
        <v>2.9672357792401564E-2</v>
      </c>
      <c r="J93" s="3113">
        <f>IF(SUM(J94:J99)=0,"NO",SUM(J94:J99))</f>
        <v>1.7115729560568681E-2</v>
      </c>
      <c r="K93" s="449" t="str">
        <f>IF(SUM(K94:K99)=0,"NO",SUM(K94:K99))</f>
        <v>NO</v>
      </c>
    </row>
    <row r="94" spans="2:11" ht="18" customHeight="1" x14ac:dyDescent="0.2">
      <c r="B94" s="282" t="s">
        <v>132</v>
      </c>
      <c r="C94" s="691">
        <f>IF(SUM(C102,C110)=0,"NO",SUM(C102,C110))</f>
        <v>9005.7238855170854</v>
      </c>
      <c r="D94" s="1913" t="s">
        <v>1814</v>
      </c>
      <c r="E94" s="1913">
        <f t="shared" ref="E94:E99" si="32">IFERROR(H94*1000/$C94,"NA")</f>
        <v>69.595734479708256</v>
      </c>
      <c r="F94" s="1913">
        <f t="shared" ref="F94:G99" si="33">IFERROR(I94*1000000/$C94,"NA")</f>
        <v>3.2948331716143717</v>
      </c>
      <c r="G94" s="1913">
        <f t="shared" si="33"/>
        <v>1.9005390103169857</v>
      </c>
      <c r="H94" s="691">
        <f t="shared" ref="H94:K97" si="34">IF(SUM(H102,H110)=0,"NO",SUM(H102,H110))</f>
        <v>626.75996833401359</v>
      </c>
      <c r="I94" s="691">
        <f t="shared" si="34"/>
        <v>2.9672357792401564E-2</v>
      </c>
      <c r="J94" s="691">
        <f t="shared" si="34"/>
        <v>1.7115729560568681E-2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9005.7238855170854</v>
      </c>
      <c r="D108" s="1913" t="s">
        <v>1814</v>
      </c>
      <c r="E108" s="1931"/>
      <c r="F108" s="1931"/>
      <c r="G108" s="1931"/>
      <c r="H108" s="3078">
        <f>H109</f>
        <v>626.75996833401359</v>
      </c>
      <c r="I108" s="3078">
        <f>I109</f>
        <v>2.9672357792401564E-2</v>
      </c>
      <c r="J108" s="3110">
        <f>J109</f>
        <v>1.7115729560568681E-2</v>
      </c>
      <c r="K108" s="2921"/>
    </row>
    <row r="109" spans="2:11" ht="18" customHeight="1" x14ac:dyDescent="0.2">
      <c r="B109" s="3125" t="s">
        <v>2149</v>
      </c>
      <c r="C109" s="3099">
        <f>IF(SUM(C110:C114)=0,"NO",SUM(C110:C114))</f>
        <v>9005.7238855170854</v>
      </c>
      <c r="D109" s="1913" t="s">
        <v>1814</v>
      </c>
      <c r="E109" s="628"/>
      <c r="F109" s="628"/>
      <c r="G109" s="628"/>
      <c r="H109" s="3099">
        <f>IF(SUM(H110:H113)=0,"NO",SUM(H110:H113))</f>
        <v>626.75996833401359</v>
      </c>
      <c r="I109" s="3099">
        <f>IF(SUM(I110:I114)=0,"NO",SUM(I110:I114))</f>
        <v>2.9672357792401564E-2</v>
      </c>
      <c r="J109" s="3099">
        <f>IF(SUM(J110:J114)=0,"NO",SUM(J110:J114))</f>
        <v>1.7115729560568681E-2</v>
      </c>
      <c r="K109" s="2921"/>
    </row>
    <row r="110" spans="2:11" ht="18" customHeight="1" x14ac:dyDescent="0.2">
      <c r="B110" s="282" t="s">
        <v>132</v>
      </c>
      <c r="C110" s="691">
        <v>9005.7238855170854</v>
      </c>
      <c r="D110" s="1913" t="s">
        <v>1814</v>
      </c>
      <c r="E110" s="1913">
        <f t="shared" ref="E110:E114" si="37">IFERROR(H110*1000/$C110,"NA")</f>
        <v>69.595734479708256</v>
      </c>
      <c r="F110" s="1913">
        <f t="shared" ref="F110:G114" si="38">IFERROR(I110*1000000/$C110,"NA")</f>
        <v>3.2948331716143717</v>
      </c>
      <c r="G110" s="1913">
        <f t="shared" si="38"/>
        <v>1.9005390103169857</v>
      </c>
      <c r="H110" s="691">
        <v>626.75996833401359</v>
      </c>
      <c r="I110" s="691">
        <v>2.9672357792401564E-2</v>
      </c>
      <c r="J110" s="691">
        <v>1.7115729560568681E-2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1032225.9999999999</v>
      </c>
      <c r="G11" s="3361">
        <v>1150530.1573410002</v>
      </c>
      <c r="H11" s="3361">
        <v>528766.99999999988</v>
      </c>
      <c r="I11" s="3381"/>
      <c r="J11" s="3361">
        <v>-15198.75</v>
      </c>
      <c r="K11" s="3369">
        <f t="shared" ref="K11:K28" si="0">IF((SUM(F11:G11)-SUM(H11:J11))=0,"NO",(SUM(F11:G11)-SUM(H11:J11)))</f>
        <v>1669187.9073410002</v>
      </c>
      <c r="L11" s="2577">
        <f>IF(K11="NO","NA",1)</f>
        <v>1</v>
      </c>
      <c r="M11" s="5" t="s">
        <v>1814</v>
      </c>
      <c r="N11" s="3369">
        <f>K11</f>
        <v>1669187.9073410002</v>
      </c>
      <c r="O11" s="3342">
        <v>18.980716253443529</v>
      </c>
      <c r="P11" s="3369">
        <f>IFERROR(N11*O11/1000,"NA")</f>
        <v>31682.382042918711</v>
      </c>
      <c r="Q11" s="3369" t="str">
        <f>'Table1.A(d)'!G11</f>
        <v>NA</v>
      </c>
      <c r="R11" s="3369">
        <f>IF(SUM(P11,-SUM(Q11))=0,"NO",SUM(P11,-SUM(Q11)))</f>
        <v>31682.382042918711</v>
      </c>
      <c r="S11" s="2577">
        <f>IF(R11="NO","NA",1)</f>
        <v>1</v>
      </c>
      <c r="T11" s="3375">
        <f>IF(R11="NO","NO",R11*S11*44/12)</f>
        <v>116168.7341573686</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132647.80000000002</v>
      </c>
      <c r="G13" s="3361" t="s">
        <v>2146</v>
      </c>
      <c r="H13" s="3361" t="s">
        <v>2146</v>
      </c>
      <c r="I13" s="3381"/>
      <c r="J13" s="3361" t="s">
        <v>2146</v>
      </c>
      <c r="K13" s="3369">
        <f t="shared" si="0"/>
        <v>132647.80000000002</v>
      </c>
      <c r="L13" s="2577">
        <f t="shared" si="1"/>
        <v>1</v>
      </c>
      <c r="M13" s="5" t="s">
        <v>1814</v>
      </c>
      <c r="N13" s="3369">
        <f t="shared" si="2"/>
        <v>132647.80000000002</v>
      </c>
      <c r="O13" s="3342">
        <v>16.17235208917559</v>
      </c>
      <c r="P13" s="3369">
        <f t="shared" si="3"/>
        <v>2145.2269254545463</v>
      </c>
      <c r="Q13" s="3369" t="str">
        <f>'Table1.A(d)'!G13</f>
        <v>NA</v>
      </c>
      <c r="R13" s="3369">
        <f>IF(SUM(P13,-SUM(Q13))=0,"NO",SUM(P13,-SUM(Q13)))</f>
        <v>2145.2269254545463</v>
      </c>
      <c r="S13" s="2577">
        <f t="shared" si="4"/>
        <v>1</v>
      </c>
      <c r="T13" s="3375">
        <f t="shared" si="5"/>
        <v>7865.8320600000034</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29125.434454212456</v>
      </c>
      <c r="H15" s="3361">
        <v>54874.69</v>
      </c>
      <c r="I15" s="3361" t="s">
        <v>2146</v>
      </c>
      <c r="J15" s="3361">
        <v>-1969.8792452830164</v>
      </c>
      <c r="K15" s="3369">
        <f t="shared" si="0"/>
        <v>-23779.376300504529</v>
      </c>
      <c r="L15" s="2577">
        <f>IF(K15="NO","NA",1)</f>
        <v>1</v>
      </c>
      <c r="M15" s="5" t="s">
        <v>1814</v>
      </c>
      <c r="N15" s="3369">
        <f t="shared" si="2"/>
        <v>-23779.376300504529</v>
      </c>
      <c r="O15" s="3342">
        <v>18.376404661766131</v>
      </c>
      <c r="P15" s="3369">
        <f t="shared" si="3"/>
        <v>-436.97944150248247</v>
      </c>
      <c r="Q15" s="3369" t="str">
        <f>'Table1.A(d)'!G15</f>
        <v>NA</v>
      </c>
      <c r="R15" s="3369">
        <f>IF(SUM(P15,-SUM(Q15))=0,"NO",SUM(P15,-SUM(Q15)))</f>
        <v>-436.97944150248247</v>
      </c>
      <c r="S15" s="2577">
        <f>IF(R15="NO","NA",1)</f>
        <v>1</v>
      </c>
      <c r="T15" s="3375">
        <f>IF(R15="NO","NO",R15*S15*44/12)</f>
        <v>-1602.2579521757691</v>
      </c>
    </row>
    <row r="16" spans="2:20" ht="18" customHeight="1" x14ac:dyDescent="0.2">
      <c r="B16" s="1727"/>
      <c r="C16" s="1567"/>
      <c r="D16" s="36" t="s">
        <v>178</v>
      </c>
      <c r="E16" s="2575" t="s">
        <v>2150</v>
      </c>
      <c r="F16" s="3382"/>
      <c r="G16" s="3361">
        <v>4720.0731428571435</v>
      </c>
      <c r="H16" s="3361">
        <v>20129.599999999999</v>
      </c>
      <c r="I16" s="3361">
        <v>105300</v>
      </c>
      <c r="J16" s="3361">
        <v>2215.3811320754721</v>
      </c>
      <c r="K16" s="3369">
        <f t="shared" si="0"/>
        <v>-122924.90798921834</v>
      </c>
      <c r="L16" s="2577">
        <f t="shared" ref="L16:L28" si="6">IF(K16="NO","NA",1)</f>
        <v>1</v>
      </c>
      <c r="M16" s="5" t="s">
        <v>1814</v>
      </c>
      <c r="N16" s="3369">
        <f t="shared" si="2"/>
        <v>-122924.90798921834</v>
      </c>
      <c r="O16" s="3342">
        <v>18.981818181818181</v>
      </c>
      <c r="P16" s="3369">
        <f t="shared" si="3"/>
        <v>-2333.3382534680718</v>
      </c>
      <c r="Q16" s="3369" t="str">
        <f>'Table1.A(d)'!G16</f>
        <v>NA</v>
      </c>
      <c r="R16" s="3369">
        <f t="shared" ref="R16:R44" si="7">IF(SUM(P16,-SUM(Q16))=0,"NO",SUM(P16,-SUM(Q16)))</f>
        <v>-2333.3382534680718</v>
      </c>
      <c r="S16" s="2577">
        <f t="shared" ref="S16:S28" si="8">IF(R16="NO","NA",1)</f>
        <v>1</v>
      </c>
      <c r="T16" s="3375">
        <f t="shared" ref="T16:T28" si="9">IF(R16="NO","NO",R16*S16*44/12)</f>
        <v>-8555.5735960495967</v>
      </c>
    </row>
    <row r="17" spans="2:20" ht="18" customHeight="1" x14ac:dyDescent="0.2">
      <c r="B17" s="1727"/>
      <c r="C17" s="1567"/>
      <c r="D17" s="36" t="s">
        <v>247</v>
      </c>
      <c r="E17" s="2575" t="s">
        <v>2150</v>
      </c>
      <c r="F17" s="3381"/>
      <c r="G17" s="3361">
        <v>187.24184615384615</v>
      </c>
      <c r="H17" s="3361">
        <v>1127.28</v>
      </c>
      <c r="I17" s="3361" t="s">
        <v>2146</v>
      </c>
      <c r="J17" s="3361">
        <v>-448.33018867924528</v>
      </c>
      <c r="K17" s="3369">
        <f t="shared" si="0"/>
        <v>-491.70796516690848</v>
      </c>
      <c r="L17" s="2577">
        <f t="shared" si="6"/>
        <v>1</v>
      </c>
      <c r="M17" s="5" t="s">
        <v>1814</v>
      </c>
      <c r="N17" s="3369">
        <f t="shared" si="2"/>
        <v>-491.70796516690848</v>
      </c>
      <c r="O17" s="3342">
        <v>18.790909090909089</v>
      </c>
      <c r="P17" s="3369">
        <f t="shared" si="3"/>
        <v>-9.2396396727272698</v>
      </c>
      <c r="Q17" s="3369" t="str">
        <f>'Table1.A(d)'!G17</f>
        <v>NA</v>
      </c>
      <c r="R17" s="3369">
        <f t="shared" si="7"/>
        <v>-9.2396396727272698</v>
      </c>
      <c r="S17" s="2577">
        <f t="shared" si="8"/>
        <v>1</v>
      </c>
      <c r="T17" s="3375">
        <f t="shared" si="9"/>
        <v>-33.878678799999989</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50620.2520879121</v>
      </c>
      <c r="H19" s="3361">
        <v>47516.600000000006</v>
      </c>
      <c r="I19" s="3361">
        <v>4200</v>
      </c>
      <c r="J19" s="3361">
        <v>-1093.1094339622648</v>
      </c>
      <c r="K19" s="3369">
        <f t="shared" si="0"/>
        <v>-3.2384781256405404</v>
      </c>
      <c r="L19" s="2577">
        <f t="shared" si="6"/>
        <v>1</v>
      </c>
      <c r="M19" s="5" t="s">
        <v>1814</v>
      </c>
      <c r="N19" s="3369">
        <f t="shared" si="2"/>
        <v>-3.2384781256405404</v>
      </c>
      <c r="O19" s="3342">
        <v>19.06363636363637</v>
      </c>
      <c r="P19" s="3369">
        <f t="shared" si="3"/>
        <v>-6.1737169358801955E-2</v>
      </c>
      <c r="Q19" s="3369" t="str">
        <f>'Table1.A(d)'!G19</f>
        <v>NA</v>
      </c>
      <c r="R19" s="3369">
        <f t="shared" si="7"/>
        <v>-6.1737169358801955E-2</v>
      </c>
      <c r="S19" s="2577">
        <f t="shared" si="8"/>
        <v>1</v>
      </c>
      <c r="T19" s="3375">
        <f t="shared" si="9"/>
        <v>-0.22636962098227384</v>
      </c>
    </row>
    <row r="20" spans="2:20" ht="18" customHeight="1" x14ac:dyDescent="0.2">
      <c r="B20" s="1727"/>
      <c r="C20" s="1567"/>
      <c r="D20" s="36" t="s">
        <v>190</v>
      </c>
      <c r="E20" s="2575" t="s">
        <v>2150</v>
      </c>
      <c r="F20" s="3381"/>
      <c r="G20" s="3361">
        <v>22203.506461538462</v>
      </c>
      <c r="H20" s="3361">
        <v>10365.670000000002</v>
      </c>
      <c r="I20" s="3361">
        <v>29650</v>
      </c>
      <c r="J20" s="3361">
        <v>-1568.4622641509422</v>
      </c>
      <c r="K20" s="3369">
        <f t="shared" si="0"/>
        <v>-16243.701274310595</v>
      </c>
      <c r="L20" s="2577">
        <f t="shared" si="6"/>
        <v>1</v>
      </c>
      <c r="M20" s="5" t="s">
        <v>1814</v>
      </c>
      <c r="N20" s="3369">
        <f t="shared" si="2"/>
        <v>-16243.701274310595</v>
      </c>
      <c r="O20" s="3342">
        <v>20.072727272727271</v>
      </c>
      <c r="P20" s="3369">
        <f t="shared" si="3"/>
        <v>-326.055385578889</v>
      </c>
      <c r="Q20" s="3369" t="str">
        <f>'Table1.A(d)'!G20</f>
        <v>NA</v>
      </c>
      <c r="R20" s="3369">
        <f t="shared" si="7"/>
        <v>-326.055385578889</v>
      </c>
      <c r="S20" s="2577">
        <f t="shared" si="8"/>
        <v>1</v>
      </c>
      <c r="T20" s="3375">
        <f t="shared" si="9"/>
        <v>-1195.5364137892595</v>
      </c>
    </row>
    <row r="21" spans="2:20" ht="18" customHeight="1" x14ac:dyDescent="0.2">
      <c r="B21" s="1727"/>
      <c r="C21" s="1567"/>
      <c r="D21" s="36" t="s">
        <v>169</v>
      </c>
      <c r="E21" s="2575" t="s">
        <v>2150</v>
      </c>
      <c r="F21" s="3381"/>
      <c r="G21" s="3361">
        <v>12012.583956043956</v>
      </c>
      <c r="H21" s="3361">
        <v>63897.91</v>
      </c>
      <c r="I21" s="3381"/>
      <c r="J21" s="3361">
        <v>681.29811320754766</v>
      </c>
      <c r="K21" s="3369">
        <f t="shared" si="0"/>
        <v>-52566.624157163598</v>
      </c>
      <c r="L21" s="2577">
        <f t="shared" si="6"/>
        <v>1</v>
      </c>
      <c r="M21" s="5" t="s">
        <v>1814</v>
      </c>
      <c r="N21" s="3369">
        <f t="shared" si="2"/>
        <v>-52566.624157163598</v>
      </c>
      <c r="O21" s="3342">
        <v>16.418181818181822</v>
      </c>
      <c r="P21" s="3369">
        <f t="shared" si="3"/>
        <v>-863.04839298034074</v>
      </c>
      <c r="Q21" s="3369" t="str">
        <f>'Table1.A(d)'!G21</f>
        <v>NA</v>
      </c>
      <c r="R21" s="3369">
        <f t="shared" si="7"/>
        <v>-863.04839298034074</v>
      </c>
      <c r="S21" s="2577">
        <f t="shared" si="8"/>
        <v>1</v>
      </c>
      <c r="T21" s="3375">
        <f t="shared" si="9"/>
        <v>-3164.5107742612495</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566.76835164835165</v>
      </c>
      <c r="H24" s="3361">
        <v>44</v>
      </c>
      <c r="I24" s="3381"/>
      <c r="J24" s="3361">
        <v>422.97169811320754</v>
      </c>
      <c r="K24" s="3369">
        <f t="shared" si="0"/>
        <v>99.796653535144117</v>
      </c>
      <c r="L24" s="2577">
        <f t="shared" si="6"/>
        <v>1</v>
      </c>
      <c r="M24" s="5" t="s">
        <v>1814</v>
      </c>
      <c r="N24" s="3369">
        <f t="shared" si="2"/>
        <v>99.796653535144117</v>
      </c>
      <c r="O24" s="3342">
        <v>22.009090909090911</v>
      </c>
      <c r="P24" s="3369">
        <f t="shared" si="3"/>
        <v>2.1964336200780359</v>
      </c>
      <c r="Q24" s="3369">
        <f>'Table1.A(d)'!G24</f>
        <v>779.72266636363634</v>
      </c>
      <c r="R24" s="3369">
        <f t="shared" si="7"/>
        <v>-777.52623274355835</v>
      </c>
      <c r="S24" s="2577">
        <f t="shared" si="8"/>
        <v>1</v>
      </c>
      <c r="T24" s="3375">
        <f t="shared" si="9"/>
        <v>-2850.9295200597139</v>
      </c>
    </row>
    <row r="25" spans="2:20" ht="18" customHeight="1" x14ac:dyDescent="0.2">
      <c r="B25" s="1727"/>
      <c r="C25" s="1567"/>
      <c r="D25" s="36" t="s">
        <v>252</v>
      </c>
      <c r="E25" s="2575" t="s">
        <v>2150</v>
      </c>
      <c r="F25" s="3381"/>
      <c r="G25" s="3361">
        <v>2009.7803076923078</v>
      </c>
      <c r="H25" s="3361">
        <v>12353.919999999996</v>
      </c>
      <c r="I25" s="3361" t="s">
        <v>2146</v>
      </c>
      <c r="J25" s="3361">
        <v>220.6849056603775</v>
      </c>
      <c r="K25" s="3369">
        <f t="shared" si="0"/>
        <v>-10564.824597968065</v>
      </c>
      <c r="L25" s="2577">
        <f t="shared" si="6"/>
        <v>1</v>
      </c>
      <c r="M25" s="5" t="s">
        <v>1814</v>
      </c>
      <c r="N25" s="3369">
        <f t="shared" si="2"/>
        <v>-10564.824597968065</v>
      </c>
      <c r="O25" s="3342">
        <v>18.991363636363641</v>
      </c>
      <c r="P25" s="3369">
        <f t="shared" si="3"/>
        <v>-200.64042569441082</v>
      </c>
      <c r="Q25" s="3369">
        <f>'Table1.A(d)'!G25</f>
        <v>332.38304809090914</v>
      </c>
      <c r="R25" s="3369">
        <f t="shared" si="7"/>
        <v>-533.02347378531999</v>
      </c>
      <c r="S25" s="2577">
        <f t="shared" si="8"/>
        <v>1</v>
      </c>
      <c r="T25" s="3375">
        <f t="shared" si="9"/>
        <v>-1954.4194038795067</v>
      </c>
    </row>
    <row r="26" spans="2:20" ht="18" customHeight="1" x14ac:dyDescent="0.2">
      <c r="B26" s="1727"/>
      <c r="C26" s="1567"/>
      <c r="D26" s="36" t="s">
        <v>253</v>
      </c>
      <c r="E26" s="2575" t="s">
        <v>2150</v>
      </c>
      <c r="F26" s="3381"/>
      <c r="G26" s="3361">
        <v>13012.751077605382</v>
      </c>
      <c r="H26" s="3361" t="s">
        <v>2146</v>
      </c>
      <c r="I26" s="3381"/>
      <c r="J26" s="3361" t="s">
        <v>2146</v>
      </c>
      <c r="K26" s="3369">
        <f t="shared" si="0"/>
        <v>13012.751077605382</v>
      </c>
      <c r="L26" s="2577">
        <f t="shared" si="6"/>
        <v>1</v>
      </c>
      <c r="M26" s="5" t="s">
        <v>1814</v>
      </c>
      <c r="N26" s="3369">
        <f t="shared" si="2"/>
        <v>13012.751077605382</v>
      </c>
      <c r="O26" s="3342">
        <v>25.26136363636364</v>
      </c>
      <c r="P26" s="3369">
        <f t="shared" si="3"/>
        <v>328.71983688087238</v>
      </c>
      <c r="Q26" s="3369">
        <f>'Table1.A(d)'!G26</f>
        <v>328.71983688087238</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3257.1908819220621</v>
      </c>
      <c r="H28" s="3361">
        <v>11693.599999999999</v>
      </c>
      <c r="I28" s="3381"/>
      <c r="J28" s="3361">
        <v>-1979.5207547169805</v>
      </c>
      <c r="K28" s="3369">
        <f t="shared" si="0"/>
        <v>-6456.8883633609548</v>
      </c>
      <c r="L28" s="2577">
        <f t="shared" si="6"/>
        <v>1</v>
      </c>
      <c r="M28" s="5" t="s">
        <v>1814</v>
      </c>
      <c r="N28" s="3369">
        <f t="shared" si="2"/>
        <v>-6456.8883633609548</v>
      </c>
      <c r="O28" s="3342">
        <v>19.0354229121941</v>
      </c>
      <c r="P28" s="3369">
        <f t="shared" si="3"/>
        <v>-122.90960069340059</v>
      </c>
      <c r="Q28" s="3369">
        <f>'Table1.A(d)'!G28</f>
        <v>703.25425403908048</v>
      </c>
      <c r="R28" s="3369">
        <f t="shared" si="7"/>
        <v>-826.16385473248101</v>
      </c>
      <c r="S28" s="2577">
        <f t="shared" si="8"/>
        <v>1</v>
      </c>
      <c r="T28" s="3375">
        <f t="shared" si="9"/>
        <v>-3029.2674673524307</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1581916.9859463223</v>
      </c>
      <c r="O31" s="3364"/>
      <c r="P31" s="3371">
        <f>SUM(P11:P29)</f>
        <v>29866.252362114523</v>
      </c>
      <c r="Q31" s="3371">
        <f>SUM(Q11:Q29)</f>
        <v>2404.4338268315842</v>
      </c>
      <c r="R31" s="3369">
        <f t="shared" si="7"/>
        <v>27461.818535282939</v>
      </c>
      <c r="S31" s="2578"/>
      <c r="T31" s="3377">
        <f>SUM(T11:T29)</f>
        <v>100693.33462937077</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6066245.4093300002</v>
      </c>
      <c r="G35" s="3361" t="s">
        <v>2146</v>
      </c>
      <c r="H35" s="3361">
        <v>4821800</v>
      </c>
      <c r="I35" s="3361" t="s">
        <v>2146</v>
      </c>
      <c r="J35" s="3361">
        <v>-137700</v>
      </c>
      <c r="K35" s="3369">
        <f t="shared" si="10"/>
        <v>1382145.4093300002</v>
      </c>
      <c r="L35" s="2577">
        <f t="shared" si="11"/>
        <v>1</v>
      </c>
      <c r="M35" s="55" t="s">
        <v>1814</v>
      </c>
      <c r="N35" s="3369">
        <f t="shared" si="12"/>
        <v>1382145.4093300002</v>
      </c>
      <c r="O35" s="3342">
        <v>23.593519368386239</v>
      </c>
      <c r="P35" s="3369">
        <f t="shared" si="13"/>
        <v>32609.674484953484</v>
      </c>
      <c r="Q35" s="3369">
        <f>'Table1.A(d)'!G35</f>
        <v>237.90289768478928</v>
      </c>
      <c r="R35" s="3369">
        <f t="shared" si="7"/>
        <v>32371.771587268697</v>
      </c>
      <c r="S35" s="2577">
        <f t="shared" si="14"/>
        <v>1</v>
      </c>
      <c r="T35" s="3375">
        <f t="shared" si="15"/>
        <v>118696.49581998523</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639163.46764999989</v>
      </c>
      <c r="G37" s="3361" t="s">
        <v>2146</v>
      </c>
      <c r="H37" s="3361" t="s">
        <v>2146</v>
      </c>
      <c r="I37" s="3381"/>
      <c r="J37" s="3361" t="s">
        <v>2146</v>
      </c>
      <c r="K37" s="3369">
        <f t="shared" si="10"/>
        <v>639163.46764999989</v>
      </c>
      <c r="L37" s="2577">
        <f t="shared" si="11"/>
        <v>1</v>
      </c>
      <c r="M37" s="55" t="s">
        <v>1814</v>
      </c>
      <c r="N37" s="3369">
        <f t="shared" si="12"/>
        <v>639163.46764999989</v>
      </c>
      <c r="O37" s="3342">
        <v>26.971144053243069</v>
      </c>
      <c r="P37" s="3369">
        <f t="shared" si="13"/>
        <v>17238.969959558512</v>
      </c>
      <c r="Q37" s="3369" t="str">
        <f>'Table1.A(d)'!G37</f>
        <v>NO</v>
      </c>
      <c r="R37" s="3369">
        <f t="shared" si="7"/>
        <v>17238.969959558512</v>
      </c>
      <c r="S37" s="2577">
        <f t="shared" si="14"/>
        <v>1</v>
      </c>
      <c r="T37" s="3375">
        <f t="shared" si="15"/>
        <v>63209.556518381207</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700</v>
      </c>
      <c r="I40" s="3381"/>
      <c r="J40" s="3361">
        <v>-800</v>
      </c>
      <c r="K40" s="3369">
        <f t="shared" ref="K40:K42" si="16">IF((SUM(F40:G40)-SUM(H40:J40))=0,"NO",(SUM(F40:G40)-SUM(H40:J40)))</f>
        <v>100</v>
      </c>
      <c r="L40" s="2577">
        <f t="shared" ref="L40:L42" si="17">IF(K40="NO","NA",1)</f>
        <v>1</v>
      </c>
      <c r="M40" s="55" t="s">
        <v>1814</v>
      </c>
      <c r="N40" s="3369">
        <f t="shared" ref="N40:N42" si="18">K40</f>
        <v>100</v>
      </c>
      <c r="O40" s="3342">
        <v>25.90909090909091</v>
      </c>
      <c r="P40" s="3369">
        <f t="shared" ref="P40:P42" si="19">IFERROR(N40*O40/1000,"NA")</f>
        <v>2.5909090909090908</v>
      </c>
      <c r="Q40" s="3369" t="str">
        <f>'Table1.A(d)'!G40</f>
        <v>NA</v>
      </c>
      <c r="R40" s="3369">
        <f t="shared" si="7"/>
        <v>2.5909090909090908</v>
      </c>
      <c r="S40" s="2577">
        <f t="shared" ref="S40:S42" si="20">IF(R40="NO","NA",1)</f>
        <v>1</v>
      </c>
      <c r="T40" s="3375">
        <f t="shared" ref="T40:T42" si="21">IF(R40="NO","NO",R40*S40*44/12)</f>
        <v>9.5</v>
      </c>
    </row>
    <row r="41" spans="2:20" ht="18" customHeight="1" x14ac:dyDescent="0.2">
      <c r="B41" s="1727"/>
      <c r="C41" s="1567"/>
      <c r="D41" s="31" t="s">
        <v>266</v>
      </c>
      <c r="E41" s="2575" t="s">
        <v>2150</v>
      </c>
      <c r="F41" s="3381"/>
      <c r="G41" s="3361" t="s">
        <v>2146</v>
      </c>
      <c r="H41" s="3361">
        <v>1900</v>
      </c>
      <c r="I41" s="3381"/>
      <c r="J41" s="3361">
        <v>6700</v>
      </c>
      <c r="K41" s="3369">
        <f t="shared" si="16"/>
        <v>-8600</v>
      </c>
      <c r="L41" s="2577">
        <f t="shared" si="17"/>
        <v>1</v>
      </c>
      <c r="M41" s="55" t="s">
        <v>1814</v>
      </c>
      <c r="N41" s="3369">
        <f t="shared" si="18"/>
        <v>-8600</v>
      </c>
      <c r="O41" s="3342">
        <v>28.905570200806871</v>
      </c>
      <c r="P41" s="3369">
        <f t="shared" si="19"/>
        <v>-248.58790372693909</v>
      </c>
      <c r="Q41" s="3369">
        <f>'Table1.A(d)'!G41</f>
        <v>2927.9598364363496</v>
      </c>
      <c r="R41" s="3369">
        <f t="shared" si="7"/>
        <v>-3176.5477401632888</v>
      </c>
      <c r="S41" s="2577">
        <f t="shared" si="20"/>
        <v>1</v>
      </c>
      <c r="T41" s="3375">
        <f t="shared" si="21"/>
        <v>-11647.341713932059</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110.06941687595091</v>
      </c>
      <c r="R42" s="3369">
        <f t="shared" si="7"/>
        <v>-110.06941687595091</v>
      </c>
      <c r="S42" s="2577">
        <f t="shared" si="20"/>
        <v>1</v>
      </c>
      <c r="T42" s="3375">
        <f t="shared" si="21"/>
        <v>-403.58786187848665</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2012808.8769800002</v>
      </c>
      <c r="O45" s="3364"/>
      <c r="P45" s="3371">
        <f>SUM(P33:P43)</f>
        <v>49602.647449875971</v>
      </c>
      <c r="Q45" s="3371">
        <f>SUM(Q33:Q43)</f>
        <v>3275.93215099709</v>
      </c>
      <c r="R45" s="3371">
        <f>SUM(R33:R43)</f>
        <v>46326.71529887888</v>
      </c>
      <c r="S45" s="41"/>
      <c r="T45" s="3377">
        <f>SUM(T33:T43)</f>
        <v>169864.6227625559</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1300254.9999999998</v>
      </c>
      <c r="G47" s="3361" t="s">
        <v>2146</v>
      </c>
      <c r="H47" s="3361">
        <v>425400</v>
      </c>
      <c r="I47" s="3361" t="s">
        <v>2146</v>
      </c>
      <c r="J47" s="3361">
        <v>19799.999999999956</v>
      </c>
      <c r="K47" s="3369">
        <f t="shared" ref="K47" si="22">IF((SUM(F47:G47)-SUM(H47:J47))=0,"NO",(SUM(F47:G47)-SUM(H47:J47)))</f>
        <v>855054.99999999977</v>
      </c>
      <c r="L47" s="2577">
        <f t="shared" ref="L47" si="23">IF(K47="NO","NA",1)</f>
        <v>1</v>
      </c>
      <c r="M47" s="55" t="s">
        <v>1814</v>
      </c>
      <c r="N47" s="3369">
        <f t="shared" ref="N47" si="24">K47</f>
        <v>855054.99999999977</v>
      </c>
      <c r="O47" s="3342">
        <v>14.031466715083299</v>
      </c>
      <c r="P47" s="3369">
        <f t="shared" ref="P47" si="25">IFERROR(N47*O47/1000,"NA")</f>
        <v>11997.675772065546</v>
      </c>
      <c r="Q47" s="3369">
        <f>'Table1.A(d)'!G47</f>
        <v>272.1991665347843</v>
      </c>
      <c r="R47" s="3369">
        <f t="shared" ref="R47" si="26">IF(SUM(P47,-SUM(Q47))=0,"NO",SUM(P47,-SUM(Q47)))</f>
        <v>11725.476605530761</v>
      </c>
      <c r="S47" s="2577">
        <f t="shared" ref="S47" si="27">IF(R47="NO","NA",1)</f>
        <v>1</v>
      </c>
      <c r="T47" s="3375">
        <f t="shared" ref="T47" si="28">IF(R47="NO","NO",R47*S47*44/12)</f>
        <v>42993.414220279454</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855054.99999999977</v>
      </c>
      <c r="O50" s="3366"/>
      <c r="P50" s="3371">
        <f>SUM(P47:P48)</f>
        <v>11997.675772065546</v>
      </c>
      <c r="Q50" s="3371">
        <f>SUM(Q47:Q48)</f>
        <v>272.1991665347843</v>
      </c>
      <c r="R50" s="3371">
        <f>SUM(R47:R48)</f>
        <v>11725.476605530761</v>
      </c>
      <c r="S50" s="2354"/>
      <c r="T50" s="3377">
        <f>SUM(T47:T48)</f>
        <v>42993.414220279454</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4449780.862926322</v>
      </c>
      <c r="O55" s="3367"/>
      <c r="P55" s="3373">
        <f>SUM(P31,P45,P50,P54)</f>
        <v>91466.575584056045</v>
      </c>
      <c r="Q55" s="3373">
        <f>SUM(Q31,Q45,Q50,Q54)</f>
        <v>5952.5651443634588</v>
      </c>
      <c r="R55" s="3373">
        <f>SUM(R31,R45,R50,R54)</f>
        <v>85514.010439692574</v>
      </c>
      <c r="S55" s="2374"/>
      <c r="T55" s="3379">
        <f>SUM(T31,T45,T50,T54)</f>
        <v>313551.3716122061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1581.9169859463223</v>
      </c>
      <c r="D10" s="4136">
        <f>C10-'Table1.A(d)'!E31/1000</f>
        <v>1458.9629349542131</v>
      </c>
      <c r="E10" s="4135">
        <f>'Table1.A(b)'!T31</f>
        <v>100693.33462937077</v>
      </c>
      <c r="F10" s="4135">
        <f>'Table1.A(a)s1'!C11/1000</f>
        <v>1436.60662331598</v>
      </c>
      <c r="G10" s="4135">
        <f>'Table1.A(a)s1'!H11</f>
        <v>97580.192638396315</v>
      </c>
      <c r="H10" s="4135">
        <f>100*((D10-F10)/F10)</f>
        <v>1.5561888185250203</v>
      </c>
      <c r="I10" s="4137">
        <f>100*((E10-G10)/G10)</f>
        <v>3.1903421245650256</v>
      </c>
      <c r="L10"/>
    </row>
    <row r="11" spans="2:12" ht="18" customHeight="1" x14ac:dyDescent="0.2">
      <c r="B11" s="50" t="s">
        <v>299</v>
      </c>
      <c r="C11" s="4135">
        <f>'Table1.A(b)'!N45/1000</f>
        <v>2012.8088769800002</v>
      </c>
      <c r="D11" s="4135">
        <f>C11-'Table1.A(d)'!E45/1000</f>
        <v>1896.9118868624735</v>
      </c>
      <c r="E11" s="4135">
        <f>'Table1.A(b)'!T45</f>
        <v>169864.6227625559</v>
      </c>
      <c r="F11" s="4135">
        <f>'Table1.A(a)s1'!C12/1000</f>
        <v>1899.9045582263054</v>
      </c>
      <c r="G11" s="4135">
        <f>'Table1.A(a)s1'!H12</f>
        <v>171326.34257284435</v>
      </c>
      <c r="H11" s="4135">
        <f t="shared" ref="H11:H13" si="0">100*((D11-F11)/F11)</f>
        <v>-0.15751693162028249</v>
      </c>
      <c r="I11" s="4137">
        <f t="shared" ref="I11:I13" si="1">100*((E11-G11)/G11)</f>
        <v>-0.85317866962984124</v>
      </c>
      <c r="L11"/>
    </row>
    <row r="12" spans="2:12" ht="18" customHeight="1" x14ac:dyDescent="0.2">
      <c r="B12" s="50" t="s">
        <v>300</v>
      </c>
      <c r="C12" s="4135">
        <f>'Table1.A(b)'!N50/1000</f>
        <v>855.05499999999972</v>
      </c>
      <c r="D12" s="4135">
        <f>C12-'Table1.A(d)'!E50/1000</f>
        <v>835.64192142080014</v>
      </c>
      <c r="E12" s="4135">
        <f>'Table1.A(b)'!T50</f>
        <v>42993.414220279454</v>
      </c>
      <c r="F12" s="4135">
        <f>'Table1.A(a)s1'!C13/1000</f>
        <v>850.79749557257401</v>
      </c>
      <c r="G12" s="4135">
        <f>'Table1.A(a)s1'!H13</f>
        <v>43781.243144673746</v>
      </c>
      <c r="H12" s="4135">
        <f t="shared" si="0"/>
        <v>-1.7813374193790248</v>
      </c>
      <c r="I12" s="4137">
        <f t="shared" si="1"/>
        <v>-1.7994667757398681</v>
      </c>
      <c r="L12"/>
    </row>
    <row r="13" spans="2:12" ht="18" customHeight="1" x14ac:dyDescent="0.2">
      <c r="B13" s="50" t="s">
        <v>275</v>
      </c>
      <c r="C13" s="4135">
        <f>'Table1.A(b)'!N54/1000</f>
        <v>0</v>
      </c>
      <c r="D13" s="4135">
        <f>C13-SUM('Table1.A(d)'!E54)/1000</f>
        <v>0</v>
      </c>
      <c r="E13" s="4135">
        <f>'Table1.A(b)'!T54</f>
        <v>0</v>
      </c>
      <c r="F13" s="4135">
        <f>'Table1.A(a)s1'!C14/1000</f>
        <v>4.1708515790484917</v>
      </c>
      <c r="G13" s="4135">
        <f>'Table1.A(a)s1'!H14</f>
        <v>375.0284207442545</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4449.7808629263218</v>
      </c>
      <c r="D15" s="4138">
        <f>SUM(D10:D14)</f>
        <v>4191.5167432374865</v>
      </c>
      <c r="E15" s="4138">
        <f>SUM(E10:E14)</f>
        <v>313551.3716122061</v>
      </c>
      <c r="F15" s="4138">
        <f>SUM(F10:F14)</f>
        <v>4191.4795286939079</v>
      </c>
      <c r="G15" s="4138">
        <f>SUM(G10:G14)</f>
        <v>313062.80677665863</v>
      </c>
      <c r="H15" s="4139">
        <f t="shared" ref="H15" si="2">100*((D15-F15)/F15)</f>
        <v>8.8786175200891899E-4</v>
      </c>
      <c r="I15" s="4140">
        <f t="shared" ref="I15" si="3">100*((E15-G15)/G15)</f>
        <v>0.15605968673756107</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F4863668-CA97-44F9-AF00-56BAD0A327E6}"/>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